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0"/>
  <workbookPr/>
  <mc:AlternateContent xmlns:mc="http://schemas.openxmlformats.org/markup-compatibility/2006">
    <mc:Choice Requires="x15">
      <x15ac:absPath xmlns:x15ac="http://schemas.microsoft.com/office/spreadsheetml/2010/11/ac" url="C:\Users\aaron\Documents\MyZoteroFiles_IRF\"/>
    </mc:Choice>
  </mc:AlternateContent>
  <xr:revisionPtr revIDLastSave="0" documentId="13_ncr:1_{8FFD080B-F555-41BC-B7C4-E4B40351A27B}" xr6:coauthVersionLast="36" xr6:coauthVersionMax="36" xr10:uidLastSave="{00000000-0000-0000-0000-000000000000}"/>
  <bookViews>
    <workbookView xWindow="2289" yWindow="0" windowWidth="22089" windowHeight="10526" xr2:uid="{00000000-000D-0000-FFFF-FFFF00000000}"/>
  </bookViews>
  <sheets>
    <sheet name="Table" sheetId="1" r:id="rId1"/>
  </sheets>
  <definedNames>
    <definedName name="_xlnm._FilterDatabase" localSheetId="0" hidden="1">Table!$A$1:$AI$3640</definedName>
  </definedNames>
  <calcPr calcId="191029"/>
</workbook>
</file>

<file path=xl/calcChain.xml><?xml version="1.0" encoding="utf-8"?>
<calcChain xmlns="http://schemas.openxmlformats.org/spreadsheetml/2006/main">
  <c r="B3640" i="1" l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<sst xmlns="http://schemas.openxmlformats.org/spreadsheetml/2006/main" count="64465" uniqueCount="15419">
  <si>
    <t>序</t>
  </si>
  <si>
    <t>代码</t>
  </si>
  <si>
    <t>名称</t>
  </si>
  <si>
    <t>更新日期</t>
  </si>
  <si>
    <t>总股本</t>
  </si>
  <si>
    <t>流通A股</t>
  </si>
  <si>
    <t>人均持股数</t>
  </si>
  <si>
    <t>每股收益</t>
  </si>
  <si>
    <t>每股净资产</t>
  </si>
  <si>
    <t>加权净资产收益率</t>
  </si>
  <si>
    <t>营业总收入</t>
  </si>
  <si>
    <t>营业总收入同比</t>
  </si>
  <si>
    <t>营业利润</t>
  </si>
  <si>
    <t>投资收益</t>
  </si>
  <si>
    <t>利润总额</t>
  </si>
  <si>
    <t>归属净利润</t>
  </si>
  <si>
    <t>归属净利润同比</t>
  </si>
  <si>
    <t>未分配利润</t>
  </si>
  <si>
    <t>每股未分配利润</t>
  </si>
  <si>
    <t>销售毛利率</t>
  </si>
  <si>
    <t>总资产</t>
  </si>
  <si>
    <t>流动资产</t>
  </si>
  <si>
    <t>固定资产</t>
  </si>
  <si>
    <t>加权净资产收益率1</t>
  </si>
  <si>
    <t>总负债</t>
  </si>
  <si>
    <t>流动负债</t>
  </si>
  <si>
    <t>长期负债</t>
  </si>
  <si>
    <t>市净率</t>
  </si>
  <si>
    <t>股东权益</t>
  </si>
  <si>
    <t>股东权益比</t>
  </si>
  <si>
    <t>公积金</t>
  </si>
  <si>
    <t>每股公积金</t>
  </si>
  <si>
    <t>流通B股</t>
  </si>
  <si>
    <t>H股</t>
  </si>
  <si>
    <t>上市日期</t>
  </si>
  <si>
    <t>*ST巴士</t>
  </si>
  <si>
    <t>2.96亿</t>
  </si>
  <si>
    <t>1.84亿</t>
  </si>
  <si>
    <t>3347万</t>
  </si>
  <si>
    <t>-8182万</t>
  </si>
  <si>
    <t>21.1万</t>
  </si>
  <si>
    <t>-8290万</t>
  </si>
  <si>
    <t>-19.9亿</t>
  </si>
  <si>
    <t>6.66亿</t>
  </si>
  <si>
    <t>5.09亿</t>
  </si>
  <si>
    <t>1.33亿</t>
  </si>
  <si>
    <t>7.37亿</t>
  </si>
  <si>
    <t>3.30亿</t>
  </si>
  <si>
    <t>4.07亿</t>
  </si>
  <si>
    <t>-7237万</t>
  </si>
  <si>
    <t>16.1亿</t>
  </si>
  <si>
    <t>*ST成城</t>
  </si>
  <si>
    <t>3.36亿</t>
  </si>
  <si>
    <t>1.68万</t>
  </si>
  <si>
    <t>1994万</t>
  </si>
  <si>
    <t>2723万</t>
  </si>
  <si>
    <t>2724万</t>
  </si>
  <si>
    <t>2726万</t>
  </si>
  <si>
    <t>-5.83亿</t>
  </si>
  <si>
    <t>9.72亿</t>
  </si>
  <si>
    <t>7186万</t>
  </si>
  <si>
    <t>168万</t>
  </si>
  <si>
    <t>9.32亿</t>
  </si>
  <si>
    <t>7.67亿</t>
  </si>
  <si>
    <t>1.65亿</t>
  </si>
  <si>
    <t>3099万</t>
  </si>
  <si>
    <t>2.19亿</t>
  </si>
  <si>
    <t>退市昆机</t>
  </si>
  <si>
    <t>5.31亿</t>
  </si>
  <si>
    <t>3.90亿</t>
  </si>
  <si>
    <t>1.18万</t>
  </si>
  <si>
    <t>1.08亿</t>
  </si>
  <si>
    <t>-5741万</t>
  </si>
  <si>
    <t>-5747万</t>
  </si>
  <si>
    <t>-5597万</t>
  </si>
  <si>
    <t>-7.64亿</t>
  </si>
  <si>
    <t>16.4亿</t>
  </si>
  <si>
    <t>9.67亿</t>
  </si>
  <si>
    <t>4.04亿</t>
  </si>
  <si>
    <t>17.3亿</t>
  </si>
  <si>
    <t>14.7亿</t>
  </si>
  <si>
    <t>2.65亿</t>
  </si>
  <si>
    <t>-9569万</t>
  </si>
  <si>
    <t>1977万</t>
  </si>
  <si>
    <t>1.41亿</t>
  </si>
  <si>
    <t>锐科激光</t>
  </si>
  <si>
    <t>1.28亿</t>
  </si>
  <si>
    <t>3200万</t>
  </si>
  <si>
    <t>9.52亿</t>
  </si>
  <si>
    <t>3.25亿</t>
  </si>
  <si>
    <t>3.26亿</t>
  </si>
  <si>
    <t>2.77亿</t>
  </si>
  <si>
    <t>5.77亿</t>
  </si>
  <si>
    <t>1.46亿</t>
  </si>
  <si>
    <t>2.40亿</t>
  </si>
  <si>
    <t>1.93亿</t>
  </si>
  <si>
    <t>4797万</t>
  </si>
  <si>
    <t>5.14亿</t>
  </si>
  <si>
    <t>4226万</t>
  </si>
  <si>
    <t>0000/00/00</t>
  </si>
  <si>
    <t>*ST新能</t>
  </si>
  <si>
    <t>12.9亿</t>
  </si>
  <si>
    <t>8.63亿</t>
  </si>
  <si>
    <t>1.05万</t>
  </si>
  <si>
    <t>4.16亿</t>
  </si>
  <si>
    <t>5.88亿</t>
  </si>
  <si>
    <t>5.65亿</t>
  </si>
  <si>
    <t>5.89亿</t>
  </si>
  <si>
    <t>5.81亿</t>
  </si>
  <si>
    <t>-4.28亿</t>
  </si>
  <si>
    <t>56.4亿</t>
  </si>
  <si>
    <t>51.2亿</t>
  </si>
  <si>
    <t>7545万</t>
  </si>
  <si>
    <t>38.6亿</t>
  </si>
  <si>
    <t>21.6亿</t>
  </si>
  <si>
    <t>16.9亿</t>
  </si>
  <si>
    <t>6.86亿</t>
  </si>
  <si>
    <t>奥赛康</t>
  </si>
  <si>
    <t>2.10亿</t>
  </si>
  <si>
    <t>19.9亿</t>
  </si>
  <si>
    <t>3.00亿</t>
  </si>
  <si>
    <t>3.13亿</t>
  </si>
  <si>
    <t>2.67亿</t>
  </si>
  <si>
    <t>4.45亿</t>
  </si>
  <si>
    <t>13.3亿</t>
  </si>
  <si>
    <t>8.69亿</t>
  </si>
  <si>
    <t>2.50亿</t>
  </si>
  <si>
    <t>5.46亿</t>
  </si>
  <si>
    <t>5.37亿</t>
  </si>
  <si>
    <t>886万</t>
  </si>
  <si>
    <t>7.87亿</t>
  </si>
  <si>
    <t>9830万</t>
  </si>
  <si>
    <t>开能环保</t>
  </si>
  <si>
    <t>3.98亿</t>
  </si>
  <si>
    <t>2.56亿</t>
  </si>
  <si>
    <t>1.51万</t>
  </si>
  <si>
    <t>1.61亿</t>
  </si>
  <si>
    <t>3.77亿</t>
  </si>
  <si>
    <t>3.75亿</t>
  </si>
  <si>
    <t>3.55亿</t>
  </si>
  <si>
    <t>4.63亿</t>
  </si>
  <si>
    <t>14.8亿</t>
  </si>
  <si>
    <t>4.39亿</t>
  </si>
  <si>
    <t>3.42亿</t>
  </si>
  <si>
    <t>3.24亿</t>
  </si>
  <si>
    <t>3.04亿</t>
  </si>
  <si>
    <t>1938万</t>
  </si>
  <si>
    <t>11.2亿</t>
  </si>
  <si>
    <t>1.98亿</t>
  </si>
  <si>
    <t>科沃斯</t>
  </si>
  <si>
    <t>4.00亿</t>
  </si>
  <si>
    <t>4010万</t>
  </si>
  <si>
    <t>45.5亿</t>
  </si>
  <si>
    <t>4.52亿</t>
  </si>
  <si>
    <t>1860万</t>
  </si>
  <si>
    <t>4.55亿</t>
  </si>
  <si>
    <t>3.76亿</t>
  </si>
  <si>
    <t>4.60亿</t>
  </si>
  <si>
    <t>27.0亿</t>
  </si>
  <si>
    <t>20.9亿</t>
  </si>
  <si>
    <t>3.66亿</t>
  </si>
  <si>
    <t>14.4亿</t>
  </si>
  <si>
    <t>14.3亿</t>
  </si>
  <si>
    <t>732万</t>
  </si>
  <si>
    <t>12.6亿</t>
  </si>
  <si>
    <t>3.84亿</t>
  </si>
  <si>
    <t>亚星化学</t>
  </si>
  <si>
    <t>3.16亿</t>
  </si>
  <si>
    <t>2.04万</t>
  </si>
  <si>
    <t>5.06亿</t>
  </si>
  <si>
    <t>1134万</t>
  </si>
  <si>
    <t>1133万</t>
  </si>
  <si>
    <t>-11.7亿</t>
  </si>
  <si>
    <t>14.2亿</t>
  </si>
  <si>
    <t>5.36亿</t>
  </si>
  <si>
    <t>7.40亿</t>
  </si>
  <si>
    <t>13.8亿</t>
  </si>
  <si>
    <t>4850万</t>
  </si>
  <si>
    <t>4371万</t>
  </si>
  <si>
    <t>8.51亿</t>
  </si>
  <si>
    <t>彤程新材</t>
  </si>
  <si>
    <t>5.86亿</t>
  </si>
  <si>
    <t>5880万</t>
  </si>
  <si>
    <t>19.0亿</t>
  </si>
  <si>
    <t>3.91亿</t>
  </si>
  <si>
    <t>3.87亿</t>
  </si>
  <si>
    <t>3.15亿</t>
  </si>
  <si>
    <t>18.8亿</t>
  </si>
  <si>
    <t>2.88亿</t>
  </si>
  <si>
    <t>6.78亿</t>
  </si>
  <si>
    <t>6.57亿</t>
  </si>
  <si>
    <t>2153万</t>
  </si>
  <si>
    <t>11.7亿</t>
  </si>
  <si>
    <t>2.09亿</t>
  </si>
  <si>
    <t>立立电子</t>
  </si>
  <si>
    <t>7708万</t>
  </si>
  <si>
    <t>4.57亿</t>
  </si>
  <si>
    <t>1.03亿</t>
  </si>
  <si>
    <t>1.05亿</t>
  </si>
  <si>
    <t>8898万</t>
  </si>
  <si>
    <t>1.95亿</t>
  </si>
  <si>
    <t>7.24亿</t>
  </si>
  <si>
    <t>4.21亿</t>
  </si>
  <si>
    <t>2.45亿</t>
  </si>
  <si>
    <t>3.60亿</t>
  </si>
  <si>
    <t>2.94亿</t>
  </si>
  <si>
    <t>6643万</t>
  </si>
  <si>
    <t>6649万</t>
  </si>
  <si>
    <t>天目药业</t>
  </si>
  <si>
    <t>1.22亿</t>
  </si>
  <si>
    <t>1.48万</t>
  </si>
  <si>
    <t>9037万</t>
  </si>
  <si>
    <t>-114万</t>
  </si>
  <si>
    <t>3622万</t>
  </si>
  <si>
    <t>2028万</t>
  </si>
  <si>
    <t>-1.10亿</t>
  </si>
  <si>
    <t>4.82亿</t>
  </si>
  <si>
    <t>2.57亿</t>
  </si>
  <si>
    <t>3.50亿</t>
  </si>
  <si>
    <t>2.46亿</t>
  </si>
  <si>
    <t>8739万</t>
  </si>
  <si>
    <t>5150万</t>
  </si>
  <si>
    <t>韶钢松山</t>
  </si>
  <si>
    <t>24.2亿</t>
  </si>
  <si>
    <t>1.78万</t>
  </si>
  <si>
    <t>61.1亿</t>
  </si>
  <si>
    <t>8.58亿</t>
  </si>
  <si>
    <t>2534万</t>
  </si>
  <si>
    <t>-24.6亿</t>
  </si>
  <si>
    <t>139亿</t>
  </si>
  <si>
    <t>39.3亿</t>
  </si>
  <si>
    <t>78.4亿</t>
  </si>
  <si>
    <t>101亿</t>
  </si>
  <si>
    <t>97.9亿</t>
  </si>
  <si>
    <t>2.79亿</t>
  </si>
  <si>
    <t>38.3亿</t>
  </si>
  <si>
    <t>32.3亿</t>
  </si>
  <si>
    <t>光线传媒</t>
  </si>
  <si>
    <t>29.3亿</t>
  </si>
  <si>
    <t>27.5亿</t>
  </si>
  <si>
    <t>3.85万</t>
  </si>
  <si>
    <t>4.01亿</t>
  </si>
  <si>
    <t>23.4亿</t>
  </si>
  <si>
    <t>22.4亿</t>
  </si>
  <si>
    <t>23.5亿</t>
  </si>
  <si>
    <t>43.9亿</t>
  </si>
  <si>
    <t>137亿</t>
  </si>
  <si>
    <t>67.1亿</t>
  </si>
  <si>
    <t>3626万</t>
  </si>
  <si>
    <t>32.4亿</t>
  </si>
  <si>
    <t>11.8亿</t>
  </si>
  <si>
    <t>20.6亿</t>
  </si>
  <si>
    <t>104亿</t>
  </si>
  <si>
    <t>24.8亿</t>
  </si>
  <si>
    <t>寒锐钴业</t>
  </si>
  <si>
    <t>1.92亿</t>
  </si>
  <si>
    <t>1.14亿</t>
  </si>
  <si>
    <t>38.8万</t>
  </si>
  <si>
    <t>2.55亿</t>
  </si>
  <si>
    <t>6.97亿</t>
  </si>
  <si>
    <t>26.7亿</t>
  </si>
  <si>
    <t>22.3亿</t>
  </si>
  <si>
    <t>2.22亿</t>
  </si>
  <si>
    <t>14.5亿</t>
  </si>
  <si>
    <t>12.1亿</t>
  </si>
  <si>
    <t>3.61亿</t>
  </si>
  <si>
    <t>*ST柳化</t>
  </si>
  <si>
    <t>3.99亿</t>
  </si>
  <si>
    <t>1.35万</t>
  </si>
  <si>
    <t>5.23亿</t>
  </si>
  <si>
    <t>805万</t>
  </si>
  <si>
    <t>809万</t>
  </si>
  <si>
    <t>-9.59亿</t>
  </si>
  <si>
    <t>32.7亿</t>
  </si>
  <si>
    <t>8.85亿</t>
  </si>
  <si>
    <t>19.5亿</t>
  </si>
  <si>
    <t>23.2亿</t>
  </si>
  <si>
    <t>9.10亿</t>
  </si>
  <si>
    <t>4919万</t>
  </si>
  <si>
    <t>东方环宇</t>
  </si>
  <si>
    <t>1.20亿</t>
  </si>
  <si>
    <t>138万</t>
  </si>
  <si>
    <t>1.16亿</t>
  </si>
  <si>
    <t>9657万</t>
  </si>
  <si>
    <t>1.75亿</t>
  </si>
  <si>
    <t>7.90亿</t>
  </si>
  <si>
    <t>2.90亿</t>
  </si>
  <si>
    <t>6181万</t>
  </si>
  <si>
    <t>----</t>
  </si>
  <si>
    <t>5.34亿</t>
  </si>
  <si>
    <t>1.68亿</t>
  </si>
  <si>
    <t>鸿特科技</t>
  </si>
  <si>
    <t>2.04亿</t>
  </si>
  <si>
    <t>2.00亿</t>
  </si>
  <si>
    <t>1.64万</t>
  </si>
  <si>
    <t>10.7亿</t>
  </si>
  <si>
    <t>3.01亿</t>
  </si>
  <si>
    <t>8.56亿</t>
  </si>
  <si>
    <t>16.6亿</t>
  </si>
  <si>
    <t>8.92亿</t>
  </si>
  <si>
    <t>12.5亿</t>
  </si>
  <si>
    <t>3.19亿</t>
  </si>
  <si>
    <t>方大炭素</t>
  </si>
  <si>
    <t>17.9亿</t>
  </si>
  <si>
    <t>17.2亿</t>
  </si>
  <si>
    <t>35.2亿</t>
  </si>
  <si>
    <t>24.3亿</t>
  </si>
  <si>
    <t>1908万</t>
  </si>
  <si>
    <t>18.9亿</t>
  </si>
  <si>
    <t>73.9亿</t>
  </si>
  <si>
    <t>158亿</t>
  </si>
  <si>
    <t>128亿</t>
  </si>
  <si>
    <t>34.8亿</t>
  </si>
  <si>
    <t>31.2亿</t>
  </si>
  <si>
    <t>3.56亿</t>
  </si>
  <si>
    <t>117亿</t>
  </si>
  <si>
    <t>23.0亿</t>
  </si>
  <si>
    <t>鑫广绿环</t>
  </si>
  <si>
    <t>5.44亿</t>
  </si>
  <si>
    <t>1.62亿</t>
  </si>
  <si>
    <t>-80.5万</t>
  </si>
  <si>
    <t>1.67亿</t>
  </si>
  <si>
    <t>1.26亿</t>
  </si>
  <si>
    <t>11.1亿</t>
  </si>
  <si>
    <t>4.20亿</t>
  </si>
  <si>
    <t>3.08亿</t>
  </si>
  <si>
    <t>1.43亿</t>
  </si>
  <si>
    <t>7.96亿</t>
  </si>
  <si>
    <t>1827万</t>
  </si>
  <si>
    <t>四川金顶</t>
  </si>
  <si>
    <t>3.49亿</t>
  </si>
  <si>
    <t>5025万</t>
  </si>
  <si>
    <t>563万</t>
  </si>
  <si>
    <t>570万</t>
  </si>
  <si>
    <t>-6.51亿</t>
  </si>
  <si>
    <t>4.41亿</t>
  </si>
  <si>
    <t>7138万</t>
  </si>
  <si>
    <t>1.69亿</t>
  </si>
  <si>
    <t>4.05亿</t>
  </si>
  <si>
    <t>4006万</t>
  </si>
  <si>
    <t>3.65亿</t>
  </si>
  <si>
    <t>3461万</t>
  </si>
  <si>
    <t>3.05亿</t>
  </si>
  <si>
    <t>天赐材料</t>
  </si>
  <si>
    <t>3.40亿</t>
  </si>
  <si>
    <t>1.79亿</t>
  </si>
  <si>
    <t>4.36亿</t>
  </si>
  <si>
    <t>4.85亿</t>
  </si>
  <si>
    <t>4.61亿</t>
  </si>
  <si>
    <t>4.12亿</t>
  </si>
  <si>
    <t>13.6亿</t>
  </si>
  <si>
    <t>41.7亿</t>
  </si>
  <si>
    <t>24.4亿</t>
  </si>
  <si>
    <t>8.06亿</t>
  </si>
  <si>
    <t>11.4亿</t>
  </si>
  <si>
    <t>1.12亿</t>
  </si>
  <si>
    <t>28.3亿</t>
  </si>
  <si>
    <t>世荣兆业</t>
  </si>
  <si>
    <t>8.09亿</t>
  </si>
  <si>
    <t>6.46亿</t>
  </si>
  <si>
    <t>1.81万</t>
  </si>
  <si>
    <t>9.34亿</t>
  </si>
  <si>
    <t>4.79亿</t>
  </si>
  <si>
    <t>-8.55万</t>
  </si>
  <si>
    <t>4.74亿</t>
  </si>
  <si>
    <t>4.06亿</t>
  </si>
  <si>
    <t>69.7亿</t>
  </si>
  <si>
    <t>63.0亿</t>
  </si>
  <si>
    <t>1.71亿</t>
  </si>
  <si>
    <t>40.7亿</t>
  </si>
  <si>
    <t>26.0亿</t>
  </si>
  <si>
    <t>28.8亿</t>
  </si>
  <si>
    <t>1.36亿</t>
  </si>
  <si>
    <t>侨源气体</t>
  </si>
  <si>
    <t>9000万</t>
  </si>
  <si>
    <t>3.82亿</t>
  </si>
  <si>
    <t>5696万</t>
  </si>
  <si>
    <t>3.50万</t>
  </si>
  <si>
    <t>5761万</t>
  </si>
  <si>
    <t>4313万</t>
  </si>
  <si>
    <t>6.68亿</t>
  </si>
  <si>
    <t>4.66亿</t>
  </si>
  <si>
    <t>1.57亿</t>
  </si>
  <si>
    <t>1.86亿</t>
  </si>
  <si>
    <t>2171万</t>
  </si>
  <si>
    <t>华菱钢铁</t>
  </si>
  <si>
    <t>30.2亿</t>
  </si>
  <si>
    <t>3.24万</t>
  </si>
  <si>
    <t>200亿</t>
  </si>
  <si>
    <t>19.1亿</t>
  </si>
  <si>
    <t>1961万</t>
  </si>
  <si>
    <t>15.3亿</t>
  </si>
  <si>
    <t>9.83亿</t>
  </si>
  <si>
    <t>762亿</t>
  </si>
  <si>
    <t>315亿</t>
  </si>
  <si>
    <t>391亿</t>
  </si>
  <si>
    <t>597亿</t>
  </si>
  <si>
    <t>456亿</t>
  </si>
  <si>
    <t>141亿</t>
  </si>
  <si>
    <t>119亿</t>
  </si>
  <si>
    <t>70.3亿</t>
  </si>
  <si>
    <t>柳钢股份</t>
  </si>
  <si>
    <t>25.6亿</t>
  </si>
  <si>
    <t>4.03万</t>
  </si>
  <si>
    <t>114亿</t>
  </si>
  <si>
    <t>12.3亿</t>
  </si>
  <si>
    <t>-160万</t>
  </si>
  <si>
    <t>10.5亿</t>
  </si>
  <si>
    <t>42.4亿</t>
  </si>
  <si>
    <t>225亿</t>
  </si>
  <si>
    <t>124亿</t>
  </si>
  <si>
    <t>95.6亿</t>
  </si>
  <si>
    <t>143亿</t>
  </si>
  <si>
    <t>136亿</t>
  </si>
  <si>
    <t>82.5亿</t>
  </si>
  <si>
    <t>2.08亿</t>
  </si>
  <si>
    <t>沧州大化</t>
  </si>
  <si>
    <t>6.16亿</t>
  </si>
  <si>
    <t>20.2亿</t>
  </si>
  <si>
    <t>19.6亿</t>
  </si>
  <si>
    <t>21.4亿</t>
  </si>
  <si>
    <t>8.76亿</t>
  </si>
  <si>
    <t>2426万</t>
  </si>
  <si>
    <t>31.5亿</t>
  </si>
  <si>
    <t>6.42亿</t>
  </si>
  <si>
    <t>万华化学</t>
  </si>
  <si>
    <t>27.3亿</t>
  </si>
  <si>
    <t>2.12万</t>
  </si>
  <si>
    <t>51.9亿</t>
  </si>
  <si>
    <t>2982万</t>
  </si>
  <si>
    <t>51.8亿</t>
  </si>
  <si>
    <t>35.5亿</t>
  </si>
  <si>
    <t>188亿</t>
  </si>
  <si>
    <t>664亿</t>
  </si>
  <si>
    <t>252亿</t>
  </si>
  <si>
    <t>277亿</t>
  </si>
  <si>
    <t>356亿</t>
  </si>
  <si>
    <t>283亿</t>
  </si>
  <si>
    <t>73.7亿</t>
  </si>
  <si>
    <t>267亿</t>
  </si>
  <si>
    <t>23.9亿</t>
  </si>
  <si>
    <t>福建水泥</t>
  </si>
  <si>
    <t>5.03亿</t>
  </si>
  <si>
    <t>1.11亿</t>
  </si>
  <si>
    <t>22.1万</t>
  </si>
  <si>
    <t>8648万</t>
  </si>
  <si>
    <t>-3.26亿</t>
  </si>
  <si>
    <t>39.1亿</t>
  </si>
  <si>
    <t>6.38亿</t>
  </si>
  <si>
    <t>21.5亿</t>
  </si>
  <si>
    <t>27.7亿</t>
  </si>
  <si>
    <t>26.2亿</t>
  </si>
  <si>
    <t>1.53亿</t>
  </si>
  <si>
    <t>6.82亿</t>
  </si>
  <si>
    <t>2.14亿</t>
  </si>
  <si>
    <t>华友钴业</t>
  </si>
  <si>
    <t>5.93亿</t>
  </si>
  <si>
    <t>34.3亿</t>
  </si>
  <si>
    <t>9.06亿</t>
  </si>
  <si>
    <t>1473万</t>
  </si>
  <si>
    <t>9.05亿</t>
  </si>
  <si>
    <t>33.0亿</t>
  </si>
  <si>
    <t>195亿</t>
  </si>
  <si>
    <t>135亿</t>
  </si>
  <si>
    <t>36.0亿</t>
  </si>
  <si>
    <t>127亿</t>
  </si>
  <si>
    <t>113亿</t>
  </si>
  <si>
    <t>67.5亿</t>
  </si>
  <si>
    <t>平治信息</t>
  </si>
  <si>
    <t>6894万</t>
  </si>
  <si>
    <t>2.34亿</t>
  </si>
  <si>
    <t>7375万</t>
  </si>
  <si>
    <t>7356万</t>
  </si>
  <si>
    <t>4772万</t>
  </si>
  <si>
    <t>2.44亿</t>
  </si>
  <si>
    <t>6.87亿</t>
  </si>
  <si>
    <t>4.73亿</t>
  </si>
  <si>
    <t>5068万</t>
  </si>
  <si>
    <t>2.82亿</t>
  </si>
  <si>
    <t>3.85亿</t>
  </si>
  <si>
    <t>5035万</t>
  </si>
  <si>
    <t>华通热力</t>
  </si>
  <si>
    <t>3000万</t>
  </si>
  <si>
    <t>5.54亿</t>
  </si>
  <si>
    <t>15.8万</t>
  </si>
  <si>
    <t>8567万</t>
  </si>
  <si>
    <t>2.89亿</t>
  </si>
  <si>
    <t>6.83亿</t>
  </si>
  <si>
    <t>7.84亿</t>
  </si>
  <si>
    <t>7.00亿</t>
  </si>
  <si>
    <t>8383万</t>
  </si>
  <si>
    <t>6.79亿</t>
  </si>
  <si>
    <t>2.61亿</t>
  </si>
  <si>
    <t>金达威</t>
  </si>
  <si>
    <t>6.00亿</t>
  </si>
  <si>
    <t>2.84万</t>
  </si>
  <si>
    <t>7.55亿</t>
  </si>
  <si>
    <t>284万</t>
  </si>
  <si>
    <t>4.02亿</t>
  </si>
  <si>
    <t>3.38亿</t>
  </si>
  <si>
    <t>7.26亿</t>
  </si>
  <si>
    <t>3.86亿</t>
  </si>
  <si>
    <t>27.9亿</t>
  </si>
  <si>
    <t>西藏珠峰</t>
  </si>
  <si>
    <t>6.53亿</t>
  </si>
  <si>
    <t>1.58亿</t>
  </si>
  <si>
    <t>5.55亿</t>
  </si>
  <si>
    <t>2.59亿</t>
  </si>
  <si>
    <t>42.5万</t>
  </si>
  <si>
    <t>2.24亿</t>
  </si>
  <si>
    <t>18.5亿</t>
  </si>
  <si>
    <t>40.0亿</t>
  </si>
  <si>
    <t>25.9亿</t>
  </si>
  <si>
    <t>9.49亿</t>
  </si>
  <si>
    <t>21.3亿</t>
  </si>
  <si>
    <t>7.78亿</t>
  </si>
  <si>
    <t>18.7亿</t>
  </si>
  <si>
    <t>2236万</t>
  </si>
  <si>
    <t>山西汾酒</t>
  </si>
  <si>
    <t>8.66亿</t>
  </si>
  <si>
    <t>3.07万</t>
  </si>
  <si>
    <t>10.6亿</t>
  </si>
  <si>
    <t>1.90万</t>
  </si>
  <si>
    <t>7.10亿</t>
  </si>
  <si>
    <t>43.1亿</t>
  </si>
  <si>
    <t>105亿</t>
  </si>
  <si>
    <t>76.8亿</t>
  </si>
  <si>
    <t>43.5亿</t>
  </si>
  <si>
    <t>43.4亿</t>
  </si>
  <si>
    <t>1513万</t>
  </si>
  <si>
    <t>59.5亿</t>
  </si>
  <si>
    <t>2.42亿</t>
  </si>
  <si>
    <t>东尼电子</t>
  </si>
  <si>
    <t>1.02亿</t>
  </si>
  <si>
    <t>2500万</t>
  </si>
  <si>
    <t>2.95亿</t>
  </si>
  <si>
    <t>30.0万</t>
  </si>
  <si>
    <t>8793万</t>
  </si>
  <si>
    <t>14.0亿</t>
  </si>
  <si>
    <t>8.00亿</t>
  </si>
  <si>
    <t>4.42亿</t>
  </si>
  <si>
    <t>5.74亿</t>
  </si>
  <si>
    <t>4.91亿</t>
  </si>
  <si>
    <t>8285万</t>
  </si>
  <si>
    <t>8.22亿</t>
  </si>
  <si>
    <t>4.48亿</t>
  </si>
  <si>
    <t>洋河股份</t>
  </si>
  <si>
    <t>15.1亿</t>
  </si>
  <si>
    <t>12.4亿</t>
  </si>
  <si>
    <t>4.66万</t>
  </si>
  <si>
    <t>95.4亿</t>
  </si>
  <si>
    <t>46.7亿</t>
  </si>
  <si>
    <t>1.63亿</t>
  </si>
  <si>
    <t>46.8亿</t>
  </si>
  <si>
    <t>300亿</t>
  </si>
  <si>
    <t>444亿</t>
  </si>
  <si>
    <t>290亿</t>
  </si>
  <si>
    <t>81.5亿</t>
  </si>
  <si>
    <t>111亿</t>
  </si>
  <si>
    <t>3.21亿</t>
  </si>
  <si>
    <t>330亿</t>
  </si>
  <si>
    <t>7.42亿</t>
  </si>
  <si>
    <t>合盛硅业</t>
  </si>
  <si>
    <t>6.70亿</t>
  </si>
  <si>
    <t>7000万</t>
  </si>
  <si>
    <t>22.5亿</t>
  </si>
  <si>
    <t>7.45亿</t>
  </si>
  <si>
    <t>336万</t>
  </si>
  <si>
    <t>7.44亿</t>
  </si>
  <si>
    <t>6.30亿</t>
  </si>
  <si>
    <t>30.3亿</t>
  </si>
  <si>
    <t>151亿</t>
  </si>
  <si>
    <t>52.2亿</t>
  </si>
  <si>
    <t>50.0亿</t>
  </si>
  <si>
    <t>90.4亿</t>
  </si>
  <si>
    <t>69.3亿</t>
  </si>
  <si>
    <t>21.1亿</t>
  </si>
  <si>
    <t>60.5亿</t>
  </si>
  <si>
    <t>22.7亿</t>
  </si>
  <si>
    <t>分众传媒</t>
  </si>
  <si>
    <t>122亿</t>
  </si>
  <si>
    <t>58.0亿</t>
  </si>
  <si>
    <t>8.30万</t>
  </si>
  <si>
    <t>29.6亿</t>
  </si>
  <si>
    <t>14.6亿</t>
  </si>
  <si>
    <t>97.0万</t>
  </si>
  <si>
    <t>109亿</t>
  </si>
  <si>
    <t>157亿</t>
  </si>
  <si>
    <t>39.6亿</t>
  </si>
  <si>
    <t>29.0亿</t>
  </si>
  <si>
    <t>116亿</t>
  </si>
  <si>
    <t>建新股份</t>
  </si>
  <si>
    <t>5.47亿</t>
  </si>
  <si>
    <t>3.28亿</t>
  </si>
  <si>
    <t>2.74亿</t>
  </si>
  <si>
    <t>1.34亿</t>
  </si>
  <si>
    <t>211万</t>
  </si>
  <si>
    <t>3.47亿</t>
  </si>
  <si>
    <t>7.48亿</t>
  </si>
  <si>
    <t>4.25亿</t>
  </si>
  <si>
    <t>1.09亿</t>
  </si>
  <si>
    <t>401万</t>
  </si>
  <si>
    <t>11.0亿</t>
  </si>
  <si>
    <t>1.76亿</t>
  </si>
  <si>
    <t>深圳惠程</t>
  </si>
  <si>
    <t>8.21亿</t>
  </si>
  <si>
    <t>1.45万</t>
  </si>
  <si>
    <t>6.04亿</t>
  </si>
  <si>
    <t>1.91亿</t>
  </si>
  <si>
    <t>1.50亿</t>
  </si>
  <si>
    <t>1.56亿</t>
  </si>
  <si>
    <t>4.75亿</t>
  </si>
  <si>
    <t>34.5亿</t>
  </si>
  <si>
    <t>11.6亿</t>
  </si>
  <si>
    <t>9875万</t>
  </si>
  <si>
    <t>7.19亿</t>
  </si>
  <si>
    <t>4.84亿</t>
  </si>
  <si>
    <t>海尔施</t>
  </si>
  <si>
    <t>2.07亿</t>
  </si>
  <si>
    <t>8.28亿</t>
  </si>
  <si>
    <t>8794万</t>
  </si>
  <si>
    <t>248万</t>
  </si>
  <si>
    <t>7705万</t>
  </si>
  <si>
    <t>4.10亿</t>
  </si>
  <si>
    <t>13.9亿</t>
  </si>
  <si>
    <t>12.0亿</t>
  </si>
  <si>
    <t>1665万</t>
  </si>
  <si>
    <t>7.46亿</t>
  </si>
  <si>
    <t>8643万</t>
  </si>
  <si>
    <t>方大特钢</t>
  </si>
  <si>
    <t>1.54万</t>
  </si>
  <si>
    <t>170万</t>
  </si>
  <si>
    <t>7.53亿</t>
  </si>
  <si>
    <t>5.57亿</t>
  </si>
  <si>
    <t>75.7亿</t>
  </si>
  <si>
    <t>81.4亿</t>
  </si>
  <si>
    <t>80.6亿</t>
  </si>
  <si>
    <t>7464万</t>
  </si>
  <si>
    <t>33.1亿</t>
  </si>
  <si>
    <t>6177万</t>
  </si>
  <si>
    <t>广济药业</t>
  </si>
  <si>
    <t>2.52亿</t>
  </si>
  <si>
    <t>1.17亿</t>
  </si>
  <si>
    <t>-94.4万</t>
  </si>
  <si>
    <t>8487万</t>
  </si>
  <si>
    <t>4.53亿</t>
  </si>
  <si>
    <t>17.1亿</t>
  </si>
  <si>
    <t>5.13亿</t>
  </si>
  <si>
    <t>8.77亿</t>
  </si>
  <si>
    <t>8.59亿</t>
  </si>
  <si>
    <t>7.58亿</t>
  </si>
  <si>
    <t>1.01亿</t>
  </si>
  <si>
    <t>8.44亿</t>
  </si>
  <si>
    <t>6079万</t>
  </si>
  <si>
    <t>三超新材</t>
  </si>
  <si>
    <t>9360万</t>
  </si>
  <si>
    <t>5639万</t>
  </si>
  <si>
    <t>1.39亿</t>
  </si>
  <si>
    <t>6193万</t>
  </si>
  <si>
    <t>6189万</t>
  </si>
  <si>
    <t>5252万</t>
  </si>
  <si>
    <t>6.21亿</t>
  </si>
  <si>
    <t>4.22亿</t>
  </si>
  <si>
    <t>9525万</t>
  </si>
  <si>
    <t>8253万</t>
  </si>
  <si>
    <t>1272万</t>
  </si>
  <si>
    <t>5.26亿</t>
  </si>
  <si>
    <t>*ST准油</t>
  </si>
  <si>
    <t>2.39亿</t>
  </si>
  <si>
    <t>2.37亿</t>
  </si>
  <si>
    <t>2838万</t>
  </si>
  <si>
    <t>-1601万</t>
  </si>
  <si>
    <t>-1605万</t>
  </si>
  <si>
    <t>-1610万</t>
  </si>
  <si>
    <t>-1.76亿</t>
  </si>
  <si>
    <t>6.72亿</t>
  </si>
  <si>
    <t>2.38亿</t>
  </si>
  <si>
    <t>1.19亿</t>
  </si>
  <si>
    <t>3.37亿</t>
  </si>
  <si>
    <t>3.11亿</t>
  </si>
  <si>
    <t>2603万</t>
  </si>
  <si>
    <t>3.35亿</t>
  </si>
  <si>
    <t>2.21亿</t>
  </si>
  <si>
    <t>养元饮品</t>
  </si>
  <si>
    <t>6027万</t>
  </si>
  <si>
    <t>28.5亿</t>
  </si>
  <si>
    <t>7902万</t>
  </si>
  <si>
    <t>9.30亿</t>
  </si>
  <si>
    <t>74.8亿</t>
  </si>
  <si>
    <t>115亿</t>
  </si>
  <si>
    <t>6.48亿</t>
  </si>
  <si>
    <t>19.8亿</t>
  </si>
  <si>
    <t>8786万</t>
  </si>
  <si>
    <t>32.2亿</t>
  </si>
  <si>
    <t>XD文山电</t>
  </si>
  <si>
    <t>5.58亿</t>
  </si>
  <si>
    <t>2.18亿</t>
  </si>
  <si>
    <t>735万</t>
  </si>
  <si>
    <t>1.87亿</t>
  </si>
  <si>
    <t>10.8亿</t>
  </si>
  <si>
    <t>28.0亿</t>
  </si>
  <si>
    <t>5.50亿</t>
  </si>
  <si>
    <t>19.2亿</t>
  </si>
  <si>
    <t>9.07亿</t>
  </si>
  <si>
    <t>4.33亿</t>
  </si>
  <si>
    <t>沙隆达Ａ</t>
  </si>
  <si>
    <t>24.5亿</t>
  </si>
  <si>
    <t>3.64亿</t>
  </si>
  <si>
    <t>1.02万</t>
  </si>
  <si>
    <t>65.0亿</t>
  </si>
  <si>
    <t>25.7亿</t>
  </si>
  <si>
    <t>1.38亿</t>
  </si>
  <si>
    <t>20.3亿</t>
  </si>
  <si>
    <t>53.1亿</t>
  </si>
  <si>
    <t>399亿</t>
  </si>
  <si>
    <t>223亿</t>
  </si>
  <si>
    <t>102亿</t>
  </si>
  <si>
    <t>93.3亿</t>
  </si>
  <si>
    <t>203亿</t>
  </si>
  <si>
    <t>130亿</t>
  </si>
  <si>
    <t>承德露露</t>
  </si>
  <si>
    <t>9.79亿</t>
  </si>
  <si>
    <t>9.78亿</t>
  </si>
  <si>
    <t>1.93万</t>
  </si>
  <si>
    <t>8.96亿</t>
  </si>
  <si>
    <t>27.4亿</t>
  </si>
  <si>
    <t>2.58亿</t>
  </si>
  <si>
    <t>4927万</t>
  </si>
  <si>
    <t>22.2亿</t>
  </si>
  <si>
    <t>1731万</t>
  </si>
  <si>
    <t>*ST钒钛</t>
  </si>
  <si>
    <t>85.9亿</t>
  </si>
  <si>
    <t>47.7亿</t>
  </si>
  <si>
    <t>31.9亿</t>
  </si>
  <si>
    <t>5.42亿</t>
  </si>
  <si>
    <t>4.68亿</t>
  </si>
  <si>
    <t>-108亿</t>
  </si>
  <si>
    <t>42.1亿</t>
  </si>
  <si>
    <t>44.1亿</t>
  </si>
  <si>
    <t>53.3亿</t>
  </si>
  <si>
    <t>46.4亿</t>
  </si>
  <si>
    <t>6.92亿</t>
  </si>
  <si>
    <t>55.4亿</t>
  </si>
  <si>
    <t>地素时尚</t>
  </si>
  <si>
    <t>6100万</t>
  </si>
  <si>
    <t>1.47亿</t>
  </si>
  <si>
    <t>9.01亿</t>
  </si>
  <si>
    <t>15.5亿</t>
  </si>
  <si>
    <t>1.85亿</t>
  </si>
  <si>
    <t>4.15亿</t>
  </si>
  <si>
    <t>3.93亿</t>
  </si>
  <si>
    <t>2217万</t>
  </si>
  <si>
    <t>6783万</t>
  </si>
  <si>
    <t>新 和 成</t>
  </si>
  <si>
    <t>18.2亿</t>
  </si>
  <si>
    <t>2.29万</t>
  </si>
  <si>
    <t>30.5亿</t>
  </si>
  <si>
    <t>18.0亿</t>
  </si>
  <si>
    <t>611万</t>
  </si>
  <si>
    <t>14.9亿</t>
  </si>
  <si>
    <t>81.3亿</t>
  </si>
  <si>
    <t>196亿</t>
  </si>
  <si>
    <t>48.8亿</t>
  </si>
  <si>
    <t>40.9亿</t>
  </si>
  <si>
    <t>154亿</t>
  </si>
  <si>
    <t>54.1亿</t>
  </si>
  <si>
    <t>济川药业</t>
  </si>
  <si>
    <t>8.10亿</t>
  </si>
  <si>
    <t>6.64万</t>
  </si>
  <si>
    <t>5.28亿</t>
  </si>
  <si>
    <t>719万</t>
  </si>
  <si>
    <t>4.67亿</t>
  </si>
  <si>
    <t>74.1亿</t>
  </si>
  <si>
    <t>44.0亿</t>
  </si>
  <si>
    <t>25.5亿</t>
  </si>
  <si>
    <t>17.6亿</t>
  </si>
  <si>
    <t>7.82亿</t>
  </si>
  <si>
    <t>48.7亿</t>
  </si>
  <si>
    <t>鲁西化工</t>
  </si>
  <si>
    <t>1.07万</t>
  </si>
  <si>
    <t>48.9亿</t>
  </si>
  <si>
    <t>-224万</t>
  </si>
  <si>
    <t>8.17亿</t>
  </si>
  <si>
    <t>45.2亿</t>
  </si>
  <si>
    <t>287亿</t>
  </si>
  <si>
    <t>36.9亿</t>
  </si>
  <si>
    <t>194亿</t>
  </si>
  <si>
    <t>174亿</t>
  </si>
  <si>
    <t>155亿</t>
  </si>
  <si>
    <t>21.8亿</t>
  </si>
  <si>
    <t>重庆百货</t>
  </si>
  <si>
    <t>2.44万</t>
  </si>
  <si>
    <t>6.17亿</t>
  </si>
  <si>
    <t>9952万</t>
  </si>
  <si>
    <t>134亿</t>
  </si>
  <si>
    <t>80.3亿</t>
  </si>
  <si>
    <t>76.9亿</t>
  </si>
  <si>
    <t>74.2亿</t>
  </si>
  <si>
    <t>2.71亿</t>
  </si>
  <si>
    <t>55.2亿</t>
  </si>
  <si>
    <t>4.03亿</t>
  </si>
  <si>
    <t>千禾味业</t>
  </si>
  <si>
    <t>1.30亿</t>
  </si>
  <si>
    <t>192万</t>
  </si>
  <si>
    <t>1.10亿</t>
  </si>
  <si>
    <t>7.81亿</t>
  </si>
  <si>
    <t>4.24亿</t>
  </si>
  <si>
    <t>2.29亿</t>
  </si>
  <si>
    <t>2168万</t>
  </si>
  <si>
    <t>海天味业</t>
  </si>
  <si>
    <t>13.7万</t>
  </si>
  <si>
    <t>46.9亿</t>
  </si>
  <si>
    <t>6313万</t>
  </si>
  <si>
    <t>76.4亿</t>
  </si>
  <si>
    <t>164亿</t>
  </si>
  <si>
    <t>118亿</t>
  </si>
  <si>
    <t>35.4亿</t>
  </si>
  <si>
    <t>34.1亿</t>
  </si>
  <si>
    <t>32.8亿</t>
  </si>
  <si>
    <t>神州长城</t>
  </si>
  <si>
    <t>17.0亿</t>
  </si>
  <si>
    <t>9.23亿</t>
  </si>
  <si>
    <t>6665万</t>
  </si>
  <si>
    <t>1384万</t>
  </si>
  <si>
    <t>3.20亿</t>
  </si>
  <si>
    <t>79.1亿</t>
  </si>
  <si>
    <t>23.6亿</t>
  </si>
  <si>
    <t>-13.0亿</t>
  </si>
  <si>
    <t>2.64亿</t>
  </si>
  <si>
    <t>海澜之家</t>
  </si>
  <si>
    <t>44.9亿</t>
  </si>
  <si>
    <t>9.01万</t>
  </si>
  <si>
    <t>57.9亿</t>
  </si>
  <si>
    <t>15.4亿</t>
  </si>
  <si>
    <t>477万</t>
  </si>
  <si>
    <t>11.3亿</t>
  </si>
  <si>
    <t>77.4亿</t>
  </si>
  <si>
    <t>275亿</t>
  </si>
  <si>
    <t>197亿</t>
  </si>
  <si>
    <t>152亿</t>
  </si>
  <si>
    <t>13.1亿</t>
  </si>
  <si>
    <t>123亿</t>
  </si>
  <si>
    <t>欧浦智网</t>
  </si>
  <si>
    <t>3.37万</t>
  </si>
  <si>
    <t>2.05亿</t>
  </si>
  <si>
    <t>1.54亿</t>
  </si>
  <si>
    <t>6.54亿</t>
  </si>
  <si>
    <t>16.0亿</t>
  </si>
  <si>
    <t>15.7亿</t>
  </si>
  <si>
    <t>3291万</t>
  </si>
  <si>
    <t>142万</t>
  </si>
  <si>
    <t>康泰生物</t>
  </si>
  <si>
    <t>6.34亿</t>
  </si>
  <si>
    <t>1.76万</t>
  </si>
  <si>
    <t>118万</t>
  </si>
  <si>
    <t>15.0亿</t>
  </si>
  <si>
    <t>4.59亿</t>
  </si>
  <si>
    <t>6.24亿</t>
  </si>
  <si>
    <t>5.40亿</t>
  </si>
  <si>
    <t>水井坊</t>
  </si>
  <si>
    <t>4.89亿</t>
  </si>
  <si>
    <t>1.41万</t>
  </si>
  <si>
    <t>2.11亿</t>
  </si>
  <si>
    <t>1.55亿</t>
  </si>
  <si>
    <t>29.9亿</t>
  </si>
  <si>
    <t>22.9亿</t>
  </si>
  <si>
    <t>2306万</t>
  </si>
  <si>
    <t>17.4亿</t>
  </si>
  <si>
    <t>万业企业</t>
  </si>
  <si>
    <t>7.64亿</t>
  </si>
  <si>
    <t>1159万</t>
  </si>
  <si>
    <t>7.66亿</t>
  </si>
  <si>
    <t>5.72亿</t>
  </si>
  <si>
    <t>85.5亿</t>
  </si>
  <si>
    <t>79.5亿</t>
  </si>
  <si>
    <t>231万</t>
  </si>
  <si>
    <t>21.0亿</t>
  </si>
  <si>
    <t>20.8亿</t>
  </si>
  <si>
    <t>2763万</t>
  </si>
  <si>
    <t>64.4亿</t>
  </si>
  <si>
    <t>今世缘</t>
  </si>
  <si>
    <t>4.14万</t>
  </si>
  <si>
    <t>3720万</t>
  </si>
  <si>
    <t>6.77亿</t>
  </si>
  <si>
    <t>33.9亿</t>
  </si>
  <si>
    <t>72.3亿</t>
  </si>
  <si>
    <t>48.3亿</t>
  </si>
  <si>
    <t>1716万</t>
  </si>
  <si>
    <t>57.7亿</t>
  </si>
  <si>
    <t>7.17亿</t>
  </si>
  <si>
    <t>广宇发展</t>
  </si>
  <si>
    <t>18.6亿</t>
  </si>
  <si>
    <t>1.19万</t>
  </si>
  <si>
    <t>44.3亿</t>
  </si>
  <si>
    <t>9.98亿</t>
  </si>
  <si>
    <t>10.0亿</t>
  </si>
  <si>
    <t>733亿</t>
  </si>
  <si>
    <t>627亿</t>
  </si>
  <si>
    <t>479亿</t>
  </si>
  <si>
    <t>148亿</t>
  </si>
  <si>
    <t>106亿</t>
  </si>
  <si>
    <t>横店影视</t>
  </si>
  <si>
    <t>5300万</t>
  </si>
  <si>
    <t>9.31亿</t>
  </si>
  <si>
    <t>668万</t>
  </si>
  <si>
    <t>1.89亿</t>
  </si>
  <si>
    <t>8.65亿</t>
  </si>
  <si>
    <t>31.6亿</t>
  </si>
  <si>
    <t>15.2亿</t>
  </si>
  <si>
    <t>8.24亿</t>
  </si>
  <si>
    <t>10.00亿</t>
  </si>
  <si>
    <t>7.83亿</t>
  </si>
  <si>
    <t>2.17亿</t>
  </si>
  <si>
    <t>花园生物</t>
  </si>
  <si>
    <t>4.30亿</t>
  </si>
  <si>
    <t>1.26万</t>
  </si>
  <si>
    <t>2.36亿</t>
  </si>
  <si>
    <t>74.1万</t>
  </si>
  <si>
    <t>7.08亿</t>
  </si>
  <si>
    <t>10.4亿</t>
  </si>
  <si>
    <t>1.42亿</t>
  </si>
  <si>
    <t>388万</t>
  </si>
  <si>
    <t>4.47亿</t>
  </si>
  <si>
    <t>东旭蓝天</t>
  </si>
  <si>
    <t>13.4亿</t>
  </si>
  <si>
    <t>3.70万</t>
  </si>
  <si>
    <t>12.8亿</t>
  </si>
  <si>
    <t>270亿</t>
  </si>
  <si>
    <t>178亿</t>
  </si>
  <si>
    <t>144亿</t>
  </si>
  <si>
    <t>69.0亿</t>
  </si>
  <si>
    <t>74.9亿</t>
  </si>
  <si>
    <t>126亿</t>
  </si>
  <si>
    <t>88.7亿</t>
  </si>
  <si>
    <t>迅游科技</t>
  </si>
  <si>
    <t>2.27亿</t>
  </si>
  <si>
    <t>5790万</t>
  </si>
  <si>
    <t>722万</t>
  </si>
  <si>
    <t>5811万</t>
  </si>
  <si>
    <t>5185万</t>
  </si>
  <si>
    <t>36.1亿</t>
  </si>
  <si>
    <t>6.44亿</t>
  </si>
  <si>
    <t>2125万</t>
  </si>
  <si>
    <t>5.32亿</t>
  </si>
  <si>
    <t>5.15亿</t>
  </si>
  <si>
    <t>1692万</t>
  </si>
  <si>
    <t>30.8亿</t>
  </si>
  <si>
    <t>五 粮 液</t>
  </si>
  <si>
    <t>38.8亿</t>
  </si>
  <si>
    <t>38.0亿</t>
  </si>
  <si>
    <t>1.42万</t>
  </si>
  <si>
    <t>68.9亿</t>
  </si>
  <si>
    <t>49.7亿</t>
  </si>
  <si>
    <t>426亿</t>
  </si>
  <si>
    <t>796亿</t>
  </si>
  <si>
    <t>719亿</t>
  </si>
  <si>
    <t>52.1亿</t>
  </si>
  <si>
    <t>198亿</t>
  </si>
  <si>
    <t>2.78亿</t>
  </si>
  <si>
    <t>583亿</t>
  </si>
  <si>
    <t>9.53亿</t>
  </si>
  <si>
    <t>贵州茅台</t>
  </si>
  <si>
    <t>184亿</t>
  </si>
  <si>
    <t>85.1亿</t>
  </si>
  <si>
    <t>885亿</t>
  </si>
  <si>
    <t>1344亿</t>
  </si>
  <si>
    <t>1118亿</t>
  </si>
  <si>
    <t>293亿</t>
  </si>
  <si>
    <t>292亿</t>
  </si>
  <si>
    <t>1557万</t>
  </si>
  <si>
    <t>1000亿</t>
  </si>
  <si>
    <t>13.7亿</t>
  </si>
  <si>
    <t>罗 牛 山</t>
  </si>
  <si>
    <t>11.5亿</t>
  </si>
  <si>
    <t>1.30万</t>
  </si>
  <si>
    <t>2.03亿</t>
  </si>
  <si>
    <t>3.33亿</t>
  </si>
  <si>
    <t>3.31亿</t>
  </si>
  <si>
    <t>10.3亿</t>
  </si>
  <si>
    <t>64.8亿</t>
  </si>
  <si>
    <t>18.4亿</t>
  </si>
  <si>
    <t>25.0亿</t>
  </si>
  <si>
    <t>12.2亿</t>
  </si>
  <si>
    <t>15.9亿</t>
  </si>
  <si>
    <t>博信股份</t>
  </si>
  <si>
    <t>2.30亿</t>
  </si>
  <si>
    <t>2.28亿</t>
  </si>
  <si>
    <t>1.97万</t>
  </si>
  <si>
    <t>4.80亿</t>
  </si>
  <si>
    <t>838万</t>
  </si>
  <si>
    <t>597万</t>
  </si>
  <si>
    <t>-2.61亿</t>
  </si>
  <si>
    <t>119万</t>
  </si>
  <si>
    <t>1.37亿</t>
  </si>
  <si>
    <t>36.9万</t>
  </si>
  <si>
    <t>7021万</t>
  </si>
  <si>
    <t>9574万</t>
  </si>
  <si>
    <t>双杰电气</t>
  </si>
  <si>
    <t>2.53亿</t>
  </si>
  <si>
    <t>5.00亿</t>
  </si>
  <si>
    <t>20.0亿</t>
  </si>
  <si>
    <t>3.53亿</t>
  </si>
  <si>
    <t>5.60亿</t>
  </si>
  <si>
    <t>元力股份</t>
  </si>
  <si>
    <t>2.20亿</t>
  </si>
  <si>
    <t>7.30万</t>
  </si>
  <si>
    <t>4.71亿</t>
  </si>
  <si>
    <t>6339万</t>
  </si>
  <si>
    <t>530万</t>
  </si>
  <si>
    <t>6278万</t>
  </si>
  <si>
    <t>5183万</t>
  </si>
  <si>
    <t>2.12亿</t>
  </si>
  <si>
    <t>5.08亿</t>
  </si>
  <si>
    <t>8.05亿</t>
  </si>
  <si>
    <t>2249万</t>
  </si>
  <si>
    <t>6.25亿</t>
  </si>
  <si>
    <t>1.44亿</t>
  </si>
  <si>
    <t>古井贡酒</t>
  </si>
  <si>
    <t>5.04亿</t>
  </si>
  <si>
    <t>7.80亿</t>
  </si>
  <si>
    <t>2745万</t>
  </si>
  <si>
    <t>7.86亿</t>
  </si>
  <si>
    <t>49.3亿</t>
  </si>
  <si>
    <t>76.6亿</t>
  </si>
  <si>
    <t>70.2亿</t>
  </si>
  <si>
    <t>13.0亿</t>
  </si>
  <si>
    <t>赣锋锂业</t>
  </si>
  <si>
    <t>694万</t>
  </si>
  <si>
    <t>3.58亿</t>
  </si>
  <si>
    <t>23.1亿</t>
  </si>
  <si>
    <t>82.9亿</t>
  </si>
  <si>
    <t>39.9亿</t>
  </si>
  <si>
    <t>43.0亿</t>
  </si>
  <si>
    <t>11.9亿</t>
  </si>
  <si>
    <t>阳谷华泰</t>
  </si>
  <si>
    <t>3.72亿</t>
  </si>
  <si>
    <t>3.60万</t>
  </si>
  <si>
    <t>5.24亿</t>
  </si>
  <si>
    <t>1.29亿</t>
  </si>
  <si>
    <t>23.3亿</t>
  </si>
  <si>
    <t>4.28亿</t>
  </si>
  <si>
    <t>7.88亿</t>
  </si>
  <si>
    <t>7.41亿</t>
  </si>
  <si>
    <t>4665万</t>
  </si>
  <si>
    <t>6.50亿</t>
  </si>
  <si>
    <t>智飞生物</t>
  </si>
  <si>
    <t>4.43万</t>
  </si>
  <si>
    <t>8.38亿</t>
  </si>
  <si>
    <t>3.10亿</t>
  </si>
  <si>
    <t>2.60亿</t>
  </si>
  <si>
    <t>48.5亿</t>
  </si>
  <si>
    <t>30.0亿</t>
  </si>
  <si>
    <t>16.5亿</t>
  </si>
  <si>
    <t>9810万</t>
  </si>
  <si>
    <t>32.0亿</t>
  </si>
  <si>
    <t>口子窖</t>
  </si>
  <si>
    <t>5.96亿</t>
  </si>
  <si>
    <t>894万</t>
  </si>
  <si>
    <t>5.97亿</t>
  </si>
  <si>
    <t>4.49亿</t>
  </si>
  <si>
    <t>72.2亿</t>
  </si>
  <si>
    <t>50.6亿</t>
  </si>
  <si>
    <t>16.2亿</t>
  </si>
  <si>
    <t>6500万</t>
  </si>
  <si>
    <t>55.3亿</t>
  </si>
  <si>
    <t>9.77亿</t>
  </si>
  <si>
    <t>正虹科技</t>
  </si>
  <si>
    <t>2.83亿</t>
  </si>
  <si>
    <t>5460万</t>
  </si>
  <si>
    <t>-18.6万</t>
  </si>
  <si>
    <t>5431万</t>
  </si>
  <si>
    <t>4128万</t>
  </si>
  <si>
    <t>1234万</t>
  </si>
  <si>
    <t>7.25亿</t>
  </si>
  <si>
    <t>3.41亿</t>
  </si>
  <si>
    <t>1581万</t>
  </si>
  <si>
    <t>5.10亿</t>
  </si>
  <si>
    <t>1.83亿</t>
  </si>
  <si>
    <t>三钢闽光</t>
  </si>
  <si>
    <t>9.91亿</t>
  </si>
  <si>
    <t>2.22万</t>
  </si>
  <si>
    <t>60.8亿</t>
  </si>
  <si>
    <t>12.7亿</t>
  </si>
  <si>
    <t>1765万</t>
  </si>
  <si>
    <t>9.66亿</t>
  </si>
  <si>
    <t>53.7亿</t>
  </si>
  <si>
    <t>98.3亿</t>
  </si>
  <si>
    <t>64.1亿</t>
  </si>
  <si>
    <t>5.62亿</t>
  </si>
  <si>
    <t>120亿</t>
  </si>
  <si>
    <t>45.8亿</t>
  </si>
  <si>
    <t>南钢股份</t>
  </si>
  <si>
    <t>2.51万</t>
  </si>
  <si>
    <t>1385万</t>
  </si>
  <si>
    <t>10.1亿</t>
  </si>
  <si>
    <t>56.1亿</t>
  </si>
  <si>
    <t>405亿</t>
  </si>
  <si>
    <t>170亿</t>
  </si>
  <si>
    <t>204亿</t>
  </si>
  <si>
    <t>239亿</t>
  </si>
  <si>
    <t>228亿</t>
  </si>
  <si>
    <t>18.3亿</t>
  </si>
  <si>
    <t>格力电器</t>
  </si>
  <si>
    <t>60.2亿</t>
  </si>
  <si>
    <t>59.7亿</t>
  </si>
  <si>
    <t>1.37万</t>
  </si>
  <si>
    <t>400亿</t>
  </si>
  <si>
    <t>63.3亿</t>
  </si>
  <si>
    <t>4778万</t>
  </si>
  <si>
    <t>63.9亿</t>
  </si>
  <si>
    <t>55.8亿</t>
  </si>
  <si>
    <t>613亿</t>
  </si>
  <si>
    <t>2184亿</t>
  </si>
  <si>
    <t>1715亿</t>
  </si>
  <si>
    <t>175亿</t>
  </si>
  <si>
    <t>1462亿</t>
  </si>
  <si>
    <t>1455亿</t>
  </si>
  <si>
    <t>6.67亿</t>
  </si>
  <si>
    <t>709亿</t>
  </si>
  <si>
    <t>1.04亿</t>
  </si>
  <si>
    <t>金禾实业</t>
  </si>
  <si>
    <t>5.64亿</t>
  </si>
  <si>
    <t>1.39万</t>
  </si>
  <si>
    <t>1468万</t>
  </si>
  <si>
    <t>2.92亿</t>
  </si>
  <si>
    <t>56.3亿</t>
  </si>
  <si>
    <t>17.7亿</t>
  </si>
  <si>
    <t>34.0亿</t>
  </si>
  <si>
    <t>5.05亿</t>
  </si>
  <si>
    <t>招商蛇口</t>
  </si>
  <si>
    <t>79.0亿</t>
  </si>
  <si>
    <t>2.15万</t>
  </si>
  <si>
    <t>91.6亿</t>
  </si>
  <si>
    <t>38.4亿</t>
  </si>
  <si>
    <t>57.8亿</t>
  </si>
  <si>
    <t>390亿</t>
  </si>
  <si>
    <t>3606亿</t>
  </si>
  <si>
    <t>3136亿</t>
  </si>
  <si>
    <t>2602亿</t>
  </si>
  <si>
    <t>1775亿</t>
  </si>
  <si>
    <t>827亿</t>
  </si>
  <si>
    <t>745亿</t>
  </si>
  <si>
    <t>伊利股份</t>
  </si>
  <si>
    <t>60.3亿</t>
  </si>
  <si>
    <t>2.37万</t>
  </si>
  <si>
    <t>7269万</t>
  </si>
  <si>
    <t>162亿</t>
  </si>
  <si>
    <t>490亿</t>
  </si>
  <si>
    <t>285亿</t>
  </si>
  <si>
    <t>140亿</t>
  </si>
  <si>
    <t>217亿</t>
  </si>
  <si>
    <t>214亿</t>
  </si>
  <si>
    <t>3.06亿</t>
  </si>
  <si>
    <t>272亿</t>
  </si>
  <si>
    <t>联美控股</t>
  </si>
  <si>
    <t>2.98万</t>
  </si>
  <si>
    <t>1179万</t>
  </si>
  <si>
    <t>5.95亿</t>
  </si>
  <si>
    <t>29.2亿</t>
  </si>
  <si>
    <t>108亿</t>
  </si>
  <si>
    <t>60.1亿</t>
  </si>
  <si>
    <t>30.4亿</t>
  </si>
  <si>
    <t>7.74亿</t>
  </si>
  <si>
    <t>77.0亿</t>
  </si>
  <si>
    <t>37.2亿</t>
  </si>
  <si>
    <t>苏 泊 尔</t>
  </si>
  <si>
    <t>5.45亿</t>
  </si>
  <si>
    <t>5.21万</t>
  </si>
  <si>
    <t>6.03亿</t>
  </si>
  <si>
    <t>1369万</t>
  </si>
  <si>
    <t>43.3亿</t>
  </si>
  <si>
    <t>90.9亿</t>
  </si>
  <si>
    <t>75.6亿</t>
  </si>
  <si>
    <t>8.47亿</t>
  </si>
  <si>
    <t>35.0亿</t>
  </si>
  <si>
    <t>34.7亿</t>
  </si>
  <si>
    <t>2485万</t>
  </si>
  <si>
    <t>56.0亿</t>
  </si>
  <si>
    <t>青松股份</t>
  </si>
  <si>
    <t>2.11万</t>
  </si>
  <si>
    <t>2.54亿</t>
  </si>
  <si>
    <t>7195万</t>
  </si>
  <si>
    <t>7190万</t>
  </si>
  <si>
    <t>6080万</t>
  </si>
  <si>
    <t>2.87亿</t>
  </si>
  <si>
    <t>826万</t>
  </si>
  <si>
    <t>8242万</t>
  </si>
  <si>
    <t>中国国旅</t>
  </si>
  <si>
    <t>6.29万</t>
  </si>
  <si>
    <t>88.5亿</t>
  </si>
  <si>
    <t>16.7亿</t>
  </si>
  <si>
    <t>2448万</t>
  </si>
  <si>
    <t>89.1亿</t>
  </si>
  <si>
    <t>229亿</t>
  </si>
  <si>
    <t>191亿</t>
  </si>
  <si>
    <t>67.7亿</t>
  </si>
  <si>
    <t>66.0亿</t>
  </si>
  <si>
    <t>诺 普 信</t>
  </si>
  <si>
    <t>9.14亿</t>
  </si>
  <si>
    <t>1.52万</t>
  </si>
  <si>
    <t>1.74亿</t>
  </si>
  <si>
    <t>4277万</t>
  </si>
  <si>
    <t>1.78亿</t>
  </si>
  <si>
    <t>1.60亿</t>
  </si>
  <si>
    <t>7.69亿</t>
  </si>
  <si>
    <t>29.8亿</t>
  </si>
  <si>
    <t>3.02亿</t>
  </si>
  <si>
    <t>8355万</t>
  </si>
  <si>
    <t>雪榕生物</t>
  </si>
  <si>
    <t>4.34亿</t>
  </si>
  <si>
    <t>2.32亿</t>
  </si>
  <si>
    <t>37.8亿</t>
  </si>
  <si>
    <t>5.39亿</t>
  </si>
  <si>
    <t>24.1亿</t>
  </si>
  <si>
    <t>13.5亿</t>
  </si>
  <si>
    <t>8.99亿</t>
  </si>
  <si>
    <t>6.06亿</t>
  </si>
  <si>
    <t>泸州老窖</t>
  </si>
  <si>
    <t>2.36万</t>
  </si>
  <si>
    <t>33.7亿</t>
  </si>
  <si>
    <t>97.4亿</t>
  </si>
  <si>
    <t>201亿</t>
  </si>
  <si>
    <t>145亿</t>
  </si>
  <si>
    <t>10.9亿</t>
  </si>
  <si>
    <t>35.8亿</t>
  </si>
  <si>
    <t>35.1亿</t>
  </si>
  <si>
    <t>7103万</t>
  </si>
  <si>
    <t>片仔癀</t>
  </si>
  <si>
    <t>1.03万</t>
  </si>
  <si>
    <t>3.83亿</t>
  </si>
  <si>
    <t>346万</t>
  </si>
  <si>
    <t>46.6亿</t>
  </si>
  <si>
    <t>6733万</t>
  </si>
  <si>
    <t>44.4亿</t>
  </si>
  <si>
    <t>伯特利</t>
  </si>
  <si>
    <t>4.09亿</t>
  </si>
  <si>
    <t>4086万</t>
  </si>
  <si>
    <t>528万</t>
  </si>
  <si>
    <t>6.81亿</t>
  </si>
  <si>
    <t>-115万</t>
  </si>
  <si>
    <t>8690万</t>
  </si>
  <si>
    <t>6.14亿</t>
  </si>
  <si>
    <t>29.5亿</t>
  </si>
  <si>
    <t>5.17亿</t>
  </si>
  <si>
    <t>16.3亿</t>
  </si>
  <si>
    <t>2.33亿</t>
  </si>
  <si>
    <t>华鲁恒升</t>
  </si>
  <si>
    <t>3.93万</t>
  </si>
  <si>
    <t>34.4亿</t>
  </si>
  <si>
    <t>7.34亿</t>
  </si>
  <si>
    <t>56.7亿</t>
  </si>
  <si>
    <t>168亿</t>
  </si>
  <si>
    <t>29.4亿</t>
  </si>
  <si>
    <t>68.1亿</t>
  </si>
  <si>
    <t>100亿</t>
  </si>
  <si>
    <t>20.1亿</t>
  </si>
  <si>
    <t>迎驾贡酒</t>
  </si>
  <si>
    <t>446万</t>
  </si>
  <si>
    <t>39.8亿</t>
  </si>
  <si>
    <t>6119万</t>
  </si>
  <si>
    <t>XD华夏幸</t>
  </si>
  <si>
    <t>2.42万</t>
  </si>
  <si>
    <t>94.8亿</t>
  </si>
  <si>
    <t>34.2亿</t>
  </si>
  <si>
    <t>1.99亿</t>
  </si>
  <si>
    <t>224亿</t>
  </si>
  <si>
    <t>3756亿</t>
  </si>
  <si>
    <t>3476亿</t>
  </si>
  <si>
    <t>3055亿</t>
  </si>
  <si>
    <t>2248亿</t>
  </si>
  <si>
    <t>807亿</t>
  </si>
  <si>
    <t>388亿</t>
  </si>
  <si>
    <t>华东医药</t>
  </si>
  <si>
    <t>3.89万</t>
  </si>
  <si>
    <t>8.49亿</t>
  </si>
  <si>
    <t>716万</t>
  </si>
  <si>
    <t>6.59亿</t>
  </si>
  <si>
    <t>46.5亿</t>
  </si>
  <si>
    <t>173亿</t>
  </si>
  <si>
    <t>138亿</t>
  </si>
  <si>
    <t>78.5亿</t>
  </si>
  <si>
    <t>67.8亿</t>
  </si>
  <si>
    <t>90.5亿</t>
  </si>
  <si>
    <t>华电能源</t>
  </si>
  <si>
    <t>19.7亿</t>
  </si>
  <si>
    <t>31.3亿</t>
  </si>
  <si>
    <t>213万</t>
  </si>
  <si>
    <t>2.16亿</t>
  </si>
  <si>
    <t>1.81亿</t>
  </si>
  <si>
    <t>-13.7亿</t>
  </si>
  <si>
    <t>253亿</t>
  </si>
  <si>
    <t>42.8亿</t>
  </si>
  <si>
    <t>180亿</t>
  </si>
  <si>
    <t>79.7亿</t>
  </si>
  <si>
    <t>24.9亿</t>
  </si>
  <si>
    <t>4.32亿</t>
  </si>
  <si>
    <t>海德股份</t>
  </si>
  <si>
    <t>8356万</t>
  </si>
  <si>
    <t>2656万</t>
  </si>
  <si>
    <t>48.0万</t>
  </si>
  <si>
    <t>2291万</t>
  </si>
  <si>
    <t>4901万</t>
  </si>
  <si>
    <t>72.0亿</t>
  </si>
  <si>
    <t>68.8亿</t>
  </si>
  <si>
    <t>670万</t>
  </si>
  <si>
    <t>40.4亿</t>
  </si>
  <si>
    <t>韵达股份</t>
  </si>
  <si>
    <t>13.2亿</t>
  </si>
  <si>
    <t>26.6亿</t>
  </si>
  <si>
    <t>5.11亿</t>
  </si>
  <si>
    <t>2904万</t>
  </si>
  <si>
    <t>93.2亿</t>
  </si>
  <si>
    <t>42.3亿</t>
  </si>
  <si>
    <t>28.1亿</t>
  </si>
  <si>
    <t>36.6亿</t>
  </si>
  <si>
    <t>5069万</t>
  </si>
  <si>
    <t>56.2亿</t>
  </si>
  <si>
    <t>4.27亿</t>
  </si>
  <si>
    <t>伟明环保</t>
  </si>
  <si>
    <t>6.88亿</t>
  </si>
  <si>
    <t>3.22亿</t>
  </si>
  <si>
    <t>133万</t>
  </si>
  <si>
    <t>41.4亿</t>
  </si>
  <si>
    <t>8916万</t>
  </si>
  <si>
    <t>3.70亿</t>
  </si>
  <si>
    <t>泛海控股</t>
  </si>
  <si>
    <t>52.0亿</t>
  </si>
  <si>
    <t>51.0亿</t>
  </si>
  <si>
    <t>13.4万</t>
  </si>
  <si>
    <t>28.4亿</t>
  </si>
  <si>
    <t>6.15亿</t>
  </si>
  <si>
    <t>89.7亿</t>
  </si>
  <si>
    <t>1986亿</t>
  </si>
  <si>
    <t>1375亿</t>
  </si>
  <si>
    <t>1702亿</t>
  </si>
  <si>
    <t>1011亿</t>
  </si>
  <si>
    <t>691亿</t>
  </si>
  <si>
    <t>213亿</t>
  </si>
  <si>
    <t>52.3亿</t>
  </si>
  <si>
    <t>信维通信</t>
  </si>
  <si>
    <t>1.73万</t>
  </si>
  <si>
    <t>8.62亿</t>
  </si>
  <si>
    <t>31.7万</t>
  </si>
  <si>
    <t>17.5亿</t>
  </si>
  <si>
    <t>55.1亿</t>
  </si>
  <si>
    <t>30.7亿</t>
  </si>
  <si>
    <t>5.02亿</t>
  </si>
  <si>
    <t>25.2亿</t>
  </si>
  <si>
    <t>24.0亿</t>
  </si>
  <si>
    <t>1.13亿</t>
  </si>
  <si>
    <t>29.7亿</t>
  </si>
  <si>
    <t>沃格光电</t>
  </si>
  <si>
    <t>9460万</t>
  </si>
  <si>
    <t>2365万</t>
  </si>
  <si>
    <t>83.8万</t>
  </si>
  <si>
    <t>6804万</t>
  </si>
  <si>
    <t>6799万</t>
  </si>
  <si>
    <t>5557万</t>
  </si>
  <si>
    <t>4.95亿</t>
  </si>
  <si>
    <t>3.59亿</t>
  </si>
  <si>
    <t>1.66亿</t>
  </si>
  <si>
    <t>6974万</t>
  </si>
  <si>
    <t>7.89亿</t>
  </si>
  <si>
    <t>中源协和</t>
  </si>
  <si>
    <t>2.15亿</t>
  </si>
  <si>
    <t>1.24亿</t>
  </si>
  <si>
    <t>1.82亿</t>
  </si>
  <si>
    <t>15.8亿</t>
  </si>
  <si>
    <t>9.88亿</t>
  </si>
  <si>
    <t>弘亚数控</t>
  </si>
  <si>
    <t>1.35亿</t>
  </si>
  <si>
    <t>5336万</t>
  </si>
  <si>
    <t>8336万</t>
  </si>
  <si>
    <t>1382万</t>
  </si>
  <si>
    <t>7062万</t>
  </si>
  <si>
    <t>8.39亿</t>
  </si>
  <si>
    <t>1.31亿</t>
  </si>
  <si>
    <t>825万</t>
  </si>
  <si>
    <t>3.48亿</t>
  </si>
  <si>
    <t>雏鹰农牧</t>
  </si>
  <si>
    <t>31.4亿</t>
  </si>
  <si>
    <t>1.50万</t>
  </si>
  <si>
    <t>5.27亿</t>
  </si>
  <si>
    <t>3.57亿</t>
  </si>
  <si>
    <t>14.1亿</t>
  </si>
  <si>
    <t>222亿</t>
  </si>
  <si>
    <t>27.1亿</t>
  </si>
  <si>
    <t>49.6亿</t>
  </si>
  <si>
    <t>53.2亿</t>
  </si>
  <si>
    <t>沙钢股份</t>
  </si>
  <si>
    <t>22.1亿</t>
  </si>
  <si>
    <t>33.8亿</t>
  </si>
  <si>
    <t>6.91亿</t>
  </si>
  <si>
    <t>2074万</t>
  </si>
  <si>
    <t>6.98亿</t>
  </si>
  <si>
    <t>54.6亿</t>
  </si>
  <si>
    <t>32.5亿</t>
  </si>
  <si>
    <t>36.4亿</t>
  </si>
  <si>
    <t>-6.09亿</t>
  </si>
  <si>
    <t>百川能源</t>
  </si>
  <si>
    <t>3.27亿</t>
  </si>
  <si>
    <t>10.5万</t>
  </si>
  <si>
    <t>2.93亿</t>
  </si>
  <si>
    <t>67.6亿</t>
  </si>
  <si>
    <t>31.7亿</t>
  </si>
  <si>
    <t>6.75亿</t>
  </si>
  <si>
    <t>天齐锂业</t>
  </si>
  <si>
    <t>561万</t>
  </si>
  <si>
    <t>6.60亿</t>
  </si>
  <si>
    <t>72.8亿</t>
  </si>
  <si>
    <t>49.4亿</t>
  </si>
  <si>
    <t>92.4亿</t>
  </si>
  <si>
    <t>42.0亿</t>
  </si>
  <si>
    <t>上峰水泥</t>
  </si>
  <si>
    <t>8.14亿</t>
  </si>
  <si>
    <t>8.30亿</t>
  </si>
  <si>
    <t>-617万</t>
  </si>
  <si>
    <t>2.13亿</t>
  </si>
  <si>
    <t>63.2亿</t>
  </si>
  <si>
    <t>38.1亿</t>
  </si>
  <si>
    <t>-9.64亿</t>
  </si>
  <si>
    <t>金杯汽车</t>
  </si>
  <si>
    <t>2.07万</t>
  </si>
  <si>
    <t>6213万</t>
  </si>
  <si>
    <t>20.5万</t>
  </si>
  <si>
    <t>2025万</t>
  </si>
  <si>
    <t>-24.1亿</t>
  </si>
  <si>
    <t>58.6亿</t>
  </si>
  <si>
    <t>岱勒新材</t>
  </si>
  <si>
    <t>8240万</t>
  </si>
  <si>
    <t>2060万</t>
  </si>
  <si>
    <t>4622万</t>
  </si>
  <si>
    <t>7.89万</t>
  </si>
  <si>
    <t>4618万</t>
  </si>
  <si>
    <t>3914万</t>
  </si>
  <si>
    <t>2.23亿</t>
  </si>
  <si>
    <t>4.86亿</t>
  </si>
  <si>
    <t>5937万</t>
  </si>
  <si>
    <t>5.48亿</t>
  </si>
  <si>
    <t>汤臣倍健</t>
  </si>
  <si>
    <t>1.40万</t>
  </si>
  <si>
    <t>201万</t>
  </si>
  <si>
    <t>63.1亿</t>
  </si>
  <si>
    <t>41.3亿</t>
  </si>
  <si>
    <t>6.49亿</t>
  </si>
  <si>
    <t>6919万</t>
  </si>
  <si>
    <t>49.8亿</t>
  </si>
  <si>
    <t>新集能源</t>
  </si>
  <si>
    <t>1.43万</t>
  </si>
  <si>
    <t>22.6亿</t>
  </si>
  <si>
    <t>5.59亿</t>
  </si>
  <si>
    <t>-858万</t>
  </si>
  <si>
    <t>-4.89亿</t>
  </si>
  <si>
    <t>147亿</t>
  </si>
  <si>
    <t>257亿</t>
  </si>
  <si>
    <t>18.1亿</t>
  </si>
  <si>
    <t>星源材质</t>
  </si>
  <si>
    <t>1.72亿</t>
  </si>
  <si>
    <t>5698万</t>
  </si>
  <si>
    <t>1.07亿</t>
  </si>
  <si>
    <t>8944万</t>
  </si>
  <si>
    <t>3.67亿</t>
  </si>
  <si>
    <t>8.42亿</t>
  </si>
  <si>
    <t>双汇发展</t>
  </si>
  <si>
    <t>5.87万</t>
  </si>
  <si>
    <t>121亿</t>
  </si>
  <si>
    <t>1050万</t>
  </si>
  <si>
    <t>86.7亿</t>
  </si>
  <si>
    <t>235亿</t>
  </si>
  <si>
    <t>66.9亿</t>
  </si>
  <si>
    <t>大连热电</t>
  </si>
  <si>
    <t>1.66万</t>
  </si>
  <si>
    <t>7205万</t>
  </si>
  <si>
    <t>7198万</t>
  </si>
  <si>
    <t>5267万</t>
  </si>
  <si>
    <t>1.06亿</t>
  </si>
  <si>
    <t>4.35亿</t>
  </si>
  <si>
    <t>8.16亿</t>
  </si>
  <si>
    <t>7566万</t>
  </si>
  <si>
    <t>万年青</t>
  </si>
  <si>
    <t>6.13亿</t>
  </si>
  <si>
    <t>4.94亿</t>
  </si>
  <si>
    <t>66.4万</t>
  </si>
  <si>
    <t>4.93亿</t>
  </si>
  <si>
    <t>2.25亿</t>
  </si>
  <si>
    <t>87.6亿</t>
  </si>
  <si>
    <t>37.5亿</t>
  </si>
  <si>
    <t>7.23亿</t>
  </si>
  <si>
    <t>33.3亿</t>
  </si>
  <si>
    <t>2.41亿</t>
  </si>
  <si>
    <t>小天鹅Ａ</t>
  </si>
  <si>
    <t>6.32亿</t>
  </si>
  <si>
    <t>3911万</t>
  </si>
  <si>
    <t>6.94亿</t>
  </si>
  <si>
    <t>53.0亿</t>
  </si>
  <si>
    <t>202亿</t>
  </si>
  <si>
    <t>10.2亿</t>
  </si>
  <si>
    <t>1540万</t>
  </si>
  <si>
    <t>75.8亿</t>
  </si>
  <si>
    <t>飞科电器</t>
  </si>
  <si>
    <t>4360万</t>
  </si>
  <si>
    <t>702万</t>
  </si>
  <si>
    <t>5.80亿</t>
  </si>
  <si>
    <t>4160万</t>
  </si>
  <si>
    <t>25.8亿</t>
  </si>
  <si>
    <t>晨光文具</t>
  </si>
  <si>
    <t>9.20亿</t>
  </si>
  <si>
    <t>8.76万</t>
  </si>
  <si>
    <t>1261万</t>
  </si>
  <si>
    <t>8.57亿</t>
  </si>
  <si>
    <t>8328万</t>
  </si>
  <si>
    <t>2.72亿</t>
  </si>
  <si>
    <t>安琪酵母</t>
  </si>
  <si>
    <t>39.2万</t>
  </si>
  <si>
    <t>81.7亿</t>
  </si>
  <si>
    <t>30.6亿</t>
  </si>
  <si>
    <t>24.6亿</t>
  </si>
  <si>
    <t>40.8亿</t>
  </si>
  <si>
    <t>6.52亿</t>
  </si>
  <si>
    <t>皖新传媒</t>
  </si>
  <si>
    <t>6.02万</t>
  </si>
  <si>
    <t>6.69亿</t>
  </si>
  <si>
    <t>1298万</t>
  </si>
  <si>
    <t>6.58亿</t>
  </si>
  <si>
    <t>133亿</t>
  </si>
  <si>
    <t>1.21亿</t>
  </si>
  <si>
    <t>99.6亿</t>
  </si>
  <si>
    <t>美的集团</t>
  </si>
  <si>
    <t>3.92万</t>
  </si>
  <si>
    <t>703亿</t>
  </si>
  <si>
    <t>3.18亿</t>
  </si>
  <si>
    <t>67.9亿</t>
  </si>
  <si>
    <t>52.6亿</t>
  </si>
  <si>
    <t>529亿</t>
  </si>
  <si>
    <t>2526亿</t>
  </si>
  <si>
    <t>1744亿</t>
  </si>
  <si>
    <t>1647亿</t>
  </si>
  <si>
    <t>1190亿</t>
  </si>
  <si>
    <t>457亿</t>
  </si>
  <si>
    <t>792亿</t>
  </si>
  <si>
    <t>161亿</t>
  </si>
  <si>
    <t>华域汽车</t>
  </si>
  <si>
    <t>28.7亿</t>
  </si>
  <si>
    <t>4.71万</t>
  </si>
  <si>
    <t>402亿</t>
  </si>
  <si>
    <t>40.5亿</t>
  </si>
  <si>
    <t>29.1亿</t>
  </si>
  <si>
    <t>242亿</t>
  </si>
  <si>
    <t>1301亿</t>
  </si>
  <si>
    <t>802亿</t>
  </si>
  <si>
    <t>181亿</t>
  </si>
  <si>
    <t>771亿</t>
  </si>
  <si>
    <t>696亿</t>
  </si>
  <si>
    <t>75.0亿</t>
  </si>
  <si>
    <t>439亿</t>
  </si>
  <si>
    <t>开润股份</t>
  </si>
  <si>
    <t>6376万</t>
  </si>
  <si>
    <t>4582万</t>
  </si>
  <si>
    <t>113万</t>
  </si>
  <si>
    <t>4597万</t>
  </si>
  <si>
    <t>3453万</t>
  </si>
  <si>
    <t>8.33亿</t>
  </si>
  <si>
    <t>9240万</t>
  </si>
  <si>
    <t>4.43亿</t>
  </si>
  <si>
    <t>906万</t>
  </si>
  <si>
    <t>5.25亿</t>
  </si>
  <si>
    <t>广宇集团</t>
  </si>
  <si>
    <t>6.35亿</t>
  </si>
  <si>
    <t>1.38万</t>
  </si>
  <si>
    <t>16.8亿</t>
  </si>
  <si>
    <t>165万</t>
  </si>
  <si>
    <t>82.4亿</t>
  </si>
  <si>
    <t>75.4亿</t>
  </si>
  <si>
    <t>1785万</t>
  </si>
  <si>
    <t>45.0亿</t>
  </si>
  <si>
    <t>8.34亿</t>
  </si>
  <si>
    <t>扬农化工</t>
  </si>
  <si>
    <t>2.64万</t>
  </si>
  <si>
    <t>3.39亿</t>
  </si>
  <si>
    <t>1842万</t>
  </si>
  <si>
    <t>68.6亿</t>
  </si>
  <si>
    <t>39.5亿</t>
  </si>
  <si>
    <t>2492万</t>
  </si>
  <si>
    <t>41.8亿</t>
  </si>
  <si>
    <t>8.15亿</t>
  </si>
  <si>
    <t>露天煤业</t>
  </si>
  <si>
    <t>2.69万</t>
  </si>
  <si>
    <t>8.91亿</t>
  </si>
  <si>
    <t>1126万</t>
  </si>
  <si>
    <t>8.90亿</t>
  </si>
  <si>
    <t>7.50亿</t>
  </si>
  <si>
    <t>66.7亿</t>
  </si>
  <si>
    <t>66.2亿</t>
  </si>
  <si>
    <t>35.9亿</t>
  </si>
  <si>
    <t>3.45亿</t>
  </si>
  <si>
    <t>同力水泥</t>
  </si>
  <si>
    <t>4.96亿</t>
  </si>
  <si>
    <t>1.77亿</t>
  </si>
  <si>
    <t>265万</t>
  </si>
  <si>
    <t>57.3亿</t>
  </si>
  <si>
    <t>58.1亿</t>
  </si>
  <si>
    <t>35.7亿</t>
  </si>
  <si>
    <t>5521万</t>
  </si>
  <si>
    <t>慈铭体检</t>
  </si>
  <si>
    <t>4757万</t>
  </si>
  <si>
    <t>7.57万</t>
  </si>
  <si>
    <t>4808万</t>
  </si>
  <si>
    <t>3425万</t>
  </si>
  <si>
    <t>7.63亿</t>
  </si>
  <si>
    <t>2.81亿</t>
  </si>
  <si>
    <t>50.0万</t>
  </si>
  <si>
    <t>5.21亿</t>
  </si>
  <si>
    <t>信立泰</t>
  </si>
  <si>
    <t>2.90万</t>
  </si>
  <si>
    <t>969万</t>
  </si>
  <si>
    <t>4.92亿</t>
  </si>
  <si>
    <t>47.4亿</t>
  </si>
  <si>
    <t>71.7亿</t>
  </si>
  <si>
    <t>6.02亿</t>
  </si>
  <si>
    <t>64.7亿</t>
  </si>
  <si>
    <t>亿联网络</t>
  </si>
  <si>
    <t>2.99亿</t>
  </si>
  <si>
    <t>7468万</t>
  </si>
  <si>
    <t>3277万</t>
  </si>
  <si>
    <t>1.96亿</t>
  </si>
  <si>
    <t>30.1亿</t>
  </si>
  <si>
    <t>1.18亿</t>
  </si>
  <si>
    <t>1.15亿</t>
  </si>
  <si>
    <t>天地数码</t>
  </si>
  <si>
    <t>6544万</t>
  </si>
  <si>
    <t>1650万</t>
  </si>
  <si>
    <t>9273万</t>
  </si>
  <si>
    <t>1333万</t>
  </si>
  <si>
    <t>7.51万</t>
  </si>
  <si>
    <t>1332万</t>
  </si>
  <si>
    <t>1094万</t>
  </si>
  <si>
    <t>4440万</t>
  </si>
  <si>
    <t>743万</t>
  </si>
  <si>
    <t>宁波中百</t>
  </si>
  <si>
    <t>1.61万</t>
  </si>
  <si>
    <t>1491万</t>
  </si>
  <si>
    <t>63.5万</t>
  </si>
  <si>
    <t>1122万</t>
  </si>
  <si>
    <t>-1.77亿</t>
  </si>
  <si>
    <t>8.11亿</t>
  </si>
  <si>
    <t>4.98亿</t>
  </si>
  <si>
    <t>6508万</t>
  </si>
  <si>
    <t>三聚环保</t>
  </si>
  <si>
    <t>2.62万</t>
  </si>
  <si>
    <t>7.27亿</t>
  </si>
  <si>
    <t>-16.1万</t>
  </si>
  <si>
    <t>7.30亿</t>
  </si>
  <si>
    <t>5.94亿</t>
  </si>
  <si>
    <t>256亿</t>
  </si>
  <si>
    <t>216亿</t>
  </si>
  <si>
    <t>99.7亿</t>
  </si>
  <si>
    <t>94.0亿</t>
  </si>
  <si>
    <t>台海核电</t>
  </si>
  <si>
    <t>8.67亿</t>
  </si>
  <si>
    <t>4.65亿</t>
  </si>
  <si>
    <t>45.6亿</t>
  </si>
  <si>
    <t>26.5亿</t>
  </si>
  <si>
    <t>顾家家居</t>
  </si>
  <si>
    <t>8910万</t>
  </si>
  <si>
    <t>2.80亿</t>
  </si>
  <si>
    <t>2443万</t>
  </si>
  <si>
    <t>2.68亿</t>
  </si>
  <si>
    <t>64.9亿</t>
  </si>
  <si>
    <t>1200万</t>
  </si>
  <si>
    <t>42.9亿</t>
  </si>
  <si>
    <t>金能科技</t>
  </si>
  <si>
    <t>6.76亿</t>
  </si>
  <si>
    <t>3.32亿</t>
  </si>
  <si>
    <t>123万</t>
  </si>
  <si>
    <t>54.9亿</t>
  </si>
  <si>
    <t>27.2亿</t>
  </si>
  <si>
    <t>9.46亿</t>
  </si>
  <si>
    <t>41.1亿</t>
  </si>
  <si>
    <t>17.8亿</t>
  </si>
  <si>
    <t>吉比特</t>
  </si>
  <si>
    <t>7188万</t>
  </si>
  <si>
    <t>4125万</t>
  </si>
  <si>
    <t>3.80亿</t>
  </si>
  <si>
    <t>1661万</t>
  </si>
  <si>
    <t>3095万</t>
  </si>
  <si>
    <t>5.61亿</t>
  </si>
  <si>
    <t>9715万</t>
  </si>
  <si>
    <t>24.7亿</t>
  </si>
  <si>
    <t>恒信东方</t>
  </si>
  <si>
    <t>1.59亿</t>
  </si>
  <si>
    <t>3716万</t>
  </si>
  <si>
    <t>2.33万</t>
  </si>
  <si>
    <t>三七互娱</t>
  </si>
  <si>
    <t>21.2亿</t>
  </si>
  <si>
    <t>2.35万</t>
  </si>
  <si>
    <t>4.72亿</t>
  </si>
  <si>
    <t>1023万</t>
  </si>
  <si>
    <t>90.2亿</t>
  </si>
  <si>
    <t>37.7亿</t>
  </si>
  <si>
    <t>2.91亿</t>
  </si>
  <si>
    <t>27.8亿</t>
  </si>
  <si>
    <t>61.6亿</t>
  </si>
  <si>
    <t>金徽酒</t>
  </si>
  <si>
    <t>4.87亿</t>
  </si>
  <si>
    <t>23.8亿</t>
  </si>
  <si>
    <t>8.89亿</t>
  </si>
  <si>
    <t>4.29亿</t>
  </si>
  <si>
    <t>770万</t>
  </si>
  <si>
    <t>生物股份</t>
  </si>
  <si>
    <t>9.00亿</t>
  </si>
  <si>
    <t>3.73万</t>
  </si>
  <si>
    <t>893万</t>
  </si>
  <si>
    <t>3.51亿</t>
  </si>
  <si>
    <t>62.5亿</t>
  </si>
  <si>
    <t>6.43亿</t>
  </si>
  <si>
    <t>48.2亿</t>
  </si>
  <si>
    <t>富祥股份</t>
  </si>
  <si>
    <t>7171万</t>
  </si>
  <si>
    <t>35.2万</t>
  </si>
  <si>
    <t>7246万</t>
  </si>
  <si>
    <t>6179万</t>
  </si>
  <si>
    <t>4.70亿</t>
  </si>
  <si>
    <t>8.52亿</t>
  </si>
  <si>
    <t>7.06亿</t>
  </si>
  <si>
    <t>1.45亿</t>
  </si>
  <si>
    <t>永东股份</t>
  </si>
  <si>
    <t>9895万</t>
  </si>
  <si>
    <t>222万</t>
  </si>
  <si>
    <t>9402万</t>
  </si>
  <si>
    <t>8048万</t>
  </si>
  <si>
    <t>6.62亿</t>
  </si>
  <si>
    <t>5.16亿</t>
  </si>
  <si>
    <t>2.75亿</t>
  </si>
  <si>
    <t>2.66亿</t>
  </si>
  <si>
    <t>安信信托</t>
  </si>
  <si>
    <t>54.7亿</t>
  </si>
  <si>
    <t>3.57万</t>
  </si>
  <si>
    <t>2533万</t>
  </si>
  <si>
    <t>46.2亿</t>
  </si>
  <si>
    <t>263亿</t>
  </si>
  <si>
    <t>883万</t>
  </si>
  <si>
    <t>149亿</t>
  </si>
  <si>
    <t>40.1亿</t>
  </si>
  <si>
    <t>新钢股份</t>
  </si>
  <si>
    <t>4.19万</t>
  </si>
  <si>
    <t>125亿</t>
  </si>
  <si>
    <t>298万</t>
  </si>
  <si>
    <t>8.70亿</t>
  </si>
  <si>
    <t>48.6亿</t>
  </si>
  <si>
    <t>207亿</t>
  </si>
  <si>
    <t>182亿</t>
  </si>
  <si>
    <t>163亿</t>
  </si>
  <si>
    <t>19.3亿</t>
  </si>
  <si>
    <t>142亿</t>
  </si>
  <si>
    <t>重庆啤酒</t>
  </si>
  <si>
    <t>2.16万</t>
  </si>
  <si>
    <t>8.13亿</t>
  </si>
  <si>
    <t>9093万</t>
  </si>
  <si>
    <t>1852万</t>
  </si>
  <si>
    <t>9103万</t>
  </si>
  <si>
    <t>7556万</t>
  </si>
  <si>
    <t>6.31亿</t>
  </si>
  <si>
    <t>我武生物</t>
  </si>
  <si>
    <t>1.58万</t>
  </si>
  <si>
    <t>6069万</t>
  </si>
  <si>
    <t>297万</t>
  </si>
  <si>
    <t>6115万</t>
  </si>
  <si>
    <t>5195万</t>
  </si>
  <si>
    <t>4.40亿</t>
  </si>
  <si>
    <t>9.03亿</t>
  </si>
  <si>
    <t>7.07亿</t>
  </si>
  <si>
    <t>5008万</t>
  </si>
  <si>
    <t>4522万</t>
  </si>
  <si>
    <t>485万</t>
  </si>
  <si>
    <t>8.53亿</t>
  </si>
  <si>
    <t>小商品城</t>
  </si>
  <si>
    <t>54.4亿</t>
  </si>
  <si>
    <t>2.53万</t>
  </si>
  <si>
    <t>8.07亿</t>
  </si>
  <si>
    <t>6.33亿</t>
  </si>
  <si>
    <t>8.83亿</t>
  </si>
  <si>
    <t>38.5亿</t>
  </si>
  <si>
    <t>251亿</t>
  </si>
  <si>
    <t>58.5亿</t>
  </si>
  <si>
    <t>131亿</t>
  </si>
  <si>
    <t>26.4亿</t>
  </si>
  <si>
    <t>凯乐科技</t>
  </si>
  <si>
    <t>7.09亿</t>
  </si>
  <si>
    <t>1.96万</t>
  </si>
  <si>
    <t>3.46亿</t>
  </si>
  <si>
    <t>681万</t>
  </si>
  <si>
    <t>3.03亿</t>
  </si>
  <si>
    <t>15.6亿</t>
  </si>
  <si>
    <t>健帆生物</t>
  </si>
  <si>
    <t>4.18亿</t>
  </si>
  <si>
    <t>973万</t>
  </si>
  <si>
    <t>8998万</t>
  </si>
  <si>
    <t>3.23亿</t>
  </si>
  <si>
    <t>4008万</t>
  </si>
  <si>
    <t>5.33亿</t>
  </si>
  <si>
    <t>卓郎智能</t>
  </si>
  <si>
    <t>-35.0万</t>
  </si>
  <si>
    <t>8.41亿</t>
  </si>
  <si>
    <t>38.9亿</t>
  </si>
  <si>
    <t>顺发恒业</t>
  </si>
  <si>
    <t>6.46万</t>
  </si>
  <si>
    <t>4.77亿</t>
  </si>
  <si>
    <t>5538万</t>
  </si>
  <si>
    <t>71.8亿</t>
  </si>
  <si>
    <t>陕西煤业</t>
  </si>
  <si>
    <t>2.98亿</t>
  </si>
  <si>
    <t>265亿</t>
  </si>
  <si>
    <t>1092亿</t>
  </si>
  <si>
    <t>312亿</t>
  </si>
  <si>
    <t>276亿</t>
  </si>
  <si>
    <t>475亿</t>
  </si>
  <si>
    <t>浙江医药</t>
  </si>
  <si>
    <t>9.47亿</t>
  </si>
  <si>
    <t>24.4万</t>
  </si>
  <si>
    <t>43.8亿</t>
  </si>
  <si>
    <t>103亿</t>
  </si>
  <si>
    <t>77.8亿</t>
  </si>
  <si>
    <t>天常股份</t>
  </si>
  <si>
    <t>3076万</t>
  </si>
  <si>
    <t>180万</t>
  </si>
  <si>
    <t>3052万</t>
  </si>
  <si>
    <t>2686万</t>
  </si>
  <si>
    <t>4.31亿</t>
  </si>
  <si>
    <t>2108万</t>
  </si>
  <si>
    <t>设计总院</t>
  </si>
  <si>
    <t>8120万</t>
  </si>
  <si>
    <t>-60.4万</t>
  </si>
  <si>
    <t>26.1亿</t>
  </si>
  <si>
    <t>9.11亿</t>
  </si>
  <si>
    <t>2080万</t>
  </si>
  <si>
    <t>8.81亿</t>
  </si>
  <si>
    <t>卧龙地产</t>
  </si>
  <si>
    <t>7.28亿</t>
  </si>
  <si>
    <t>2.18万</t>
  </si>
  <si>
    <t>1.80亿</t>
  </si>
  <si>
    <t>65.1万</t>
  </si>
  <si>
    <t>47.9亿</t>
  </si>
  <si>
    <t>1174万</t>
  </si>
  <si>
    <t>20.4亿</t>
  </si>
  <si>
    <t>2203万</t>
  </si>
  <si>
    <t>盈趣科技</t>
  </si>
  <si>
    <t>7500万</t>
  </si>
  <si>
    <t>6.65亿</t>
  </si>
  <si>
    <t>236万</t>
  </si>
  <si>
    <t>6.40亿</t>
  </si>
  <si>
    <t>5236万</t>
  </si>
  <si>
    <t>先导智能</t>
  </si>
  <si>
    <t>8.82亿</t>
  </si>
  <si>
    <t>2.02亿</t>
  </si>
  <si>
    <t>220万</t>
  </si>
  <si>
    <t>1.73亿</t>
  </si>
  <si>
    <t>9.90亿</t>
  </si>
  <si>
    <t>68.7亿</t>
  </si>
  <si>
    <t>52.5亿</t>
  </si>
  <si>
    <t>39.2亿</t>
  </si>
  <si>
    <t>1.97亿</t>
  </si>
  <si>
    <t>通策医疗</t>
  </si>
  <si>
    <t>1.27万</t>
  </si>
  <si>
    <t>7863万</t>
  </si>
  <si>
    <t>413万</t>
  </si>
  <si>
    <t>7859万</t>
  </si>
  <si>
    <t>6161万</t>
  </si>
  <si>
    <t>7.20亿</t>
  </si>
  <si>
    <t>8.08亿</t>
  </si>
  <si>
    <t>6.22亿</t>
  </si>
  <si>
    <t>9.74万</t>
  </si>
  <si>
    <t>东阿阿胶</t>
  </si>
  <si>
    <t>7.16亿</t>
  </si>
  <si>
    <t>1246万</t>
  </si>
  <si>
    <t>6.09亿</t>
  </si>
  <si>
    <t>22.0亿</t>
  </si>
  <si>
    <t>6427万</t>
  </si>
  <si>
    <t>青岛海尔</t>
  </si>
  <si>
    <t>61.0亿</t>
  </si>
  <si>
    <t>3.01万</t>
  </si>
  <si>
    <t>427亿</t>
  </si>
  <si>
    <t>28.2亿</t>
  </si>
  <si>
    <t>247亿</t>
  </si>
  <si>
    <t>1545亿</t>
  </si>
  <si>
    <t>915亿</t>
  </si>
  <si>
    <t>156亿</t>
  </si>
  <si>
    <t>1057亿</t>
  </si>
  <si>
    <t>804亿</t>
  </si>
  <si>
    <t>339亿</t>
  </si>
  <si>
    <t>恒瑞医药</t>
  </si>
  <si>
    <t>36.8亿</t>
  </si>
  <si>
    <t>3.99万</t>
  </si>
  <si>
    <t>5574万</t>
  </si>
  <si>
    <t>189亿</t>
  </si>
  <si>
    <t>153亿</t>
  </si>
  <si>
    <t>4658万</t>
  </si>
  <si>
    <t>天邑股份</t>
  </si>
  <si>
    <t>6685万</t>
  </si>
  <si>
    <t>6.63亿</t>
  </si>
  <si>
    <t>6194万</t>
  </si>
  <si>
    <t>6132万</t>
  </si>
  <si>
    <t>5232万</t>
  </si>
  <si>
    <t>280万</t>
  </si>
  <si>
    <t>7.60亿</t>
  </si>
  <si>
    <t>武汉中商</t>
  </si>
  <si>
    <t>2.51亿</t>
  </si>
  <si>
    <t>6885万</t>
  </si>
  <si>
    <t>6.39亿</t>
  </si>
  <si>
    <t>26.9亿</t>
  </si>
  <si>
    <t>6.37亿</t>
  </si>
  <si>
    <t>7362万</t>
  </si>
  <si>
    <t>艾迪精密</t>
  </si>
  <si>
    <t>8498万</t>
  </si>
  <si>
    <t>5941万</t>
  </si>
  <si>
    <t>5954万</t>
  </si>
  <si>
    <t>5106万</t>
  </si>
  <si>
    <t>2091万</t>
  </si>
  <si>
    <t>8.93亿</t>
  </si>
  <si>
    <t>3.54亿</t>
  </si>
  <si>
    <t>通化东宝</t>
  </si>
  <si>
    <t>20.5亿</t>
  </si>
  <si>
    <t>5.14万</t>
  </si>
  <si>
    <t>746万</t>
  </si>
  <si>
    <t>50.4亿</t>
  </si>
  <si>
    <t>3997万</t>
  </si>
  <si>
    <t>48.0亿</t>
  </si>
  <si>
    <t>上海石化</t>
  </si>
  <si>
    <t>73.3亿</t>
  </si>
  <si>
    <t>258亿</t>
  </si>
  <si>
    <t>129亿</t>
  </si>
  <si>
    <t>423亿</t>
  </si>
  <si>
    <t>227亿</t>
  </si>
  <si>
    <t>301亿</t>
  </si>
  <si>
    <t>汇洁股份</t>
  </si>
  <si>
    <t>3.89亿</t>
  </si>
  <si>
    <t>5.63亿</t>
  </si>
  <si>
    <t>1.52亿</t>
  </si>
  <si>
    <t>203万</t>
  </si>
  <si>
    <t>7.57亿</t>
  </si>
  <si>
    <t>3.94亿</t>
  </si>
  <si>
    <t>4720万</t>
  </si>
  <si>
    <t>6.29亿</t>
  </si>
  <si>
    <t>太阳纸业</t>
  </si>
  <si>
    <t>25.3亿</t>
  </si>
  <si>
    <t>4.92万</t>
  </si>
  <si>
    <t>-349万</t>
  </si>
  <si>
    <t>9.16亿</t>
  </si>
  <si>
    <t>60.0亿</t>
  </si>
  <si>
    <t>99.9亿</t>
  </si>
  <si>
    <t>海康威视</t>
  </si>
  <si>
    <t>92.3亿</t>
  </si>
  <si>
    <t>5.75万</t>
  </si>
  <si>
    <t>93.6亿</t>
  </si>
  <si>
    <t>2190万</t>
  </si>
  <si>
    <t>502亿</t>
  </si>
  <si>
    <t>322亿</t>
  </si>
  <si>
    <t>涪陵榨菜</t>
  </si>
  <si>
    <t>7.71亿</t>
  </si>
  <si>
    <t>2.82万</t>
  </si>
  <si>
    <t>5.07亿</t>
  </si>
  <si>
    <t>1299万</t>
  </si>
  <si>
    <t>8462万</t>
  </si>
  <si>
    <t>2129万</t>
  </si>
  <si>
    <t>老凤祥</t>
  </si>
  <si>
    <t>3.17亿</t>
  </si>
  <si>
    <t>5.82亿</t>
  </si>
  <si>
    <t>713万</t>
  </si>
  <si>
    <t>3.34亿</t>
  </si>
  <si>
    <t>3.71亿</t>
  </si>
  <si>
    <t>7543万</t>
  </si>
  <si>
    <t>2.06亿</t>
  </si>
  <si>
    <t>健友股份</t>
  </si>
  <si>
    <t>5.52亿</t>
  </si>
  <si>
    <t>8255万</t>
  </si>
  <si>
    <t>1.40亿</t>
  </si>
  <si>
    <t>710万</t>
  </si>
  <si>
    <t>9.64亿</t>
  </si>
  <si>
    <t>2.70亿</t>
  </si>
  <si>
    <t>8.12亿</t>
  </si>
  <si>
    <t>7.76亿</t>
  </si>
  <si>
    <t>3533万</t>
  </si>
  <si>
    <t>马钢股份</t>
  </si>
  <si>
    <t>183亿</t>
  </si>
  <si>
    <t>314亿</t>
  </si>
  <si>
    <t>420亿</t>
  </si>
  <si>
    <t>346亿</t>
  </si>
  <si>
    <t>74.6亿</t>
  </si>
  <si>
    <t>83.5亿</t>
  </si>
  <si>
    <t>康普顿</t>
  </si>
  <si>
    <t>8540万</t>
  </si>
  <si>
    <t>6151万</t>
  </si>
  <si>
    <t>6157万</t>
  </si>
  <si>
    <t>4871万</t>
  </si>
  <si>
    <t>6.96亿</t>
  </si>
  <si>
    <t>2048万</t>
  </si>
  <si>
    <t>2.62亿</t>
  </si>
  <si>
    <t>恒逸石化</t>
  </si>
  <si>
    <t>6.65万</t>
  </si>
  <si>
    <t>9.09亿</t>
  </si>
  <si>
    <t>2.35亿</t>
  </si>
  <si>
    <t>9.24亿</t>
  </si>
  <si>
    <t>7.02亿</t>
  </si>
  <si>
    <t>376亿</t>
  </si>
  <si>
    <t>81.9亿</t>
  </si>
  <si>
    <t>210亿</t>
  </si>
  <si>
    <t>45.9亿</t>
  </si>
  <si>
    <t>比音勒芬</t>
  </si>
  <si>
    <t>7900万</t>
  </si>
  <si>
    <t>288万</t>
  </si>
  <si>
    <t>8494万</t>
  </si>
  <si>
    <t>7.35亿</t>
  </si>
  <si>
    <t>558万</t>
  </si>
  <si>
    <t>三一重工</t>
  </si>
  <si>
    <t>77.1亿</t>
  </si>
  <si>
    <t>76.7亿</t>
  </si>
  <si>
    <t>1.82万</t>
  </si>
  <si>
    <t>166亿</t>
  </si>
  <si>
    <t>638亿</t>
  </si>
  <si>
    <t>422亿</t>
  </si>
  <si>
    <t>355亿</t>
  </si>
  <si>
    <t>90.6亿</t>
  </si>
  <si>
    <t>273亿</t>
  </si>
  <si>
    <t>柯利达</t>
  </si>
  <si>
    <t>2.46万</t>
  </si>
  <si>
    <t>4174万</t>
  </si>
  <si>
    <t>92.6万</t>
  </si>
  <si>
    <t>4175万</t>
  </si>
  <si>
    <t>3428万</t>
  </si>
  <si>
    <t>33.2亿</t>
  </si>
  <si>
    <t>3.63亿</t>
  </si>
  <si>
    <t>绝味食品</t>
  </si>
  <si>
    <t>1.64亿</t>
  </si>
  <si>
    <t>9.65亿</t>
  </si>
  <si>
    <t>-197万</t>
  </si>
  <si>
    <t>1.51亿</t>
  </si>
  <si>
    <t>8.35亿</t>
  </si>
  <si>
    <t>4.90亿</t>
  </si>
  <si>
    <t>1848万</t>
  </si>
  <si>
    <t>新奥股份</t>
  </si>
  <si>
    <t>3.81万</t>
  </si>
  <si>
    <t>9479万</t>
  </si>
  <si>
    <t>3.44亿</t>
  </si>
  <si>
    <t>78.9亿</t>
  </si>
  <si>
    <t>50.5亿</t>
  </si>
  <si>
    <t>62.9亿</t>
  </si>
  <si>
    <t>浙江龙盛</t>
  </si>
  <si>
    <t>9719万</t>
  </si>
  <si>
    <t>495亿</t>
  </si>
  <si>
    <t>325亿</t>
  </si>
  <si>
    <t>291亿</t>
  </si>
  <si>
    <t>167亿</t>
  </si>
  <si>
    <t>华夏航空</t>
  </si>
  <si>
    <t>4050万</t>
  </si>
  <si>
    <t>8814万</t>
  </si>
  <si>
    <t>9829万</t>
  </si>
  <si>
    <t>8231万</t>
  </si>
  <si>
    <t>5.78亿</t>
  </si>
  <si>
    <t>31.0亿</t>
  </si>
  <si>
    <t>山鹰纸业</t>
  </si>
  <si>
    <t>45.7亿</t>
  </si>
  <si>
    <t>54.2亿</t>
  </si>
  <si>
    <t>7.18亿</t>
  </si>
  <si>
    <t>-405万</t>
  </si>
  <si>
    <t>6.05亿</t>
  </si>
  <si>
    <t>31.1亿</t>
  </si>
  <si>
    <t>311亿</t>
  </si>
  <si>
    <t>110亿</t>
  </si>
  <si>
    <t>氯碱化工</t>
  </si>
  <si>
    <t>5656万</t>
  </si>
  <si>
    <t>1.70亿</t>
  </si>
  <si>
    <t>47.5亿</t>
  </si>
  <si>
    <t>30.9亿</t>
  </si>
  <si>
    <t>恒力股份</t>
  </si>
  <si>
    <t>9.19亿</t>
  </si>
  <si>
    <t>3.34万</t>
  </si>
  <si>
    <t>164万</t>
  </si>
  <si>
    <t>740亿</t>
  </si>
  <si>
    <t>244亿</t>
  </si>
  <si>
    <t>238亿</t>
  </si>
  <si>
    <t>536亿</t>
  </si>
  <si>
    <t>410亿</t>
  </si>
  <si>
    <t>基蛋生物</t>
  </si>
  <si>
    <t>4620万</t>
  </si>
  <si>
    <t>7607万</t>
  </si>
  <si>
    <t>709万</t>
  </si>
  <si>
    <t>7606万</t>
  </si>
  <si>
    <t>6654万</t>
  </si>
  <si>
    <t>618万</t>
  </si>
  <si>
    <t>康弘药业</t>
  </si>
  <si>
    <t>6.74亿</t>
  </si>
  <si>
    <t>7047万</t>
  </si>
  <si>
    <t>217万</t>
  </si>
  <si>
    <t>47.8亿</t>
  </si>
  <si>
    <t>35.6亿</t>
  </si>
  <si>
    <t>5.84亿</t>
  </si>
  <si>
    <t>6.51亿</t>
  </si>
  <si>
    <t>瀚蓝环境</t>
  </si>
  <si>
    <t>2.65万</t>
  </si>
  <si>
    <t>3.88亿</t>
  </si>
  <si>
    <t>8816万</t>
  </si>
  <si>
    <t>26.8亿</t>
  </si>
  <si>
    <t>新安股份</t>
  </si>
  <si>
    <t>2.84亿</t>
  </si>
  <si>
    <t>520万</t>
  </si>
  <si>
    <t>96.3亿</t>
  </si>
  <si>
    <t>42.6亿</t>
  </si>
  <si>
    <t>47.6亿</t>
  </si>
  <si>
    <t>安图生物</t>
  </si>
  <si>
    <t>512万</t>
  </si>
  <si>
    <t>9601万</t>
  </si>
  <si>
    <t>6.61亿</t>
  </si>
  <si>
    <t>5.35亿</t>
  </si>
  <si>
    <t>4.62亿</t>
  </si>
  <si>
    <t>7271万</t>
  </si>
  <si>
    <t>国光股份</t>
  </si>
  <si>
    <t>1.27亿</t>
  </si>
  <si>
    <t>8223万</t>
  </si>
  <si>
    <t>5854万</t>
  </si>
  <si>
    <t>17.9万</t>
  </si>
  <si>
    <t>5797万</t>
  </si>
  <si>
    <t>1794万</t>
  </si>
  <si>
    <t>1430万</t>
  </si>
  <si>
    <t>集友股份</t>
  </si>
  <si>
    <t>1.90亿</t>
  </si>
  <si>
    <t>4760万</t>
  </si>
  <si>
    <t>1.06万</t>
  </si>
  <si>
    <t>9644万</t>
  </si>
  <si>
    <t>3717万</t>
  </si>
  <si>
    <t>195万</t>
  </si>
  <si>
    <t>3722万</t>
  </si>
  <si>
    <t>3051万</t>
  </si>
  <si>
    <t>8.74亿</t>
  </si>
  <si>
    <t>2.97亿</t>
  </si>
  <si>
    <t>老板电器</t>
  </si>
  <si>
    <t>9.35亿</t>
  </si>
  <si>
    <t>1.33万</t>
  </si>
  <si>
    <t>37.6亿</t>
  </si>
  <si>
    <t>84.2亿</t>
  </si>
  <si>
    <t>71.4亿</t>
  </si>
  <si>
    <t>8.26亿</t>
  </si>
  <si>
    <t>7087万</t>
  </si>
  <si>
    <t>宝馨科技</t>
  </si>
  <si>
    <t>2.47亿</t>
  </si>
  <si>
    <t>5658万</t>
  </si>
  <si>
    <t>4.87万</t>
  </si>
  <si>
    <t>5654万</t>
  </si>
  <si>
    <t>5217万</t>
  </si>
  <si>
    <t>6088万</t>
  </si>
  <si>
    <t>7.79亿</t>
  </si>
  <si>
    <t>7.32亿</t>
  </si>
  <si>
    <t>197万</t>
  </si>
  <si>
    <t>新泉股份</t>
  </si>
  <si>
    <t>9332万</t>
  </si>
  <si>
    <t>9268万</t>
  </si>
  <si>
    <t>9557万</t>
  </si>
  <si>
    <t>7631万</t>
  </si>
  <si>
    <t>5.53亿</t>
  </si>
  <si>
    <t>4534万</t>
  </si>
  <si>
    <t>凯众股份</t>
  </si>
  <si>
    <t>6147万</t>
  </si>
  <si>
    <t>5073万</t>
  </si>
  <si>
    <t>4336万</t>
  </si>
  <si>
    <t>*ST安泰</t>
  </si>
  <si>
    <t>3174万</t>
  </si>
  <si>
    <t>4803万</t>
  </si>
  <si>
    <t>3880万</t>
  </si>
  <si>
    <t>-18.8亿</t>
  </si>
  <si>
    <t>54.0亿</t>
  </si>
  <si>
    <t>荣晟环保</t>
  </si>
  <si>
    <t>4435万</t>
  </si>
  <si>
    <t>6628万</t>
  </si>
  <si>
    <t>299万</t>
  </si>
  <si>
    <t>6003万</t>
  </si>
  <si>
    <t>8511万</t>
  </si>
  <si>
    <t>金正大</t>
  </si>
  <si>
    <t>5.93万</t>
  </si>
  <si>
    <t>3105万</t>
  </si>
  <si>
    <t>7.11亿</t>
  </si>
  <si>
    <t>5.30亿</t>
  </si>
  <si>
    <t>211亿</t>
  </si>
  <si>
    <t>64.6亿</t>
  </si>
  <si>
    <t>99.4亿</t>
  </si>
  <si>
    <t>陕天然气</t>
  </si>
  <si>
    <t>2.91万</t>
  </si>
  <si>
    <t>-257万</t>
  </si>
  <si>
    <t>3.14亿</t>
  </si>
  <si>
    <t>68.5亿</t>
  </si>
  <si>
    <t>59.4亿</t>
  </si>
  <si>
    <t>海利尔</t>
  </si>
  <si>
    <t>5430万</t>
  </si>
  <si>
    <t>202万</t>
  </si>
  <si>
    <t>9041万</t>
  </si>
  <si>
    <t>7.95亿</t>
  </si>
  <si>
    <t>7268万</t>
  </si>
  <si>
    <t>7.36亿</t>
  </si>
  <si>
    <t>广汽集团</t>
  </si>
  <si>
    <t>60.6亿</t>
  </si>
  <si>
    <t>43.2亿</t>
  </si>
  <si>
    <t>1185亿</t>
  </si>
  <si>
    <t>596亿</t>
  </si>
  <si>
    <t>441亿</t>
  </si>
  <si>
    <t>249亿</t>
  </si>
  <si>
    <t>大博医疗</t>
  </si>
  <si>
    <t>8421万</t>
  </si>
  <si>
    <t>326万</t>
  </si>
  <si>
    <t>8394万</t>
  </si>
  <si>
    <t>6859万</t>
  </si>
  <si>
    <t>3081万</t>
  </si>
  <si>
    <t>绿地控股</t>
  </si>
  <si>
    <t>1.72万</t>
  </si>
  <si>
    <t>748亿</t>
  </si>
  <si>
    <t>53.8亿</t>
  </si>
  <si>
    <t>34.9亿</t>
  </si>
  <si>
    <t>8686亿</t>
  </si>
  <si>
    <t>7820亿</t>
  </si>
  <si>
    <t>7702亿</t>
  </si>
  <si>
    <t>5894亿</t>
  </si>
  <si>
    <t>1808亿</t>
  </si>
  <si>
    <t>661亿</t>
  </si>
  <si>
    <t>90.0亿</t>
  </si>
  <si>
    <t>申通快递</t>
  </si>
  <si>
    <t>1.20万</t>
  </si>
  <si>
    <t>4.56亿</t>
  </si>
  <si>
    <t>787万</t>
  </si>
  <si>
    <t>3.78亿</t>
  </si>
  <si>
    <t>51.4亿</t>
  </si>
  <si>
    <t>2861万</t>
  </si>
  <si>
    <t>71.3亿</t>
  </si>
  <si>
    <t>伊力特</t>
  </si>
  <si>
    <t>1.49万</t>
  </si>
  <si>
    <t>5.18亿</t>
  </si>
  <si>
    <t>1651万</t>
  </si>
  <si>
    <t>游族网络</t>
  </si>
  <si>
    <t>8.88亿</t>
  </si>
  <si>
    <t>1.46万</t>
  </si>
  <si>
    <t>8.68亿</t>
  </si>
  <si>
    <t>-477万</t>
  </si>
  <si>
    <t>69.6亿</t>
  </si>
  <si>
    <t>32.9亿</t>
  </si>
  <si>
    <t>41.5亿</t>
  </si>
  <si>
    <t>宁波银行</t>
  </si>
  <si>
    <t>50.7亿</t>
  </si>
  <si>
    <t>6.27万</t>
  </si>
  <si>
    <t>65.8亿</t>
  </si>
  <si>
    <t>1.07万亿</t>
  </si>
  <si>
    <t>44.8亿</t>
  </si>
  <si>
    <t>1.01万亿</t>
  </si>
  <si>
    <t>604亿</t>
  </si>
  <si>
    <t>87.8亿</t>
  </si>
  <si>
    <t>北玻股份</t>
  </si>
  <si>
    <t>9.37亿</t>
  </si>
  <si>
    <t>9219万</t>
  </si>
  <si>
    <t>8803万</t>
  </si>
  <si>
    <t>9351万</t>
  </si>
  <si>
    <t>8022万</t>
  </si>
  <si>
    <t>5.12亿</t>
  </si>
  <si>
    <t>3954万</t>
  </si>
  <si>
    <t>*ST友好</t>
  </si>
  <si>
    <t>1.29万</t>
  </si>
  <si>
    <t>4193万</t>
  </si>
  <si>
    <t>449万</t>
  </si>
  <si>
    <t>4507万</t>
  </si>
  <si>
    <t>3955万</t>
  </si>
  <si>
    <t>-6940万</t>
  </si>
  <si>
    <t>7.52亿</t>
  </si>
  <si>
    <t>浙江交科</t>
  </si>
  <si>
    <t>2.09万</t>
  </si>
  <si>
    <t>43.6亿</t>
  </si>
  <si>
    <t>3.68亿</t>
  </si>
  <si>
    <t>3563万</t>
  </si>
  <si>
    <t>236亿</t>
  </si>
  <si>
    <t>177亿</t>
  </si>
  <si>
    <t>57.0亿</t>
  </si>
  <si>
    <t>23.7亿</t>
  </si>
  <si>
    <t>风语筑</t>
  </si>
  <si>
    <t>7200万</t>
  </si>
  <si>
    <t>8203万</t>
  </si>
  <si>
    <t>96.6万</t>
  </si>
  <si>
    <t>8207万</t>
  </si>
  <si>
    <t>7102万</t>
  </si>
  <si>
    <t>25.1亿</t>
  </si>
  <si>
    <t>茂业商业</t>
  </si>
  <si>
    <t>2.61万</t>
  </si>
  <si>
    <t>33.4亿</t>
  </si>
  <si>
    <t>4.17亿</t>
  </si>
  <si>
    <t>50.4万</t>
  </si>
  <si>
    <t>63.6亿</t>
  </si>
  <si>
    <t>55.0亿</t>
  </si>
  <si>
    <t>8811万</t>
  </si>
  <si>
    <t>中国医药</t>
  </si>
  <si>
    <t>5123万</t>
  </si>
  <si>
    <t>22.8亿</t>
  </si>
  <si>
    <t>杰克股份</t>
  </si>
  <si>
    <t>8106万</t>
  </si>
  <si>
    <t>1143万</t>
  </si>
  <si>
    <t>6.36亿</t>
  </si>
  <si>
    <t>7656万</t>
  </si>
  <si>
    <t>东风股份</t>
  </si>
  <si>
    <t>6.82万</t>
  </si>
  <si>
    <t>2573万</t>
  </si>
  <si>
    <t>57.2亿</t>
  </si>
  <si>
    <t>39.7亿</t>
  </si>
  <si>
    <t>7085万</t>
  </si>
  <si>
    <t>鲁银投资</t>
  </si>
  <si>
    <t>5.68亿</t>
  </si>
  <si>
    <t>1.21万</t>
  </si>
  <si>
    <t>1.32亿</t>
  </si>
  <si>
    <t>1.00亿</t>
  </si>
  <si>
    <t>7800万</t>
  </si>
  <si>
    <t>5166万</t>
  </si>
  <si>
    <t>5.76亿</t>
  </si>
  <si>
    <t>中国平安</t>
  </si>
  <si>
    <t>2.14万</t>
  </si>
  <si>
    <t>3105亿</t>
  </si>
  <si>
    <t>396亿</t>
  </si>
  <si>
    <t>366亿</t>
  </si>
  <si>
    <t>2965亿</t>
  </si>
  <si>
    <t>6.73万亿</t>
  </si>
  <si>
    <t>6.11万亿</t>
  </si>
  <si>
    <t>5019亿</t>
  </si>
  <si>
    <t>1274亿</t>
  </si>
  <si>
    <t>74.5亿</t>
  </si>
  <si>
    <t>涪陵电力</t>
  </si>
  <si>
    <t>1.88万</t>
  </si>
  <si>
    <t>6306万</t>
  </si>
  <si>
    <t>344万</t>
  </si>
  <si>
    <t>6343万</t>
  </si>
  <si>
    <t>6211万</t>
  </si>
  <si>
    <t>19.4亿</t>
  </si>
  <si>
    <t>9.96亿</t>
  </si>
  <si>
    <t>太钢不锈</t>
  </si>
  <si>
    <t>3027万</t>
  </si>
  <si>
    <t>727亿</t>
  </si>
  <si>
    <t>486亿</t>
  </si>
  <si>
    <t>360亿</t>
  </si>
  <si>
    <t>284亿</t>
  </si>
  <si>
    <t>潍柴动力</t>
  </si>
  <si>
    <t>80.0亿</t>
  </si>
  <si>
    <t>392亿</t>
  </si>
  <si>
    <t>31.8亿</t>
  </si>
  <si>
    <t>1962亿</t>
  </si>
  <si>
    <t>1082亿</t>
  </si>
  <si>
    <t>266亿</t>
  </si>
  <si>
    <t>1378亿</t>
  </si>
  <si>
    <t>833亿</t>
  </si>
  <si>
    <t>545亿</t>
  </si>
  <si>
    <t>372亿</t>
  </si>
  <si>
    <t>中兴通讯</t>
  </si>
  <si>
    <t>41.9亿</t>
  </si>
  <si>
    <t>1.10万</t>
  </si>
  <si>
    <t>289亿</t>
  </si>
  <si>
    <t>-9465万</t>
  </si>
  <si>
    <t>1391亿</t>
  </si>
  <si>
    <t>1028亿</t>
  </si>
  <si>
    <t>85.8亿</t>
  </si>
  <si>
    <t>950亿</t>
  </si>
  <si>
    <t>840亿</t>
  </si>
  <si>
    <t>321亿</t>
  </si>
  <si>
    <t>7.56亿</t>
  </si>
  <si>
    <t>乐凯新材</t>
  </si>
  <si>
    <t>1.23亿</t>
  </si>
  <si>
    <t>6999万</t>
  </si>
  <si>
    <t>3594万</t>
  </si>
  <si>
    <t>362万</t>
  </si>
  <si>
    <t>3593万</t>
  </si>
  <si>
    <t>3054万</t>
  </si>
  <si>
    <t>9505万</t>
  </si>
  <si>
    <t>4844万</t>
  </si>
  <si>
    <t>3030万</t>
  </si>
  <si>
    <t>1814万</t>
  </si>
  <si>
    <t>3560万</t>
  </si>
  <si>
    <t>德赛电池</t>
  </si>
  <si>
    <t>272万</t>
  </si>
  <si>
    <t>32.6万</t>
  </si>
  <si>
    <t>817万</t>
  </si>
  <si>
    <t>江山股份</t>
  </si>
  <si>
    <t>2.60万</t>
  </si>
  <si>
    <t>1229万</t>
  </si>
  <si>
    <t>8470万</t>
  </si>
  <si>
    <t>中炬高新</t>
  </si>
  <si>
    <t>7.97亿</t>
  </si>
  <si>
    <t>3.05万</t>
  </si>
  <si>
    <t>2275万</t>
  </si>
  <si>
    <t>9.26亿</t>
  </si>
  <si>
    <t>跨境通</t>
  </si>
  <si>
    <t>5.18万</t>
  </si>
  <si>
    <t>579万</t>
  </si>
  <si>
    <t>2.63亿</t>
  </si>
  <si>
    <t>83.4亿</t>
  </si>
  <si>
    <t>55.7亿</t>
  </si>
  <si>
    <t>59.9亿</t>
  </si>
  <si>
    <t>安通控股</t>
  </si>
  <si>
    <t>5.56亿</t>
  </si>
  <si>
    <t>张 裕Ａ</t>
  </si>
  <si>
    <t>6.85亿</t>
  </si>
  <si>
    <t>77.9亿</t>
  </si>
  <si>
    <t>53.4亿</t>
  </si>
  <si>
    <t>93.8亿</t>
  </si>
  <si>
    <t>5.66亿</t>
  </si>
  <si>
    <t>海螺水泥</t>
  </si>
  <si>
    <t>61.9亿</t>
  </si>
  <si>
    <t>8535万</t>
  </si>
  <si>
    <t>754亿</t>
  </si>
  <si>
    <t>1244亿</t>
  </si>
  <si>
    <t>488亿</t>
  </si>
  <si>
    <t>593亿</t>
  </si>
  <si>
    <t>86.0亿</t>
  </si>
  <si>
    <t>941亿</t>
  </si>
  <si>
    <t>万孚生物</t>
  </si>
  <si>
    <t>6960万</t>
  </si>
  <si>
    <t>92.1万</t>
  </si>
  <si>
    <t>7039万</t>
  </si>
  <si>
    <t>5519万</t>
  </si>
  <si>
    <t>5.49亿</t>
  </si>
  <si>
    <t>9.57亿</t>
  </si>
  <si>
    <t>7253万</t>
  </si>
  <si>
    <t>XD大参林</t>
  </si>
  <si>
    <t>4001万</t>
  </si>
  <si>
    <t>674万</t>
  </si>
  <si>
    <t>56.6亿</t>
  </si>
  <si>
    <t>2976万</t>
  </si>
  <si>
    <t>9.70亿</t>
  </si>
  <si>
    <t>威唐工业</t>
  </si>
  <si>
    <t>3930万</t>
  </si>
  <si>
    <t>1.49亿</t>
  </si>
  <si>
    <t>3752万</t>
  </si>
  <si>
    <t>3761万</t>
  </si>
  <si>
    <t>3089万</t>
  </si>
  <si>
    <t>8.19亿</t>
  </si>
  <si>
    <t>5.91亿</t>
  </si>
  <si>
    <t>1232万</t>
  </si>
  <si>
    <t>6.12亿</t>
  </si>
  <si>
    <t>*ST龙力</t>
  </si>
  <si>
    <t>-1698万</t>
  </si>
  <si>
    <t>-1566万</t>
  </si>
  <si>
    <t>-1855万</t>
  </si>
  <si>
    <t>-29.8亿</t>
  </si>
  <si>
    <t>-3.67亿</t>
  </si>
  <si>
    <t>兆易创新</t>
  </si>
  <si>
    <t>9615万</t>
  </si>
  <si>
    <t>61.6万</t>
  </si>
  <si>
    <t>8933万</t>
  </si>
  <si>
    <t>威孚高科</t>
  </si>
  <si>
    <t>8.36亿</t>
  </si>
  <si>
    <t>8.54亿</t>
  </si>
  <si>
    <t>6.07亿</t>
  </si>
  <si>
    <t>212亿</t>
  </si>
  <si>
    <t>50.8亿</t>
  </si>
  <si>
    <t>顺网科技</t>
  </si>
  <si>
    <t>1.08万</t>
  </si>
  <si>
    <t>5.75亿</t>
  </si>
  <si>
    <t>27.6万</t>
  </si>
  <si>
    <t>41.2亿</t>
  </si>
  <si>
    <t>6641万</t>
  </si>
  <si>
    <t>7.13亿</t>
  </si>
  <si>
    <t>4376万</t>
  </si>
  <si>
    <t>6.95亿</t>
  </si>
  <si>
    <t>华帝股份</t>
  </si>
  <si>
    <t>2.85万</t>
  </si>
  <si>
    <t>1397万</t>
  </si>
  <si>
    <t>3283万</t>
  </si>
  <si>
    <t>长城科技</t>
  </si>
  <si>
    <t>4460万</t>
  </si>
  <si>
    <t>496万</t>
  </si>
  <si>
    <t>4450万</t>
  </si>
  <si>
    <t>-23.9万</t>
  </si>
  <si>
    <t>5292万</t>
  </si>
  <si>
    <t>4178万</t>
  </si>
  <si>
    <t>3.95亿</t>
  </si>
  <si>
    <t>403万</t>
  </si>
  <si>
    <t>嘉友国际</t>
  </si>
  <si>
    <t>2800万</t>
  </si>
  <si>
    <t>6915万</t>
  </si>
  <si>
    <t>125万</t>
  </si>
  <si>
    <t>6913万</t>
  </si>
  <si>
    <t>5691万</t>
  </si>
  <si>
    <t>330万</t>
  </si>
  <si>
    <t>博世科</t>
  </si>
  <si>
    <t>1.17万</t>
  </si>
  <si>
    <t>5.20亿</t>
  </si>
  <si>
    <t>7124万</t>
  </si>
  <si>
    <t>-6.46万</t>
  </si>
  <si>
    <t>6918万</t>
  </si>
  <si>
    <t>6058万</t>
  </si>
  <si>
    <t>珠江实业</t>
  </si>
  <si>
    <t>435万</t>
  </si>
  <si>
    <t>8.32亿</t>
  </si>
  <si>
    <t>66.1亿</t>
  </si>
  <si>
    <t>8592万</t>
  </si>
  <si>
    <t>顺鑫农业</t>
  </si>
  <si>
    <t>5.71亿</t>
  </si>
  <si>
    <t>179亿</t>
  </si>
  <si>
    <t>72.5亿</t>
  </si>
  <si>
    <t>74.4亿</t>
  </si>
  <si>
    <t>南京银行</t>
  </si>
  <si>
    <t>84.8亿</t>
  </si>
  <si>
    <t>7.29万</t>
  </si>
  <si>
    <t>67.0亿</t>
  </si>
  <si>
    <t>35.3亿</t>
  </si>
  <si>
    <t>28.9亿</t>
  </si>
  <si>
    <t>1.18万亿</t>
  </si>
  <si>
    <t>72.1亿</t>
  </si>
  <si>
    <t>1.11万亿</t>
  </si>
  <si>
    <t>713亿</t>
  </si>
  <si>
    <t>132亿</t>
  </si>
  <si>
    <t>深振业Ａ</t>
  </si>
  <si>
    <t>1.57万</t>
  </si>
  <si>
    <t>2.86亿</t>
  </si>
  <si>
    <t>274万</t>
  </si>
  <si>
    <t>航锦科技</t>
  </si>
  <si>
    <t>6.90亿</t>
  </si>
  <si>
    <t>2.23万</t>
  </si>
  <si>
    <t>9.08亿</t>
  </si>
  <si>
    <t>40.6亿</t>
  </si>
  <si>
    <t>3237万</t>
  </si>
  <si>
    <t>26.3亿</t>
  </si>
  <si>
    <t>大豪科技</t>
  </si>
  <si>
    <t>6.26亿</t>
  </si>
  <si>
    <t>1205万</t>
  </si>
  <si>
    <t>9746万</t>
  </si>
  <si>
    <t>238万</t>
  </si>
  <si>
    <t>招商银行</t>
  </si>
  <si>
    <t>206亿</t>
  </si>
  <si>
    <t>27.6亿</t>
  </si>
  <si>
    <t>2550亿</t>
  </si>
  <si>
    <t>6.25万亿</t>
  </si>
  <si>
    <t>483亿</t>
  </si>
  <si>
    <t>5.75万亿</t>
  </si>
  <si>
    <t>4961亿</t>
  </si>
  <si>
    <t>675亿</t>
  </si>
  <si>
    <t>恺英网络</t>
  </si>
  <si>
    <t>1.15万</t>
  </si>
  <si>
    <t>6.28亿</t>
  </si>
  <si>
    <t>1466万</t>
  </si>
  <si>
    <t>62.7亿</t>
  </si>
  <si>
    <t>32.1亿</t>
  </si>
  <si>
    <t>2007万</t>
  </si>
  <si>
    <t>9.33亿</t>
  </si>
  <si>
    <t>169万</t>
  </si>
  <si>
    <t>南方航空</t>
  </si>
  <si>
    <t>341亿</t>
  </si>
  <si>
    <t>37.3亿</t>
  </si>
  <si>
    <t>25.4亿</t>
  </si>
  <si>
    <t>248亿</t>
  </si>
  <si>
    <t>2200亿</t>
  </si>
  <si>
    <t>172亿</t>
  </si>
  <si>
    <t>1591亿</t>
  </si>
  <si>
    <t>1542亿</t>
  </si>
  <si>
    <t>839亿</t>
  </si>
  <si>
    <t>建新矿业</t>
  </si>
  <si>
    <t>3.06万</t>
  </si>
  <si>
    <t>3.12亿</t>
  </si>
  <si>
    <t>3420万</t>
  </si>
  <si>
    <t>迪森股份</t>
  </si>
  <si>
    <t>1.36万</t>
  </si>
  <si>
    <t>9304万</t>
  </si>
  <si>
    <t>3.48万</t>
  </si>
  <si>
    <t>9436万</t>
  </si>
  <si>
    <t>6413万</t>
  </si>
  <si>
    <t>视源股份</t>
  </si>
  <si>
    <t>6480万</t>
  </si>
  <si>
    <t>-2034万</t>
  </si>
  <si>
    <t>50.9亿</t>
  </si>
  <si>
    <t>5.01亿</t>
  </si>
  <si>
    <t>5309万</t>
  </si>
  <si>
    <t>崇达技术</t>
  </si>
  <si>
    <t>421万</t>
  </si>
  <si>
    <t>48.4亿</t>
  </si>
  <si>
    <t>21.9亿</t>
  </si>
  <si>
    <t>7.14亿</t>
  </si>
  <si>
    <t>恒顺众昇</t>
  </si>
  <si>
    <t>5.79亿</t>
  </si>
  <si>
    <t>1.79万</t>
  </si>
  <si>
    <t>9547万</t>
  </si>
  <si>
    <t>万兴科技</t>
  </si>
  <si>
    <t>8000万</t>
  </si>
  <si>
    <t>2000万</t>
  </si>
  <si>
    <t>2363万</t>
  </si>
  <si>
    <t>2364万</t>
  </si>
  <si>
    <t>2348万</t>
  </si>
  <si>
    <t>5.99亿</t>
  </si>
  <si>
    <t>4.19亿</t>
  </si>
  <si>
    <t>4521万</t>
  </si>
  <si>
    <t>60.9万</t>
  </si>
  <si>
    <t>璞泰来</t>
  </si>
  <si>
    <t>6370万</t>
  </si>
  <si>
    <t>5.73亿</t>
  </si>
  <si>
    <t>5.38亿</t>
  </si>
  <si>
    <t>亿帆医药</t>
  </si>
  <si>
    <t>1.16万</t>
  </si>
  <si>
    <t>3.92亿</t>
  </si>
  <si>
    <t>68.0亿</t>
  </si>
  <si>
    <t>山东海化</t>
  </si>
  <si>
    <t>8.95亿</t>
  </si>
  <si>
    <t>210万</t>
  </si>
  <si>
    <t>8.25亿</t>
  </si>
  <si>
    <t>吉祥航空</t>
  </si>
  <si>
    <t>1.83万</t>
  </si>
  <si>
    <t>93.1万</t>
  </si>
  <si>
    <t>208亿</t>
  </si>
  <si>
    <t>42.5亿</t>
  </si>
  <si>
    <t>90.8亿</t>
  </si>
  <si>
    <t>福晶科技</t>
  </si>
  <si>
    <t>1.25亿</t>
  </si>
  <si>
    <t>4505万</t>
  </si>
  <si>
    <t>80.4万</t>
  </si>
  <si>
    <t>4501万</t>
  </si>
  <si>
    <t>3851万</t>
  </si>
  <si>
    <t>4.13亿</t>
  </si>
  <si>
    <t>9239万</t>
  </si>
  <si>
    <t>6984万</t>
  </si>
  <si>
    <t>2255万</t>
  </si>
  <si>
    <t>6677万</t>
  </si>
  <si>
    <t>瑞茂通</t>
  </si>
  <si>
    <t>4.12万</t>
  </si>
  <si>
    <t>-1.26亿</t>
  </si>
  <si>
    <t>221亿</t>
  </si>
  <si>
    <t>209亿</t>
  </si>
  <si>
    <t>1555万</t>
  </si>
  <si>
    <t>大族激光</t>
  </si>
  <si>
    <t>9.93亿</t>
  </si>
  <si>
    <t>7.92亿</t>
  </si>
  <si>
    <t>中鼎股份</t>
  </si>
  <si>
    <t>3.16万</t>
  </si>
  <si>
    <t>1649万</t>
  </si>
  <si>
    <t>4.58亿</t>
  </si>
  <si>
    <t>82.2亿</t>
  </si>
  <si>
    <t>79.3亿</t>
  </si>
  <si>
    <t>君正集团</t>
  </si>
  <si>
    <t>84.4亿</t>
  </si>
  <si>
    <t>7.13万</t>
  </si>
  <si>
    <t>73.5亿</t>
  </si>
  <si>
    <t>79.8亿</t>
  </si>
  <si>
    <t>61.2亿</t>
  </si>
  <si>
    <t>165亿</t>
  </si>
  <si>
    <t>中国巨石</t>
  </si>
  <si>
    <t>4.55万</t>
  </si>
  <si>
    <t>7.29亿</t>
  </si>
  <si>
    <t>639万</t>
  </si>
  <si>
    <t>58.3亿</t>
  </si>
  <si>
    <t>77.5亿</t>
  </si>
  <si>
    <t>84.9亿</t>
  </si>
  <si>
    <t>41.6亿</t>
  </si>
  <si>
    <t>40.2亿</t>
  </si>
  <si>
    <t>道氏技术</t>
  </si>
  <si>
    <t>1.01万</t>
  </si>
  <si>
    <t>7.43亿</t>
  </si>
  <si>
    <t>5.87亿</t>
  </si>
  <si>
    <t>7.59亿</t>
  </si>
  <si>
    <t>光明地产</t>
  </si>
  <si>
    <t>669万</t>
  </si>
  <si>
    <t>582亿</t>
  </si>
  <si>
    <t>567亿</t>
  </si>
  <si>
    <t>467亿</t>
  </si>
  <si>
    <t>146亿</t>
  </si>
  <si>
    <t>杭州园林</t>
  </si>
  <si>
    <t>1813万</t>
  </si>
  <si>
    <t>1552万</t>
  </si>
  <si>
    <t>1176万</t>
  </si>
  <si>
    <t>5029万</t>
  </si>
  <si>
    <t>4837万</t>
  </si>
  <si>
    <t>3.29亿</t>
  </si>
  <si>
    <t>6669万</t>
  </si>
  <si>
    <t>天虹股份</t>
  </si>
  <si>
    <t>4.69万</t>
  </si>
  <si>
    <t>3.79亿</t>
  </si>
  <si>
    <t>2383万</t>
  </si>
  <si>
    <t>37.9亿</t>
  </si>
  <si>
    <t>89.2亿</t>
  </si>
  <si>
    <t>7248万</t>
  </si>
  <si>
    <t>国联水产</t>
  </si>
  <si>
    <t>3.82万</t>
  </si>
  <si>
    <t>8774万</t>
  </si>
  <si>
    <t>9607万</t>
  </si>
  <si>
    <t>6.11亿</t>
  </si>
  <si>
    <t>冠福股份</t>
  </si>
  <si>
    <t>2.38万</t>
  </si>
  <si>
    <t>85.2亿</t>
  </si>
  <si>
    <t>9.61亿</t>
  </si>
  <si>
    <t>莱绅通灵</t>
  </si>
  <si>
    <t>8512万</t>
  </si>
  <si>
    <t>5.19亿</t>
  </si>
  <si>
    <t>598万</t>
  </si>
  <si>
    <t>8.60亿</t>
  </si>
  <si>
    <t>7637万</t>
  </si>
  <si>
    <t>4.76亿</t>
  </si>
  <si>
    <t>4.69亿</t>
  </si>
  <si>
    <t>712万</t>
  </si>
  <si>
    <t>江特电机</t>
  </si>
  <si>
    <t>139万</t>
  </si>
  <si>
    <t>9.42亿</t>
  </si>
  <si>
    <t>55.6亿</t>
  </si>
  <si>
    <t>58.4亿</t>
  </si>
  <si>
    <t>7.68亿</t>
  </si>
  <si>
    <t>42.2亿</t>
  </si>
  <si>
    <t>山大华特</t>
  </si>
  <si>
    <t>7393万</t>
  </si>
  <si>
    <t>6.41亿</t>
  </si>
  <si>
    <t>5143万</t>
  </si>
  <si>
    <t>家家悦</t>
  </si>
  <si>
    <t>32.6亿</t>
  </si>
  <si>
    <t>75.1亿</t>
  </si>
  <si>
    <t>45.4亿</t>
  </si>
  <si>
    <t>三安光电</t>
  </si>
  <si>
    <t>4.32万</t>
  </si>
  <si>
    <t>9.68亿</t>
  </si>
  <si>
    <t>90.7亿</t>
  </si>
  <si>
    <t>268亿</t>
  </si>
  <si>
    <t>81.1亿</t>
  </si>
  <si>
    <t>42.7亿</t>
  </si>
  <si>
    <t>70.8亿</t>
  </si>
  <si>
    <t>康美药业</t>
  </si>
  <si>
    <t>4.33万</t>
  </si>
  <si>
    <t>91.4亿</t>
  </si>
  <si>
    <t>1211万</t>
  </si>
  <si>
    <t>722亿</t>
  </si>
  <si>
    <t>598亿</t>
  </si>
  <si>
    <t>386亿</t>
  </si>
  <si>
    <t>335亿</t>
  </si>
  <si>
    <t>葵花药业</t>
  </si>
  <si>
    <t>196万</t>
  </si>
  <si>
    <t>9.95亿</t>
  </si>
  <si>
    <t>新洋丰</t>
  </si>
  <si>
    <t>5.25万</t>
  </si>
  <si>
    <t>245万</t>
  </si>
  <si>
    <t>37.1亿</t>
  </si>
  <si>
    <t>85.7亿</t>
  </si>
  <si>
    <t>59.6亿</t>
  </si>
  <si>
    <t>万向钱潮</t>
  </si>
  <si>
    <t>2.85亿</t>
  </si>
  <si>
    <t>5821万</t>
  </si>
  <si>
    <t>9.39亿</t>
  </si>
  <si>
    <t>新华百货</t>
  </si>
  <si>
    <t>2.26亿</t>
  </si>
  <si>
    <t>189万</t>
  </si>
  <si>
    <t>9705万</t>
  </si>
  <si>
    <t>50.1亿</t>
  </si>
  <si>
    <t>华发股份</t>
  </si>
  <si>
    <t>2.86万</t>
  </si>
  <si>
    <t>5.83亿</t>
  </si>
  <si>
    <t>65.4亿</t>
  </si>
  <si>
    <t>1531亿</t>
  </si>
  <si>
    <t>1421亿</t>
  </si>
  <si>
    <t>1296亿</t>
  </si>
  <si>
    <t>725亿</t>
  </si>
  <si>
    <t>571亿</t>
  </si>
  <si>
    <t>利尔化学</t>
  </si>
  <si>
    <t>2.47万</t>
  </si>
  <si>
    <t>163万</t>
  </si>
  <si>
    <t>52.8亿</t>
  </si>
  <si>
    <t>万和电气</t>
  </si>
  <si>
    <t>3.73亿</t>
  </si>
  <si>
    <t>3.04万</t>
  </si>
  <si>
    <t>21.7亿</t>
  </si>
  <si>
    <t>305万</t>
  </si>
  <si>
    <t>7542万</t>
  </si>
  <si>
    <t>海亮股份</t>
  </si>
  <si>
    <t>4.46万</t>
  </si>
  <si>
    <t>93.9亿</t>
  </si>
  <si>
    <t>1108万</t>
  </si>
  <si>
    <t>中粮糖业</t>
  </si>
  <si>
    <t>192亿</t>
  </si>
  <si>
    <t>74.3亿</t>
  </si>
  <si>
    <t>金 螳 螂</t>
  </si>
  <si>
    <t>3850万</t>
  </si>
  <si>
    <t>82.3亿</t>
  </si>
  <si>
    <t>218亿</t>
  </si>
  <si>
    <t>9.62亿</t>
  </si>
  <si>
    <t>赢合科技</t>
  </si>
  <si>
    <t>1.88亿</t>
  </si>
  <si>
    <t>7049万</t>
  </si>
  <si>
    <t>7063万</t>
  </si>
  <si>
    <t>6017万</t>
  </si>
  <si>
    <t>ST生化</t>
  </si>
  <si>
    <t>2.73亿</t>
  </si>
  <si>
    <t>2.25万</t>
  </si>
  <si>
    <t>3702万</t>
  </si>
  <si>
    <t>2823万</t>
  </si>
  <si>
    <t>7.03亿</t>
  </si>
  <si>
    <t>岱美股份</t>
  </si>
  <si>
    <t>4800万</t>
  </si>
  <si>
    <t>8.61亿</t>
  </si>
  <si>
    <t>121万</t>
  </si>
  <si>
    <t>7.49亿</t>
  </si>
  <si>
    <t>珀莱雅</t>
  </si>
  <si>
    <t>5000万</t>
  </si>
  <si>
    <t>8447万</t>
  </si>
  <si>
    <t>179万</t>
  </si>
  <si>
    <t>6992万</t>
  </si>
  <si>
    <t>4.99亿</t>
  </si>
  <si>
    <t>7.75亿</t>
  </si>
  <si>
    <t>渤海轮渡</t>
  </si>
  <si>
    <t>4.81亿</t>
  </si>
  <si>
    <t>221万</t>
  </si>
  <si>
    <t>白云山</t>
  </si>
  <si>
    <t>69.1亿</t>
  </si>
  <si>
    <t>9570万</t>
  </si>
  <si>
    <t>71.9亿</t>
  </si>
  <si>
    <t>288亿</t>
  </si>
  <si>
    <t>219亿</t>
  </si>
  <si>
    <t>86.5亿</t>
  </si>
  <si>
    <t>78.6亿</t>
  </si>
  <si>
    <t>98.8亿</t>
  </si>
  <si>
    <t>领益智造</t>
  </si>
  <si>
    <t>237亿</t>
  </si>
  <si>
    <t>大商股份</t>
  </si>
  <si>
    <t>2695万</t>
  </si>
  <si>
    <t>3.52亿</t>
  </si>
  <si>
    <t>五洲交通</t>
  </si>
  <si>
    <t>56.9亿</t>
  </si>
  <si>
    <t>景旺电子</t>
  </si>
  <si>
    <t>4.08亿</t>
  </si>
  <si>
    <t>8109万</t>
  </si>
  <si>
    <t>9.85亿</t>
  </si>
  <si>
    <t>8064万</t>
  </si>
  <si>
    <t>北大荒</t>
  </si>
  <si>
    <t>-391万</t>
  </si>
  <si>
    <t>9915万</t>
  </si>
  <si>
    <t>太空智造</t>
  </si>
  <si>
    <t>3250万</t>
  </si>
  <si>
    <t>2045万</t>
  </si>
  <si>
    <t>3253万</t>
  </si>
  <si>
    <t>2513万</t>
  </si>
  <si>
    <t>3978万</t>
  </si>
  <si>
    <t>4169万</t>
  </si>
  <si>
    <t>9073万</t>
  </si>
  <si>
    <t>旭升股份</t>
  </si>
  <si>
    <t>6421万</t>
  </si>
  <si>
    <t>6416万</t>
  </si>
  <si>
    <t>5465万</t>
  </si>
  <si>
    <t>利亚德</t>
  </si>
  <si>
    <t>4.44万</t>
  </si>
  <si>
    <t>73.4亿</t>
  </si>
  <si>
    <t>36.3亿</t>
  </si>
  <si>
    <t>71.1亿</t>
  </si>
  <si>
    <t>周大生</t>
  </si>
  <si>
    <t>9.38亿</t>
  </si>
  <si>
    <t>436万</t>
  </si>
  <si>
    <t>2992万</t>
  </si>
  <si>
    <t>1321万</t>
  </si>
  <si>
    <t>长春高新</t>
  </si>
  <si>
    <t>3016万</t>
  </si>
  <si>
    <t>78.0亿</t>
  </si>
  <si>
    <t>扬帆新材</t>
  </si>
  <si>
    <t>6424万</t>
  </si>
  <si>
    <t>3108万</t>
  </si>
  <si>
    <t>3162万</t>
  </si>
  <si>
    <t>2670万</t>
  </si>
  <si>
    <t>6955万</t>
  </si>
  <si>
    <t>6586万</t>
  </si>
  <si>
    <t>368万</t>
  </si>
  <si>
    <t>5.92亿</t>
  </si>
  <si>
    <t>罗莱生活</t>
  </si>
  <si>
    <t>6.99亿</t>
  </si>
  <si>
    <t>2.45万</t>
  </si>
  <si>
    <t>1048万</t>
  </si>
  <si>
    <t>亨通光电</t>
  </si>
  <si>
    <t>2975万</t>
  </si>
  <si>
    <t>286亿</t>
  </si>
  <si>
    <t>荣盛石化</t>
  </si>
  <si>
    <t>51.3亿</t>
  </si>
  <si>
    <t>17.0万</t>
  </si>
  <si>
    <t>718亿</t>
  </si>
  <si>
    <t>233亿</t>
  </si>
  <si>
    <t>430亿</t>
  </si>
  <si>
    <t>377亿</t>
  </si>
  <si>
    <t>36.7亿</t>
  </si>
  <si>
    <t>上海梅林</t>
  </si>
  <si>
    <t>62.6亿</t>
  </si>
  <si>
    <t>2912万</t>
  </si>
  <si>
    <t>9.43亿</t>
  </si>
  <si>
    <t>37.0亿</t>
  </si>
  <si>
    <t>浙江美大</t>
  </si>
  <si>
    <t>7235万</t>
  </si>
  <si>
    <t>273万</t>
  </si>
  <si>
    <t>7213万</t>
  </si>
  <si>
    <t>6172万</t>
  </si>
  <si>
    <t>386万</t>
  </si>
  <si>
    <t>9948万</t>
  </si>
  <si>
    <t>小康股份</t>
  </si>
  <si>
    <t>215万</t>
  </si>
  <si>
    <t>49.2亿</t>
  </si>
  <si>
    <t>华铭智能</t>
  </si>
  <si>
    <t>7737万</t>
  </si>
  <si>
    <t>8153万</t>
  </si>
  <si>
    <t>3112万</t>
  </si>
  <si>
    <t>1334万</t>
  </si>
  <si>
    <t>3164万</t>
  </si>
  <si>
    <t>2759万</t>
  </si>
  <si>
    <t>2.48亿</t>
  </si>
  <si>
    <t>6980万</t>
  </si>
  <si>
    <t>1137万</t>
  </si>
  <si>
    <t>贵阳银行</t>
  </si>
  <si>
    <t>3592万</t>
  </si>
  <si>
    <t>4603亿</t>
  </si>
  <si>
    <t>4334亿</t>
  </si>
  <si>
    <t>260亿</t>
  </si>
  <si>
    <t>康恩贝</t>
  </si>
  <si>
    <t>3.12万</t>
  </si>
  <si>
    <t>1055万</t>
  </si>
  <si>
    <t>95.8亿</t>
  </si>
  <si>
    <t>34.6亿</t>
  </si>
  <si>
    <t>新光药业</t>
  </si>
  <si>
    <t>9880万</t>
  </si>
  <si>
    <t>8434万</t>
  </si>
  <si>
    <t>3858万</t>
  </si>
  <si>
    <t>190万</t>
  </si>
  <si>
    <t>3295万</t>
  </si>
  <si>
    <t>7.98亿</t>
  </si>
  <si>
    <t>6356万</t>
  </si>
  <si>
    <t>5913万</t>
  </si>
  <si>
    <t>4782万</t>
  </si>
  <si>
    <t>1130万</t>
  </si>
  <si>
    <t>7.39亿</t>
  </si>
  <si>
    <t>乐普医疗</t>
  </si>
  <si>
    <t>3.97亿</t>
  </si>
  <si>
    <t>-64.5万</t>
  </si>
  <si>
    <t>44.6亿</t>
  </si>
  <si>
    <t>61.8亿</t>
  </si>
  <si>
    <t>万达电影</t>
  </si>
  <si>
    <t>383万</t>
  </si>
  <si>
    <t>6.55亿</t>
  </si>
  <si>
    <t>5.41亿</t>
  </si>
  <si>
    <t>56.8亿</t>
  </si>
  <si>
    <t>231亿</t>
  </si>
  <si>
    <t>88.1亿</t>
  </si>
  <si>
    <t>滨化股份</t>
  </si>
  <si>
    <t>2.68万</t>
  </si>
  <si>
    <t>845万</t>
  </si>
  <si>
    <t>鲁抗医药</t>
  </si>
  <si>
    <t>8.78亿</t>
  </si>
  <si>
    <t>9704万</t>
  </si>
  <si>
    <t>173万</t>
  </si>
  <si>
    <t>9764万</t>
  </si>
  <si>
    <t>9068万</t>
  </si>
  <si>
    <t>64.0亿</t>
  </si>
  <si>
    <t>龙蟒佰利</t>
  </si>
  <si>
    <t>307万</t>
  </si>
  <si>
    <t>5.98亿</t>
  </si>
  <si>
    <t>药明康德</t>
  </si>
  <si>
    <t>-127万</t>
  </si>
  <si>
    <t>28.6亿</t>
  </si>
  <si>
    <t>66.6亿</t>
  </si>
  <si>
    <t>伊之密</t>
  </si>
  <si>
    <t>6227万</t>
  </si>
  <si>
    <t>154万</t>
  </si>
  <si>
    <t>6196万</t>
  </si>
  <si>
    <t>4930万</t>
  </si>
  <si>
    <t>3621万</t>
  </si>
  <si>
    <t>名家汇</t>
  </si>
  <si>
    <t>4025万</t>
  </si>
  <si>
    <t>4049万</t>
  </si>
  <si>
    <t>3421万</t>
  </si>
  <si>
    <t>3.96亿</t>
  </si>
  <si>
    <t>4881万</t>
  </si>
  <si>
    <t>8.86亿</t>
  </si>
  <si>
    <t>8083万</t>
  </si>
  <si>
    <t>2594万</t>
  </si>
  <si>
    <t>天保基建</t>
  </si>
  <si>
    <t>9.51亿</t>
  </si>
  <si>
    <t>395万</t>
  </si>
  <si>
    <t>53.6亿</t>
  </si>
  <si>
    <t>继峰股份</t>
  </si>
  <si>
    <t>3.21万</t>
  </si>
  <si>
    <t>9877万</t>
  </si>
  <si>
    <t>9886万</t>
  </si>
  <si>
    <t>7835万</t>
  </si>
  <si>
    <t>616万</t>
  </si>
  <si>
    <t>嘉化能源</t>
  </si>
  <si>
    <t>3.42万</t>
  </si>
  <si>
    <t>343万</t>
  </si>
  <si>
    <t>安奈儿</t>
  </si>
  <si>
    <t>3888万</t>
  </si>
  <si>
    <t>4777万</t>
  </si>
  <si>
    <t>4.17万</t>
  </si>
  <si>
    <t>4780万</t>
  </si>
  <si>
    <t>3610万</t>
  </si>
  <si>
    <t>8.71亿</t>
  </si>
  <si>
    <t>26.2万</t>
  </si>
  <si>
    <t>旗滨集团</t>
  </si>
  <si>
    <t>2.71万</t>
  </si>
  <si>
    <t>3082万</t>
  </si>
  <si>
    <t>57.5亿</t>
  </si>
  <si>
    <t>塔牌集团</t>
  </si>
  <si>
    <t>8.04亿</t>
  </si>
  <si>
    <t>1.32万</t>
  </si>
  <si>
    <t>2333万</t>
  </si>
  <si>
    <t>99.0亿</t>
  </si>
  <si>
    <t>6656万</t>
  </si>
  <si>
    <t>37.4亿</t>
  </si>
  <si>
    <t>三祥新材</t>
  </si>
  <si>
    <t>4907万</t>
  </si>
  <si>
    <t>2469万</t>
  </si>
  <si>
    <t>55.7万</t>
  </si>
  <si>
    <t>2470万</t>
  </si>
  <si>
    <t>2119万</t>
  </si>
  <si>
    <t>6.18亿</t>
  </si>
  <si>
    <t>8049万</t>
  </si>
  <si>
    <t>658万</t>
  </si>
  <si>
    <t>正海生物</t>
  </si>
  <si>
    <t>4328万</t>
  </si>
  <si>
    <t>4718万</t>
  </si>
  <si>
    <t>2590万</t>
  </si>
  <si>
    <t>367万</t>
  </si>
  <si>
    <t>2582万</t>
  </si>
  <si>
    <t>2188万</t>
  </si>
  <si>
    <t>4.78亿</t>
  </si>
  <si>
    <t>2511万</t>
  </si>
  <si>
    <t>4737万</t>
  </si>
  <si>
    <t>3110万</t>
  </si>
  <si>
    <t>1628万</t>
  </si>
  <si>
    <t>2.69亿</t>
  </si>
  <si>
    <t>完美世界</t>
  </si>
  <si>
    <t>4.29万</t>
  </si>
  <si>
    <t>2124万</t>
  </si>
  <si>
    <t>69.8亿</t>
  </si>
  <si>
    <t>44.2亿</t>
  </si>
  <si>
    <t>长航凤凰</t>
  </si>
  <si>
    <t>1577万</t>
  </si>
  <si>
    <t>75.9万</t>
  </si>
  <si>
    <t>1527万</t>
  </si>
  <si>
    <t>1436万</t>
  </si>
  <si>
    <t>-28.9亿</t>
  </si>
  <si>
    <t>6034万</t>
  </si>
  <si>
    <t>4189万</t>
  </si>
  <si>
    <t>南京证券</t>
  </si>
  <si>
    <t>1280万</t>
  </si>
  <si>
    <t>4.11亿</t>
  </si>
  <si>
    <t>93.7亿</t>
  </si>
  <si>
    <t>兴业银行</t>
  </si>
  <si>
    <t>7.33万</t>
  </si>
  <si>
    <t>353亿</t>
  </si>
  <si>
    <t>2326亿</t>
  </si>
  <si>
    <t>6.44万亿</t>
  </si>
  <si>
    <t>6.00万亿</t>
  </si>
  <si>
    <t>4360亿</t>
  </si>
  <si>
    <t>750亿</t>
  </si>
  <si>
    <t>锋龙股份</t>
  </si>
  <si>
    <t>8888万</t>
  </si>
  <si>
    <t>2222万</t>
  </si>
  <si>
    <t>8258万</t>
  </si>
  <si>
    <t>1223万</t>
  </si>
  <si>
    <t>1214万</t>
  </si>
  <si>
    <t>999万</t>
  </si>
  <si>
    <t>4.38亿</t>
  </si>
  <si>
    <t>盐津铺子</t>
  </si>
  <si>
    <t>3530万</t>
  </si>
  <si>
    <t>3543万</t>
  </si>
  <si>
    <t>1.84万</t>
  </si>
  <si>
    <t>3583万</t>
  </si>
  <si>
    <t>2699万</t>
  </si>
  <si>
    <t>1816万</t>
  </si>
  <si>
    <t>新坐标</t>
  </si>
  <si>
    <t>7940万</t>
  </si>
  <si>
    <t>3120万</t>
  </si>
  <si>
    <t>6988万</t>
  </si>
  <si>
    <t>2984万</t>
  </si>
  <si>
    <t>191万</t>
  </si>
  <si>
    <t>2981万</t>
  </si>
  <si>
    <t>2625万</t>
  </si>
  <si>
    <t>7651万</t>
  </si>
  <si>
    <t>7223万</t>
  </si>
  <si>
    <t>428万</t>
  </si>
  <si>
    <t>王府井</t>
  </si>
  <si>
    <t>1.13万</t>
  </si>
  <si>
    <t>71.5亿</t>
  </si>
  <si>
    <t>-1070万</t>
  </si>
  <si>
    <t>4.54亿</t>
  </si>
  <si>
    <t>80.4亿</t>
  </si>
  <si>
    <t>87.3亿</t>
  </si>
  <si>
    <t>拉夏贝尔</t>
  </si>
  <si>
    <t>5477万</t>
  </si>
  <si>
    <t>705万</t>
  </si>
  <si>
    <t>33.5亿</t>
  </si>
  <si>
    <t>7083万</t>
  </si>
  <si>
    <t>维业股份</t>
  </si>
  <si>
    <t>6386万</t>
  </si>
  <si>
    <t>4770万</t>
  </si>
  <si>
    <t>147万</t>
  </si>
  <si>
    <t>4776万</t>
  </si>
  <si>
    <t>3550万</t>
  </si>
  <si>
    <t>2461万</t>
  </si>
  <si>
    <t>842万</t>
  </si>
  <si>
    <t>8.27亿</t>
  </si>
  <si>
    <t>东华能源</t>
  </si>
  <si>
    <t>5.45万</t>
  </si>
  <si>
    <t>91.3亿</t>
  </si>
  <si>
    <t>2908万</t>
  </si>
  <si>
    <t>243亿</t>
  </si>
  <si>
    <t>59.8亿</t>
  </si>
  <si>
    <t>众应互联</t>
  </si>
  <si>
    <t>1.55万</t>
  </si>
  <si>
    <t>6351万</t>
  </si>
  <si>
    <t>1041万</t>
  </si>
  <si>
    <t>6354万</t>
  </si>
  <si>
    <t>6138万</t>
  </si>
  <si>
    <t>1490万</t>
  </si>
  <si>
    <t>南都物业</t>
  </si>
  <si>
    <t>7937万</t>
  </si>
  <si>
    <t>1984万</t>
  </si>
  <si>
    <t>2815万</t>
  </si>
  <si>
    <t>2867万</t>
  </si>
  <si>
    <t>2120万</t>
  </si>
  <si>
    <t>2705万</t>
  </si>
  <si>
    <t>杰恩设计</t>
  </si>
  <si>
    <t>4216万</t>
  </si>
  <si>
    <t>1585万</t>
  </si>
  <si>
    <t>6238万</t>
  </si>
  <si>
    <t>1999万</t>
  </si>
  <si>
    <t>101万</t>
  </si>
  <si>
    <t>2018万</t>
  </si>
  <si>
    <t>1.48亿</t>
  </si>
  <si>
    <t>8372万</t>
  </si>
  <si>
    <t>3894万</t>
  </si>
  <si>
    <t>3855万</t>
  </si>
  <si>
    <t>39.3万</t>
  </si>
  <si>
    <t>海信科龙</t>
  </si>
  <si>
    <t>9.02亿</t>
  </si>
  <si>
    <t>150亿</t>
  </si>
  <si>
    <t>4.14亿</t>
  </si>
  <si>
    <t>67.3亿</t>
  </si>
  <si>
    <t>老百姓</t>
  </si>
  <si>
    <t>39.0亿</t>
  </si>
  <si>
    <t>华新水泥</t>
  </si>
  <si>
    <t>9.73亿</t>
  </si>
  <si>
    <t>45.1亿</t>
  </si>
  <si>
    <t>1374万</t>
  </si>
  <si>
    <t>297亿</t>
  </si>
  <si>
    <t>82.1亿</t>
  </si>
  <si>
    <t>160亿</t>
  </si>
  <si>
    <t>牧高笛</t>
  </si>
  <si>
    <t>2305万</t>
  </si>
  <si>
    <t>2646万</t>
  </si>
  <si>
    <t>270万</t>
  </si>
  <si>
    <t>1981万</t>
  </si>
  <si>
    <t>3704万</t>
  </si>
  <si>
    <t>110万</t>
  </si>
  <si>
    <t>宁波高发</t>
  </si>
  <si>
    <t>1.77万</t>
  </si>
  <si>
    <t>9443万</t>
  </si>
  <si>
    <t>1087万</t>
  </si>
  <si>
    <t>9632万</t>
  </si>
  <si>
    <t>8212万</t>
  </si>
  <si>
    <t>27.7万</t>
  </si>
  <si>
    <t>杭萧钢构</t>
  </si>
  <si>
    <t>8.73亿</t>
  </si>
  <si>
    <t>-164万</t>
  </si>
  <si>
    <t>73.0亿</t>
  </si>
  <si>
    <t>1876万</t>
  </si>
  <si>
    <t>中颖电子</t>
  </si>
  <si>
    <t>3694万</t>
  </si>
  <si>
    <t>309万</t>
  </si>
  <si>
    <t>3697万</t>
  </si>
  <si>
    <t>3466万</t>
  </si>
  <si>
    <t>9.86亿</t>
  </si>
  <si>
    <t>2744万</t>
  </si>
  <si>
    <t>华兰生物</t>
  </si>
  <si>
    <t>8.03亿</t>
  </si>
  <si>
    <t>2515万</t>
  </si>
  <si>
    <t>53.9亿</t>
  </si>
  <si>
    <t>38.2亿</t>
  </si>
  <si>
    <t>9.40亿</t>
  </si>
  <si>
    <t>云南白药</t>
  </si>
  <si>
    <t>2.40万</t>
  </si>
  <si>
    <t>63.4亿</t>
  </si>
  <si>
    <t>7888万</t>
  </si>
  <si>
    <t>96.5亿</t>
  </si>
  <si>
    <t>76.2亿</t>
  </si>
  <si>
    <t>三孚股份</t>
  </si>
  <si>
    <t>3756万</t>
  </si>
  <si>
    <t>5750万</t>
  </si>
  <si>
    <t>5777万</t>
  </si>
  <si>
    <t>4331万</t>
  </si>
  <si>
    <t>8474万</t>
  </si>
  <si>
    <t>8041万</t>
  </si>
  <si>
    <t>433万</t>
  </si>
  <si>
    <t>海达股份</t>
  </si>
  <si>
    <t>5839万</t>
  </si>
  <si>
    <t>34.9万</t>
  </si>
  <si>
    <t>4673万</t>
  </si>
  <si>
    <t>国恩股份</t>
  </si>
  <si>
    <t>8700万</t>
  </si>
  <si>
    <t>6644万</t>
  </si>
  <si>
    <t>5536万</t>
  </si>
  <si>
    <t>9.44亿</t>
  </si>
  <si>
    <t>9.13亿</t>
  </si>
  <si>
    <t>3059万</t>
  </si>
  <si>
    <t>拓斯达</t>
  </si>
  <si>
    <t>5736万</t>
  </si>
  <si>
    <t>289万</t>
  </si>
  <si>
    <t>3846万</t>
  </si>
  <si>
    <t>3369万</t>
  </si>
  <si>
    <t>4478万</t>
  </si>
  <si>
    <t>7.99亿</t>
  </si>
  <si>
    <t>宋城演艺</t>
  </si>
  <si>
    <t>3.31万</t>
  </si>
  <si>
    <t>7.12亿</t>
  </si>
  <si>
    <t>3.74亿</t>
  </si>
  <si>
    <t>849万</t>
  </si>
  <si>
    <t>91.0亿</t>
  </si>
  <si>
    <t>1613万</t>
  </si>
  <si>
    <t>农业银行</t>
  </si>
  <si>
    <t>3248亿</t>
  </si>
  <si>
    <t>2941亿</t>
  </si>
  <si>
    <t>1559亿</t>
  </si>
  <si>
    <t>702亿</t>
  </si>
  <si>
    <t>587亿</t>
  </si>
  <si>
    <t>5978亿</t>
  </si>
  <si>
    <t>21.6万亿</t>
  </si>
  <si>
    <t>1529亿</t>
  </si>
  <si>
    <t>20.2万亿</t>
  </si>
  <si>
    <t>1.46万亿</t>
  </si>
  <si>
    <t>988亿</t>
  </si>
  <si>
    <t>307亿</t>
  </si>
  <si>
    <t>大东方</t>
  </si>
  <si>
    <t>1.87万</t>
  </si>
  <si>
    <t>782万</t>
  </si>
  <si>
    <t>51.1亿</t>
  </si>
  <si>
    <t>欧普康视</t>
  </si>
  <si>
    <t>1.12万</t>
  </si>
  <si>
    <t>7723万</t>
  </si>
  <si>
    <t>483万</t>
  </si>
  <si>
    <t>4179万</t>
  </si>
  <si>
    <t>3562万</t>
  </si>
  <si>
    <t>3541万</t>
  </si>
  <si>
    <t>511万</t>
  </si>
  <si>
    <t>XD好太太</t>
  </si>
  <si>
    <t>4100万</t>
  </si>
  <si>
    <t>5497万</t>
  </si>
  <si>
    <t>708万</t>
  </si>
  <si>
    <t>5680万</t>
  </si>
  <si>
    <t>4766万</t>
  </si>
  <si>
    <t>4080万</t>
  </si>
  <si>
    <t>老白干酒</t>
  </si>
  <si>
    <t>7.38亿</t>
  </si>
  <si>
    <t>9624万</t>
  </si>
  <si>
    <t>9976万</t>
  </si>
  <si>
    <t>7477万</t>
  </si>
  <si>
    <t>5.69亿</t>
  </si>
  <si>
    <t>三友化工</t>
  </si>
  <si>
    <t>2.26万</t>
  </si>
  <si>
    <t>47.3亿</t>
  </si>
  <si>
    <t>241亿</t>
  </si>
  <si>
    <t>71.0亿</t>
  </si>
  <si>
    <t>优博讯</t>
  </si>
  <si>
    <t>3175万</t>
  </si>
  <si>
    <t>53.7万</t>
  </si>
  <si>
    <t>2610万</t>
  </si>
  <si>
    <t>3581万</t>
  </si>
  <si>
    <t>615万</t>
  </si>
  <si>
    <t>6.23亿</t>
  </si>
  <si>
    <t>三诺生物</t>
  </si>
  <si>
    <t>9195万</t>
  </si>
  <si>
    <t>2146万</t>
  </si>
  <si>
    <t>9316万</t>
  </si>
  <si>
    <t>8329万</t>
  </si>
  <si>
    <t>5075万</t>
  </si>
  <si>
    <t>闰土股份</t>
  </si>
  <si>
    <t>1.65万</t>
  </si>
  <si>
    <t>3.81亿</t>
  </si>
  <si>
    <t>172万</t>
  </si>
  <si>
    <t>92.7亿</t>
  </si>
  <si>
    <t>73.1亿</t>
  </si>
  <si>
    <t>建设银行</t>
  </si>
  <si>
    <t>2500亿</t>
  </si>
  <si>
    <t>95.9亿</t>
  </si>
  <si>
    <t>1832亿</t>
  </si>
  <si>
    <t>899亿</t>
  </si>
  <si>
    <t>905亿</t>
  </si>
  <si>
    <t>738亿</t>
  </si>
  <si>
    <t>9303亿</t>
  </si>
  <si>
    <t>22.8万亿</t>
  </si>
  <si>
    <t>1675亿</t>
  </si>
  <si>
    <t>21.0万亿</t>
  </si>
  <si>
    <t>1.84万亿</t>
  </si>
  <si>
    <t>1345亿</t>
  </si>
  <si>
    <t>2404亿</t>
  </si>
  <si>
    <t>广汇能源</t>
  </si>
  <si>
    <t>67.4亿</t>
  </si>
  <si>
    <t>3.87万</t>
  </si>
  <si>
    <t>-1671万</t>
  </si>
  <si>
    <t>7.05亿</t>
  </si>
  <si>
    <t>华宝股份</t>
  </si>
  <si>
    <t>6159万</t>
  </si>
  <si>
    <t>384万</t>
  </si>
  <si>
    <t>87.0亿</t>
  </si>
  <si>
    <t>70.6亿</t>
  </si>
  <si>
    <t>81.8亿</t>
  </si>
  <si>
    <t>46.1亿</t>
  </si>
  <si>
    <t>以岭药业</t>
  </si>
  <si>
    <t>9.15亿</t>
  </si>
  <si>
    <t>843万</t>
  </si>
  <si>
    <t>贵州百灵</t>
  </si>
  <si>
    <t>6.80亿</t>
  </si>
  <si>
    <t>3133万</t>
  </si>
  <si>
    <t>鸿达兴业</t>
  </si>
  <si>
    <t>3.95万</t>
  </si>
  <si>
    <t>3.07亿</t>
  </si>
  <si>
    <t>-394万</t>
  </si>
  <si>
    <t>60.4亿</t>
  </si>
  <si>
    <t>中天金融</t>
  </si>
  <si>
    <t>70.5亿</t>
  </si>
  <si>
    <t>65.1亿</t>
  </si>
  <si>
    <t>40.3亿</t>
  </si>
  <si>
    <t>1067亿</t>
  </si>
  <si>
    <t>590亿</t>
  </si>
  <si>
    <t>870亿</t>
  </si>
  <si>
    <t>538亿</t>
  </si>
  <si>
    <t>332亿</t>
  </si>
  <si>
    <t>物产中大</t>
  </si>
  <si>
    <t>1.63万</t>
  </si>
  <si>
    <t>543亿</t>
  </si>
  <si>
    <t>8.31亿</t>
  </si>
  <si>
    <t>76.3亿</t>
  </si>
  <si>
    <t>963亿</t>
  </si>
  <si>
    <t>616亿</t>
  </si>
  <si>
    <t>63.7亿</t>
  </si>
  <si>
    <t>693亿</t>
  </si>
  <si>
    <t>629亿</t>
  </si>
  <si>
    <t>八一钢铁</t>
  </si>
  <si>
    <t>-21.7亿</t>
  </si>
  <si>
    <t>4.50亿</t>
  </si>
  <si>
    <t>宜华健康</t>
  </si>
  <si>
    <t>2.78万</t>
  </si>
  <si>
    <t>5.70亿</t>
  </si>
  <si>
    <t>-45.6万</t>
  </si>
  <si>
    <t>76.1亿</t>
  </si>
  <si>
    <t>君禾股份</t>
  </si>
  <si>
    <t>2455万</t>
  </si>
  <si>
    <t>2449万</t>
  </si>
  <si>
    <t>2027万</t>
  </si>
  <si>
    <t>52.5万</t>
  </si>
  <si>
    <t>1.94亿</t>
  </si>
  <si>
    <t>人民同泰</t>
  </si>
  <si>
    <t>9591万</t>
  </si>
  <si>
    <t>9465万</t>
  </si>
  <si>
    <t>6950万</t>
  </si>
  <si>
    <t>桂冠电力</t>
  </si>
  <si>
    <t>5.06万</t>
  </si>
  <si>
    <t>-88.9万</t>
  </si>
  <si>
    <t>上汽集团</t>
  </si>
  <si>
    <t>10.4万</t>
  </si>
  <si>
    <t>2388亿</t>
  </si>
  <si>
    <t>86.1亿</t>
  </si>
  <si>
    <t>97.1亿</t>
  </si>
  <si>
    <t>1144亿</t>
  </si>
  <si>
    <t>7452亿</t>
  </si>
  <si>
    <t>4196亿</t>
  </si>
  <si>
    <t>608亿</t>
  </si>
  <si>
    <t>4601亿</t>
  </si>
  <si>
    <t>4012亿</t>
  </si>
  <si>
    <t>589亿</t>
  </si>
  <si>
    <t>2343亿</t>
  </si>
  <si>
    <t>548亿</t>
  </si>
  <si>
    <t>德赛西威</t>
  </si>
  <si>
    <t>83.9万</t>
  </si>
  <si>
    <t>20.7亿</t>
  </si>
  <si>
    <t>安 纳 达</t>
  </si>
  <si>
    <t>3440万</t>
  </si>
  <si>
    <t>3444万</t>
  </si>
  <si>
    <t>2878万</t>
  </si>
  <si>
    <t>1315万</t>
  </si>
  <si>
    <t>当代东方</t>
  </si>
  <si>
    <t>2832万</t>
  </si>
  <si>
    <t>9310万</t>
  </si>
  <si>
    <t>-1942万</t>
  </si>
  <si>
    <t>4513万</t>
  </si>
  <si>
    <t>江苏租赁</t>
  </si>
  <si>
    <t>6.01亿</t>
  </si>
  <si>
    <t>5090万</t>
  </si>
  <si>
    <t>540亿</t>
  </si>
  <si>
    <t>435亿</t>
  </si>
  <si>
    <t>华润三九</t>
  </si>
  <si>
    <t>3.23万</t>
  </si>
  <si>
    <t>4.97亿</t>
  </si>
  <si>
    <t>548万</t>
  </si>
  <si>
    <t>4.23亿</t>
  </si>
  <si>
    <t>54.3亿</t>
  </si>
  <si>
    <t>天士力</t>
  </si>
  <si>
    <t>911万</t>
  </si>
  <si>
    <t>55.5亿</t>
  </si>
  <si>
    <t>90.3亿</t>
  </si>
  <si>
    <t>温氏股份</t>
  </si>
  <si>
    <t>3447万</t>
  </si>
  <si>
    <t>503亿</t>
  </si>
  <si>
    <t>193亿</t>
  </si>
  <si>
    <t>47.1亿</t>
  </si>
  <si>
    <t>345亿</t>
  </si>
  <si>
    <t>紫光学大</t>
  </si>
  <si>
    <t>9620万</t>
  </si>
  <si>
    <t>2135万</t>
  </si>
  <si>
    <t>1188万</t>
  </si>
  <si>
    <t>1734万</t>
  </si>
  <si>
    <t>301万</t>
  </si>
  <si>
    <t>-8732万</t>
  </si>
  <si>
    <t>1706万</t>
  </si>
  <si>
    <t>7251万</t>
  </si>
  <si>
    <t>5808万</t>
  </si>
  <si>
    <t>石大胜华</t>
  </si>
  <si>
    <t>8497万</t>
  </si>
  <si>
    <t>492万</t>
  </si>
  <si>
    <t>8057万</t>
  </si>
  <si>
    <t>6707万</t>
  </si>
  <si>
    <t>1747万</t>
  </si>
  <si>
    <t>中国人寿</t>
  </si>
  <si>
    <t>14.8万</t>
  </si>
  <si>
    <t>2649亿</t>
  </si>
  <si>
    <t>282亿</t>
  </si>
  <si>
    <t>1527亿</t>
  </si>
  <si>
    <t>2.99万亿</t>
  </si>
  <si>
    <t>255亿</t>
  </si>
  <si>
    <t>2.65万亿</t>
  </si>
  <si>
    <t>3353亿</t>
  </si>
  <si>
    <t>552亿</t>
  </si>
  <si>
    <t>汉鼎宇佑</t>
  </si>
  <si>
    <t>9117万</t>
  </si>
  <si>
    <t>6123万</t>
  </si>
  <si>
    <t>盘江股份</t>
  </si>
  <si>
    <t>940万</t>
  </si>
  <si>
    <t>双鹭药业</t>
  </si>
  <si>
    <t>5.67亿</t>
  </si>
  <si>
    <t>426万</t>
  </si>
  <si>
    <t>44.5亿</t>
  </si>
  <si>
    <t>747万</t>
  </si>
  <si>
    <t>贝瑞基因</t>
  </si>
  <si>
    <t>6220万</t>
  </si>
  <si>
    <t>7809万</t>
  </si>
  <si>
    <t>-37.3万</t>
  </si>
  <si>
    <t>7793万</t>
  </si>
  <si>
    <t>6567万</t>
  </si>
  <si>
    <t>901万</t>
  </si>
  <si>
    <t>荣泰健康</t>
  </si>
  <si>
    <t>5142万</t>
  </si>
  <si>
    <t>7152万</t>
  </si>
  <si>
    <t>-182万</t>
  </si>
  <si>
    <t>7258万</t>
  </si>
  <si>
    <t>5825万</t>
  </si>
  <si>
    <t>法拉电子</t>
  </si>
  <si>
    <t>1.67万</t>
  </si>
  <si>
    <t>1227万</t>
  </si>
  <si>
    <t>9655万</t>
  </si>
  <si>
    <t>3.09亿</t>
  </si>
  <si>
    <t>1600万</t>
  </si>
  <si>
    <t>宁沪高速</t>
  </si>
  <si>
    <t>8516万</t>
  </si>
  <si>
    <t>453亿</t>
  </si>
  <si>
    <t>169亿</t>
  </si>
  <si>
    <t>95.3亿</t>
  </si>
  <si>
    <t>东方金钰</t>
  </si>
  <si>
    <t>112亿</t>
  </si>
  <si>
    <t>95.7亿</t>
  </si>
  <si>
    <t>东方嘉盛</t>
  </si>
  <si>
    <t>6565万</t>
  </si>
  <si>
    <t>316万</t>
  </si>
  <si>
    <t>5506万</t>
  </si>
  <si>
    <t>3062万</t>
  </si>
  <si>
    <t>黑猫股份</t>
  </si>
  <si>
    <t>-13.3万</t>
  </si>
  <si>
    <t>77.7亿</t>
  </si>
  <si>
    <t>长城汽车</t>
  </si>
  <si>
    <t>250万</t>
  </si>
  <si>
    <t>1095亿</t>
  </si>
  <si>
    <t>670亿</t>
  </si>
  <si>
    <t>279亿</t>
  </si>
  <si>
    <t>512亿</t>
  </si>
  <si>
    <t>宏发股份</t>
  </si>
  <si>
    <t>6.31万</t>
  </si>
  <si>
    <t>493万</t>
  </si>
  <si>
    <t>78.3亿</t>
  </si>
  <si>
    <t>海越股份</t>
  </si>
  <si>
    <t>5453万</t>
  </si>
  <si>
    <t>5.43亿</t>
  </si>
  <si>
    <t>107亿</t>
  </si>
  <si>
    <t>75.3亿</t>
  </si>
  <si>
    <t>上海凯宝</t>
  </si>
  <si>
    <t>1.89万</t>
  </si>
  <si>
    <t>-86.4万</t>
  </si>
  <si>
    <t>9958万</t>
  </si>
  <si>
    <t>3327万</t>
  </si>
  <si>
    <t>862万</t>
  </si>
  <si>
    <t>富森美</t>
  </si>
  <si>
    <t>9152万</t>
  </si>
  <si>
    <t>3.43亿</t>
  </si>
  <si>
    <t>2702万</t>
  </si>
  <si>
    <t>永吉股份</t>
  </si>
  <si>
    <t>4260万</t>
  </si>
  <si>
    <t>303万</t>
  </si>
  <si>
    <t>4257万</t>
  </si>
  <si>
    <t>3602万</t>
  </si>
  <si>
    <t>9.97亿</t>
  </si>
  <si>
    <t>6.27亿</t>
  </si>
  <si>
    <t>8788万</t>
  </si>
  <si>
    <t>8441万</t>
  </si>
  <si>
    <t>347万</t>
  </si>
  <si>
    <t>9.04亿</t>
  </si>
  <si>
    <t>中洲控股</t>
  </si>
  <si>
    <t>4.88亿</t>
  </si>
  <si>
    <t>4404万</t>
  </si>
  <si>
    <t>446亿</t>
  </si>
  <si>
    <t>375亿</t>
  </si>
  <si>
    <t>250亿</t>
  </si>
  <si>
    <t>66.5亿</t>
  </si>
  <si>
    <t>寿仙谷</t>
  </si>
  <si>
    <t>6106万</t>
  </si>
  <si>
    <t>3606万</t>
  </si>
  <si>
    <t>3617万</t>
  </si>
  <si>
    <t>8162万</t>
  </si>
  <si>
    <t>7343万</t>
  </si>
  <si>
    <t>820万</t>
  </si>
  <si>
    <t>民生银行</t>
  </si>
  <si>
    <t>365亿</t>
  </si>
  <si>
    <t>296亿</t>
  </si>
  <si>
    <t>367亿</t>
  </si>
  <si>
    <t>1668亿</t>
  </si>
  <si>
    <t>450亿</t>
  </si>
  <si>
    <t>5.61万亿</t>
  </si>
  <si>
    <t>3850亿</t>
  </si>
  <si>
    <t>648亿</t>
  </si>
  <si>
    <t>爱尔眼科</t>
  </si>
  <si>
    <t>1511万</t>
  </si>
  <si>
    <t>93.4亿</t>
  </si>
  <si>
    <t>大元泵业</t>
  </si>
  <si>
    <t>2940万</t>
  </si>
  <si>
    <t>4269万</t>
  </si>
  <si>
    <t>148万</t>
  </si>
  <si>
    <t>4300万</t>
  </si>
  <si>
    <t>3707万</t>
  </si>
  <si>
    <t>1598万</t>
  </si>
  <si>
    <t>振华股份</t>
  </si>
  <si>
    <t>5877万</t>
  </si>
  <si>
    <t>32.5万</t>
  </si>
  <si>
    <t>5878万</t>
  </si>
  <si>
    <t>4637万</t>
  </si>
  <si>
    <t>生益科技</t>
  </si>
  <si>
    <t>354万</t>
  </si>
  <si>
    <t>2.49亿</t>
  </si>
  <si>
    <t>83.9亿</t>
  </si>
  <si>
    <t>普利制药</t>
  </si>
  <si>
    <t>9898万</t>
  </si>
  <si>
    <t>9395万</t>
  </si>
  <si>
    <t>47.6万</t>
  </si>
  <si>
    <t>3487万</t>
  </si>
  <si>
    <t>8904万</t>
  </si>
  <si>
    <t>5006万</t>
  </si>
  <si>
    <t>7.51亿</t>
  </si>
  <si>
    <t>恩华药业</t>
  </si>
  <si>
    <t>8.84亿</t>
  </si>
  <si>
    <t>4.48万</t>
  </si>
  <si>
    <t>-195万</t>
  </si>
  <si>
    <t>7.91亿</t>
  </si>
  <si>
    <t>9867万</t>
  </si>
  <si>
    <t>仙鹤股份</t>
  </si>
  <si>
    <t>6200万</t>
  </si>
  <si>
    <t>9709万</t>
  </si>
  <si>
    <t>大有能源</t>
  </si>
  <si>
    <t>11.4万</t>
  </si>
  <si>
    <t>91.2亿</t>
  </si>
  <si>
    <t>8.50亿</t>
  </si>
  <si>
    <t>三环集团</t>
  </si>
  <si>
    <t>8.37万</t>
  </si>
  <si>
    <t>新华保险</t>
  </si>
  <si>
    <t>462亿</t>
  </si>
  <si>
    <t>36.2亿</t>
  </si>
  <si>
    <t>298亿</t>
  </si>
  <si>
    <t>7222亿</t>
  </si>
  <si>
    <t>61.7亿</t>
  </si>
  <si>
    <t>6566亿</t>
  </si>
  <si>
    <t>655亿</t>
  </si>
  <si>
    <t>大秦铁路</t>
  </si>
  <si>
    <t>9.94万</t>
  </si>
  <si>
    <t>7.70亿</t>
  </si>
  <si>
    <t>41.0亿</t>
  </si>
  <si>
    <t>524亿</t>
  </si>
  <si>
    <t>1315亿</t>
  </si>
  <si>
    <t>261亿</t>
  </si>
  <si>
    <t>1035亿</t>
  </si>
  <si>
    <t>博汇纸业</t>
  </si>
  <si>
    <t>61.4亿</t>
  </si>
  <si>
    <t>51.7亿</t>
  </si>
  <si>
    <t>亚翔集成</t>
  </si>
  <si>
    <t>9656万</t>
  </si>
  <si>
    <t>198万</t>
  </si>
  <si>
    <t>4031万</t>
  </si>
  <si>
    <t>2035万</t>
  </si>
  <si>
    <t>九阳股份</t>
  </si>
  <si>
    <t>1.99万</t>
  </si>
  <si>
    <t>481万</t>
  </si>
  <si>
    <t>6.20亿</t>
  </si>
  <si>
    <t>洛阳钼业</t>
  </si>
  <si>
    <t>70.7亿</t>
  </si>
  <si>
    <t>982亿</t>
  </si>
  <si>
    <t>414亿</t>
  </si>
  <si>
    <t>515亿</t>
  </si>
  <si>
    <t>368亿</t>
  </si>
  <si>
    <t>389亿</t>
  </si>
  <si>
    <t>奇正藏药</t>
  </si>
  <si>
    <t>8427万</t>
  </si>
  <si>
    <t>30.5万</t>
  </si>
  <si>
    <t>6260万</t>
  </si>
  <si>
    <t>广州酒家</t>
  </si>
  <si>
    <t>5022万</t>
  </si>
  <si>
    <t>4998万</t>
  </si>
  <si>
    <t>3859万</t>
  </si>
  <si>
    <t>6.56亿</t>
  </si>
  <si>
    <t>兖州煤业</t>
  </si>
  <si>
    <t>49.1亿</t>
  </si>
  <si>
    <t>323亿</t>
  </si>
  <si>
    <t>1994亿</t>
  </si>
  <si>
    <t>706亿</t>
  </si>
  <si>
    <t>1156亿</t>
  </si>
  <si>
    <t>586亿</t>
  </si>
  <si>
    <t>570亿</t>
  </si>
  <si>
    <t>611亿</t>
  </si>
  <si>
    <t>华森制药</t>
  </si>
  <si>
    <t>3279万</t>
  </si>
  <si>
    <t>135万</t>
  </si>
  <si>
    <t>3482万</t>
  </si>
  <si>
    <t>2945万</t>
  </si>
  <si>
    <t>700万</t>
  </si>
  <si>
    <t>蓝帆医疗</t>
  </si>
  <si>
    <t>2.34万</t>
  </si>
  <si>
    <t>4675万</t>
  </si>
  <si>
    <t>-10.3万</t>
  </si>
  <si>
    <t>4988万</t>
  </si>
  <si>
    <t>5840万</t>
  </si>
  <si>
    <t>1727万</t>
  </si>
  <si>
    <t>恒立液压</t>
  </si>
  <si>
    <t>5.09万</t>
  </si>
  <si>
    <t>742万</t>
  </si>
  <si>
    <t>康欣新材</t>
  </si>
  <si>
    <t>9.89亿</t>
  </si>
  <si>
    <t>龙大肉食</t>
  </si>
  <si>
    <t>7.47亿</t>
  </si>
  <si>
    <t>4.83万</t>
  </si>
  <si>
    <t>8522万</t>
  </si>
  <si>
    <t>55.2万</t>
  </si>
  <si>
    <t>8837万</t>
  </si>
  <si>
    <t>7878万</t>
  </si>
  <si>
    <t>长生生物</t>
  </si>
  <si>
    <t>9.74亿</t>
  </si>
  <si>
    <t>2.20万</t>
  </si>
  <si>
    <t>7469万</t>
  </si>
  <si>
    <t>鱼跃医疗</t>
  </si>
  <si>
    <t>8.55亿</t>
  </si>
  <si>
    <t>699万</t>
  </si>
  <si>
    <t>54.5亿</t>
  </si>
  <si>
    <t>东方能源</t>
  </si>
  <si>
    <t>7956万</t>
  </si>
  <si>
    <t>9610万</t>
  </si>
  <si>
    <t>94.9亿</t>
  </si>
  <si>
    <t>印纪传媒</t>
  </si>
  <si>
    <t>9.69亿</t>
  </si>
  <si>
    <t>-213万</t>
  </si>
  <si>
    <t>46.0亿</t>
  </si>
  <si>
    <t>-1627万</t>
  </si>
  <si>
    <t>长江通信</t>
  </si>
  <si>
    <t>3407万</t>
  </si>
  <si>
    <t>6259万</t>
  </si>
  <si>
    <t>7037万</t>
  </si>
  <si>
    <t>6258万</t>
  </si>
  <si>
    <t>6322万</t>
  </si>
  <si>
    <t>3267万</t>
  </si>
  <si>
    <t>药石科技</t>
  </si>
  <si>
    <t>2750万</t>
  </si>
  <si>
    <t>9924万</t>
  </si>
  <si>
    <t>2460万</t>
  </si>
  <si>
    <t>132万</t>
  </si>
  <si>
    <t>2567万</t>
  </si>
  <si>
    <t>2008万</t>
  </si>
  <si>
    <t>9508万</t>
  </si>
  <si>
    <t>8275万</t>
  </si>
  <si>
    <t>5109万</t>
  </si>
  <si>
    <t>4204万</t>
  </si>
  <si>
    <t>索通发展</t>
  </si>
  <si>
    <t>2.43亿</t>
  </si>
  <si>
    <t>6020万</t>
  </si>
  <si>
    <t>9600万</t>
  </si>
  <si>
    <t>山西焦化</t>
  </si>
  <si>
    <t>-7.71亿</t>
  </si>
  <si>
    <t>74.7亿</t>
  </si>
  <si>
    <t>86.6亿</t>
  </si>
  <si>
    <t>上海机场</t>
  </si>
  <si>
    <t>3.55万</t>
  </si>
  <si>
    <t>96.2亿</t>
  </si>
  <si>
    <t>858万</t>
  </si>
  <si>
    <t>262亿</t>
  </si>
  <si>
    <t>劲拓股份</t>
  </si>
  <si>
    <t>2359万</t>
  </si>
  <si>
    <t>2003万</t>
  </si>
  <si>
    <t>4674万</t>
  </si>
  <si>
    <t>4794万</t>
  </si>
  <si>
    <t>睿能科技</t>
  </si>
  <si>
    <t>4687万</t>
  </si>
  <si>
    <t>290万</t>
  </si>
  <si>
    <t>4683万</t>
  </si>
  <si>
    <t>3899万</t>
  </si>
  <si>
    <t>5575万</t>
  </si>
  <si>
    <t>19.3万</t>
  </si>
  <si>
    <t>华润双鹤</t>
  </si>
  <si>
    <t>3.03万</t>
  </si>
  <si>
    <t>663万</t>
  </si>
  <si>
    <t>58.2亿</t>
  </si>
  <si>
    <t>77.6亿</t>
  </si>
  <si>
    <t>美锦能源</t>
  </si>
  <si>
    <t>2.66万</t>
  </si>
  <si>
    <t>-521万</t>
  </si>
  <si>
    <t>淳中科技</t>
  </si>
  <si>
    <t>3274万</t>
  </si>
  <si>
    <t>7091万</t>
  </si>
  <si>
    <t>2574万</t>
  </si>
  <si>
    <t>80.8万</t>
  </si>
  <si>
    <t>2288万</t>
  </si>
  <si>
    <t>7.65亿</t>
  </si>
  <si>
    <t>6839万</t>
  </si>
  <si>
    <t>3339万</t>
  </si>
  <si>
    <t>3149万</t>
  </si>
  <si>
    <t>7.31亿</t>
  </si>
  <si>
    <t>神马股份</t>
  </si>
  <si>
    <t>8401万</t>
  </si>
  <si>
    <t>欣锐科技</t>
  </si>
  <si>
    <t>2863万</t>
  </si>
  <si>
    <t>3053万</t>
  </si>
  <si>
    <t>232万</t>
  </si>
  <si>
    <t>3069万</t>
  </si>
  <si>
    <t>2814万</t>
  </si>
  <si>
    <t>8234万</t>
  </si>
  <si>
    <t>3.69亿</t>
  </si>
  <si>
    <t>2765万</t>
  </si>
  <si>
    <t>美晨生态</t>
  </si>
  <si>
    <t>5.70万</t>
  </si>
  <si>
    <t>926万</t>
  </si>
  <si>
    <t>新 大 陆</t>
  </si>
  <si>
    <t>9142万</t>
  </si>
  <si>
    <t>50.3亿</t>
  </si>
  <si>
    <t>快克股份</t>
  </si>
  <si>
    <t>4060万</t>
  </si>
  <si>
    <t>9982万</t>
  </si>
  <si>
    <t>3414万</t>
  </si>
  <si>
    <t>3413万</t>
  </si>
  <si>
    <t>2893万</t>
  </si>
  <si>
    <t>9.12亿</t>
  </si>
  <si>
    <t>7.62亿</t>
  </si>
  <si>
    <t>9172万</t>
  </si>
  <si>
    <t>1311万</t>
  </si>
  <si>
    <t>春秋航空</t>
  </si>
  <si>
    <t>9.17亿</t>
  </si>
  <si>
    <t>3.51万</t>
  </si>
  <si>
    <t>-1884万</t>
  </si>
  <si>
    <t>245亿</t>
  </si>
  <si>
    <t>49.0亿</t>
  </si>
  <si>
    <t>迈克生物</t>
  </si>
  <si>
    <t>174万</t>
  </si>
  <si>
    <t>9.71亿</t>
  </si>
  <si>
    <t>太平鸟</t>
  </si>
  <si>
    <t>1015万</t>
  </si>
  <si>
    <t>57.6亿</t>
  </si>
  <si>
    <t>新凤鸣</t>
  </si>
  <si>
    <t>8.43亿</t>
  </si>
  <si>
    <t>779万</t>
  </si>
  <si>
    <t>华统股份</t>
  </si>
  <si>
    <t>9782万</t>
  </si>
  <si>
    <t>1.86万</t>
  </si>
  <si>
    <t>5456万</t>
  </si>
  <si>
    <t>6.68万</t>
  </si>
  <si>
    <t>5448万</t>
  </si>
  <si>
    <t>4676万</t>
  </si>
  <si>
    <t>智度股份</t>
  </si>
  <si>
    <t>1150万</t>
  </si>
  <si>
    <t>2.01亿</t>
  </si>
  <si>
    <t>7.73亿</t>
  </si>
  <si>
    <t>43.7亿</t>
  </si>
  <si>
    <t>辅仁药业</t>
  </si>
  <si>
    <t>凌钢股份</t>
  </si>
  <si>
    <t>1.91万</t>
  </si>
  <si>
    <t>19.0万</t>
  </si>
  <si>
    <t>84.5亿</t>
  </si>
  <si>
    <t>66.4亿</t>
  </si>
  <si>
    <t>吉宏股份</t>
  </si>
  <si>
    <t>4600万</t>
  </si>
  <si>
    <t>2812万</t>
  </si>
  <si>
    <t>84.2万</t>
  </si>
  <si>
    <t>2794万</t>
  </si>
  <si>
    <t>1892万</t>
  </si>
  <si>
    <t>1054万</t>
  </si>
  <si>
    <t>金安国纪</t>
  </si>
  <si>
    <t>939万</t>
  </si>
  <si>
    <t>8851万</t>
  </si>
  <si>
    <t>5511万</t>
  </si>
  <si>
    <t>巨人网络</t>
  </si>
  <si>
    <t>1.70万</t>
  </si>
  <si>
    <t>2009万</t>
  </si>
  <si>
    <t>89.4亿</t>
  </si>
  <si>
    <t>富奥股份</t>
  </si>
  <si>
    <t>3416万</t>
  </si>
  <si>
    <t>百傲化学</t>
  </si>
  <si>
    <t>5601万</t>
  </si>
  <si>
    <t>3307万</t>
  </si>
  <si>
    <t>51.3万</t>
  </si>
  <si>
    <t>2731万</t>
  </si>
  <si>
    <t>8875万</t>
  </si>
  <si>
    <t>3793万</t>
  </si>
  <si>
    <t>5082万</t>
  </si>
  <si>
    <t>7.15亿</t>
  </si>
  <si>
    <t>江中药业</t>
  </si>
  <si>
    <t>-13.0万</t>
  </si>
  <si>
    <t>嘉事堂</t>
  </si>
  <si>
    <t>8778万</t>
  </si>
  <si>
    <t>88.6亿</t>
  </si>
  <si>
    <t>东港股份</t>
  </si>
  <si>
    <t>2.06万</t>
  </si>
  <si>
    <t>7088万</t>
  </si>
  <si>
    <t>235万</t>
  </si>
  <si>
    <t>7098万</t>
  </si>
  <si>
    <t>6029万</t>
  </si>
  <si>
    <t>5177万</t>
  </si>
  <si>
    <t>尖峰集团</t>
  </si>
  <si>
    <t>1950万</t>
  </si>
  <si>
    <t>精锻科技</t>
  </si>
  <si>
    <t>7774万</t>
  </si>
  <si>
    <t>7829万</t>
  </si>
  <si>
    <t>6614万</t>
  </si>
  <si>
    <t>5678万</t>
  </si>
  <si>
    <t>康得新</t>
  </si>
  <si>
    <t>1097万</t>
  </si>
  <si>
    <t>77.3亿</t>
  </si>
  <si>
    <t>357亿</t>
  </si>
  <si>
    <t>68.3亿</t>
  </si>
  <si>
    <t>常熟汽饰</t>
  </si>
  <si>
    <t>9114万</t>
  </si>
  <si>
    <t>8076万</t>
  </si>
  <si>
    <t>9157万</t>
  </si>
  <si>
    <t>8854万</t>
  </si>
  <si>
    <t>7604万</t>
  </si>
  <si>
    <t>利安隆</t>
  </si>
  <si>
    <t>9722万</t>
  </si>
  <si>
    <t>4335万</t>
  </si>
  <si>
    <t>122万</t>
  </si>
  <si>
    <t>4310万</t>
  </si>
  <si>
    <t>3549万</t>
  </si>
  <si>
    <t>9.56亿</t>
  </si>
  <si>
    <t>7926万</t>
  </si>
  <si>
    <t>国瓷材料</t>
  </si>
  <si>
    <t>4.04万</t>
  </si>
  <si>
    <t>9048万</t>
  </si>
  <si>
    <t>9086万</t>
  </si>
  <si>
    <t>7533万</t>
  </si>
  <si>
    <t>鄂武商Ａ</t>
  </si>
  <si>
    <t>26.5万</t>
  </si>
  <si>
    <t>永辉超市</t>
  </si>
  <si>
    <t>3.71万</t>
  </si>
  <si>
    <t>-2826万</t>
  </si>
  <si>
    <t>326亿</t>
  </si>
  <si>
    <t>68.2亿</t>
  </si>
  <si>
    <t>巨化股份</t>
  </si>
  <si>
    <t>2.70万</t>
  </si>
  <si>
    <t>1259万</t>
  </si>
  <si>
    <t>北新建材</t>
  </si>
  <si>
    <t>1986万</t>
  </si>
  <si>
    <t>75.2亿</t>
  </si>
  <si>
    <t>7.22亿</t>
  </si>
  <si>
    <t>工商银行</t>
  </si>
  <si>
    <t>3564亿</t>
  </si>
  <si>
    <t>2696亿</t>
  </si>
  <si>
    <t>60.6万</t>
  </si>
  <si>
    <t>1972亿</t>
  </si>
  <si>
    <t>1003亿</t>
  </si>
  <si>
    <t>1016亿</t>
  </si>
  <si>
    <t>788亿</t>
  </si>
  <si>
    <t>1.12万亿</t>
  </si>
  <si>
    <t>26.5万亿</t>
  </si>
  <si>
    <t>2109亿</t>
  </si>
  <si>
    <t>24.3万亿</t>
  </si>
  <si>
    <t>2.17万亿</t>
  </si>
  <si>
    <t>1520亿</t>
  </si>
  <si>
    <t>868亿</t>
  </si>
  <si>
    <t>东莞控股</t>
  </si>
  <si>
    <t>4047万</t>
  </si>
  <si>
    <t>58.7亿</t>
  </si>
  <si>
    <t>卫信康</t>
  </si>
  <si>
    <t>6300万</t>
  </si>
  <si>
    <t>3522万</t>
  </si>
  <si>
    <t>3357万</t>
  </si>
  <si>
    <t>620万</t>
  </si>
  <si>
    <t>德展健康</t>
  </si>
  <si>
    <t>4.98万</t>
  </si>
  <si>
    <t>152万</t>
  </si>
  <si>
    <t>47.0亿</t>
  </si>
  <si>
    <t>47.2亿</t>
  </si>
  <si>
    <t>永艺股份</t>
  </si>
  <si>
    <t>2920万</t>
  </si>
  <si>
    <t>12.4万</t>
  </si>
  <si>
    <t>2916万</t>
  </si>
  <si>
    <t>2602万</t>
  </si>
  <si>
    <t>85.1万</t>
  </si>
  <si>
    <t>6.93亿</t>
  </si>
  <si>
    <t>8238万</t>
  </si>
  <si>
    <t>苏利股份</t>
  </si>
  <si>
    <t>5400万</t>
  </si>
  <si>
    <t>-10.2万</t>
  </si>
  <si>
    <t>5945万</t>
  </si>
  <si>
    <t>6.19亿</t>
  </si>
  <si>
    <t>1083万</t>
  </si>
  <si>
    <t>浙江仙通</t>
  </si>
  <si>
    <t>9072万</t>
  </si>
  <si>
    <t>4594万</t>
  </si>
  <si>
    <t>49.9万</t>
  </si>
  <si>
    <t>4580万</t>
  </si>
  <si>
    <t>3875万</t>
  </si>
  <si>
    <t>91.1万</t>
  </si>
  <si>
    <t>青岛啤酒</t>
  </si>
  <si>
    <t>672万</t>
  </si>
  <si>
    <t>327亿</t>
  </si>
  <si>
    <t>159亿</t>
  </si>
  <si>
    <t>东风科技</t>
  </si>
  <si>
    <t>9153万</t>
  </si>
  <si>
    <t>2847万</t>
  </si>
  <si>
    <t>8972万</t>
  </si>
  <si>
    <t>4877万</t>
  </si>
  <si>
    <t>4636万</t>
  </si>
  <si>
    <t>1523万</t>
  </si>
  <si>
    <t>成都银行</t>
  </si>
  <si>
    <t>4544亿</t>
  </si>
  <si>
    <t>4259亿</t>
  </si>
  <si>
    <t>中新药业</t>
  </si>
  <si>
    <t>6076万</t>
  </si>
  <si>
    <t>7.85亿</t>
  </si>
  <si>
    <t>46.3亿</t>
  </si>
  <si>
    <t>川环科技</t>
  </si>
  <si>
    <t>3191万</t>
  </si>
  <si>
    <t>3179万</t>
  </si>
  <si>
    <t>2737万</t>
  </si>
  <si>
    <t>4442万</t>
  </si>
  <si>
    <t>歌力思</t>
  </si>
  <si>
    <t>73.1万</t>
  </si>
  <si>
    <t>8032万</t>
  </si>
  <si>
    <t>中粮地产</t>
  </si>
  <si>
    <t>806亿</t>
  </si>
  <si>
    <t>699亿</t>
  </si>
  <si>
    <t>687亿</t>
  </si>
  <si>
    <t>487亿</t>
  </si>
  <si>
    <t>湘油泵</t>
  </si>
  <si>
    <t>8092万</t>
  </si>
  <si>
    <t>4611万</t>
  </si>
  <si>
    <t>3145万</t>
  </si>
  <si>
    <t>3129万</t>
  </si>
  <si>
    <t>8859万</t>
  </si>
  <si>
    <t>奥拓电子</t>
  </si>
  <si>
    <t>95.6万</t>
  </si>
  <si>
    <t>4858万</t>
  </si>
  <si>
    <t>4414万</t>
  </si>
  <si>
    <t>1475万</t>
  </si>
  <si>
    <t>中国神华</t>
  </si>
  <si>
    <t>199亿</t>
  </si>
  <si>
    <t>7.93万</t>
  </si>
  <si>
    <t>630亿</t>
  </si>
  <si>
    <t>4900万</t>
  </si>
  <si>
    <t>1940亿</t>
  </si>
  <si>
    <t>5737亿</t>
  </si>
  <si>
    <t>1431亿</t>
  </si>
  <si>
    <t>3041亿</t>
  </si>
  <si>
    <t>1841亿</t>
  </si>
  <si>
    <t>1060亿</t>
  </si>
  <si>
    <t>781亿</t>
  </si>
  <si>
    <t>3137亿</t>
  </si>
  <si>
    <t>欣旺达</t>
  </si>
  <si>
    <t>2.74万</t>
  </si>
  <si>
    <t>5031万</t>
  </si>
  <si>
    <t>惠威科技</t>
  </si>
  <si>
    <t>3117万</t>
  </si>
  <si>
    <t>6415万</t>
  </si>
  <si>
    <t>688万</t>
  </si>
  <si>
    <t>5308万</t>
  </si>
  <si>
    <t>艾德生物</t>
  </si>
  <si>
    <t>8890万</t>
  </si>
  <si>
    <t>2860万</t>
  </si>
  <si>
    <t>2498万</t>
  </si>
  <si>
    <t>4211万</t>
  </si>
  <si>
    <t>3620万</t>
  </si>
  <si>
    <t>591万</t>
  </si>
  <si>
    <t>隆基股份</t>
  </si>
  <si>
    <t>2.94万</t>
  </si>
  <si>
    <t>348亿</t>
  </si>
  <si>
    <t>59.3亿</t>
  </si>
  <si>
    <t>泰格医药</t>
  </si>
  <si>
    <t>1920万</t>
  </si>
  <si>
    <t>9590万</t>
  </si>
  <si>
    <t>9.22亿</t>
  </si>
  <si>
    <t>4652万</t>
  </si>
  <si>
    <t>元隆雅图</t>
  </si>
  <si>
    <t>4551万</t>
  </si>
  <si>
    <t>2453万</t>
  </si>
  <si>
    <t>131万</t>
  </si>
  <si>
    <t>1995万</t>
  </si>
  <si>
    <t>445万</t>
  </si>
  <si>
    <t>佳力图</t>
  </si>
  <si>
    <t>5180万</t>
  </si>
  <si>
    <t>9843万</t>
  </si>
  <si>
    <t>2777万</t>
  </si>
  <si>
    <t>2802万</t>
  </si>
  <si>
    <t>2379万</t>
  </si>
  <si>
    <t>8.01亿</t>
  </si>
  <si>
    <t>8020万</t>
  </si>
  <si>
    <t>6.47亿</t>
  </si>
  <si>
    <t>飞凯材料</t>
  </si>
  <si>
    <t>8069万</t>
  </si>
  <si>
    <t>38.9万</t>
  </si>
  <si>
    <t>8102万</t>
  </si>
  <si>
    <t>7342万</t>
  </si>
  <si>
    <t>6.08亿</t>
  </si>
  <si>
    <t>8.02亿</t>
  </si>
  <si>
    <t>红 太 阳</t>
  </si>
  <si>
    <t>2.67万</t>
  </si>
  <si>
    <t>-21.9万</t>
  </si>
  <si>
    <t>70.1亿</t>
  </si>
  <si>
    <t>63.8亿</t>
  </si>
  <si>
    <t>55.9亿</t>
  </si>
  <si>
    <t>精测电子</t>
  </si>
  <si>
    <t>8232万</t>
  </si>
  <si>
    <t>5870万</t>
  </si>
  <si>
    <t>5881万</t>
  </si>
  <si>
    <t>4886万</t>
  </si>
  <si>
    <t>3232万</t>
  </si>
  <si>
    <t>6006万</t>
  </si>
  <si>
    <t>星帅尔</t>
  </si>
  <si>
    <t>4733万</t>
  </si>
  <si>
    <t>9143万</t>
  </si>
  <si>
    <t>2938万</t>
  </si>
  <si>
    <t>62.5万</t>
  </si>
  <si>
    <t>2419万</t>
  </si>
  <si>
    <t>70.0万</t>
  </si>
  <si>
    <t>新天然气</t>
  </si>
  <si>
    <t>8563万</t>
  </si>
  <si>
    <t>8625万</t>
  </si>
  <si>
    <t>151万</t>
  </si>
  <si>
    <t>8620万</t>
  </si>
  <si>
    <t>7370万</t>
  </si>
  <si>
    <t>朗迪集团</t>
  </si>
  <si>
    <t>3315万</t>
  </si>
  <si>
    <t>3857万</t>
  </si>
  <si>
    <t>3805万</t>
  </si>
  <si>
    <t>3102万</t>
  </si>
  <si>
    <t>8.45亿</t>
  </si>
  <si>
    <t>4312万</t>
  </si>
  <si>
    <t>上海能源</t>
  </si>
  <si>
    <t>4.46亿</t>
  </si>
  <si>
    <t>93.5亿</t>
  </si>
  <si>
    <t>晶盛机电</t>
  </si>
  <si>
    <t>3.35万</t>
  </si>
  <si>
    <t>545万</t>
  </si>
  <si>
    <t>7057万</t>
  </si>
  <si>
    <t>隆平高科</t>
  </si>
  <si>
    <t>-3232万</t>
  </si>
  <si>
    <t>38.7亿</t>
  </si>
  <si>
    <t>60.9亿</t>
  </si>
  <si>
    <t>保隆科技</t>
  </si>
  <si>
    <t>7029万</t>
  </si>
  <si>
    <t>8541万</t>
  </si>
  <si>
    <t>46.3万</t>
  </si>
  <si>
    <t>8580万</t>
  </si>
  <si>
    <t>冠农股份</t>
  </si>
  <si>
    <t>6360万</t>
  </si>
  <si>
    <t>8736万</t>
  </si>
  <si>
    <t>6374万</t>
  </si>
  <si>
    <t>7415万</t>
  </si>
  <si>
    <t>九强生物</t>
  </si>
  <si>
    <t>6812万</t>
  </si>
  <si>
    <t>6811万</t>
  </si>
  <si>
    <t>9445万</t>
  </si>
  <si>
    <t>7277万</t>
  </si>
  <si>
    <t>5491万</t>
  </si>
  <si>
    <t>粤高速Ａ</t>
  </si>
  <si>
    <t>83.1亿</t>
  </si>
  <si>
    <t>中闽能源</t>
  </si>
  <si>
    <t>9.99亿</t>
  </si>
  <si>
    <t>2.57万</t>
  </si>
  <si>
    <t>9044万</t>
  </si>
  <si>
    <t>9043万</t>
  </si>
  <si>
    <t>6542万</t>
  </si>
  <si>
    <t>-13.6亿</t>
  </si>
  <si>
    <t>中国建筑</t>
  </si>
  <si>
    <t>2702亿</t>
  </si>
  <si>
    <t>1.62万亿</t>
  </si>
  <si>
    <t>338亿</t>
  </si>
  <si>
    <t>1.26万亿</t>
  </si>
  <si>
    <t>9022亿</t>
  </si>
  <si>
    <t>3554亿</t>
  </si>
  <si>
    <t>2281亿</t>
  </si>
  <si>
    <t>同仁堂</t>
  </si>
  <si>
    <t>-89.5万</t>
  </si>
  <si>
    <t>86.9亿</t>
  </si>
  <si>
    <t>齐翔腾达</t>
  </si>
  <si>
    <t>6.16万</t>
  </si>
  <si>
    <t>-1136万</t>
  </si>
  <si>
    <t>99.5亿</t>
  </si>
  <si>
    <t>数据港</t>
  </si>
  <si>
    <t>4003万</t>
  </si>
  <si>
    <t>3367万</t>
  </si>
  <si>
    <t>9.29亿</t>
  </si>
  <si>
    <t>奥瑞金</t>
  </si>
  <si>
    <t>2.93万</t>
  </si>
  <si>
    <t>2834万</t>
  </si>
  <si>
    <t>-2202万</t>
  </si>
  <si>
    <t>青青稞酒</t>
  </si>
  <si>
    <t>-24.5万</t>
  </si>
  <si>
    <t>8681万</t>
  </si>
  <si>
    <t>1896万</t>
  </si>
  <si>
    <t>桐昆股份</t>
  </si>
  <si>
    <t>-1252万</t>
  </si>
  <si>
    <t>80.1亿</t>
  </si>
  <si>
    <t>万丰奥威</t>
  </si>
  <si>
    <t>7.77万</t>
  </si>
  <si>
    <t>-139万</t>
  </si>
  <si>
    <t>62.1亿</t>
  </si>
  <si>
    <t>天创时尚</t>
  </si>
  <si>
    <t>9067万</t>
  </si>
  <si>
    <t>9074万</t>
  </si>
  <si>
    <t>7501万</t>
  </si>
  <si>
    <t>4275万</t>
  </si>
  <si>
    <t>京投发展</t>
  </si>
  <si>
    <t>2.83万</t>
  </si>
  <si>
    <t>-918万</t>
  </si>
  <si>
    <t>8800万</t>
  </si>
  <si>
    <t>299亿</t>
  </si>
  <si>
    <t>4832万</t>
  </si>
  <si>
    <t>GQY视讯</t>
  </si>
  <si>
    <t>8382万</t>
  </si>
  <si>
    <t>4143万</t>
  </si>
  <si>
    <t>718万</t>
  </si>
  <si>
    <t>4253万</t>
  </si>
  <si>
    <t>3703万</t>
  </si>
  <si>
    <t>6613万</t>
  </si>
  <si>
    <t>8499万</t>
  </si>
  <si>
    <t>6823万</t>
  </si>
  <si>
    <t>1676万</t>
  </si>
  <si>
    <t>同济科技</t>
  </si>
  <si>
    <t>1497万</t>
  </si>
  <si>
    <t>87.1亿</t>
  </si>
  <si>
    <t>宝莱特</t>
  </si>
  <si>
    <t>2507万</t>
  </si>
  <si>
    <t>-1.07万</t>
  </si>
  <si>
    <t>2499万</t>
  </si>
  <si>
    <t>1883万</t>
  </si>
  <si>
    <t>9432万</t>
  </si>
  <si>
    <t>6335万</t>
  </si>
  <si>
    <t>8213万</t>
  </si>
  <si>
    <t>云海金属</t>
  </si>
  <si>
    <t>-54.1万</t>
  </si>
  <si>
    <t>6958万</t>
  </si>
  <si>
    <t>5762万</t>
  </si>
  <si>
    <t>文灿股份</t>
  </si>
  <si>
    <t>5500万</t>
  </si>
  <si>
    <t>444万</t>
  </si>
  <si>
    <t>4805万</t>
  </si>
  <si>
    <t>4817万</t>
  </si>
  <si>
    <t>4176万</t>
  </si>
  <si>
    <t>九牧王</t>
  </si>
  <si>
    <t>3.10万</t>
  </si>
  <si>
    <t>1478万</t>
  </si>
  <si>
    <t>62.4亿</t>
  </si>
  <si>
    <t>52.9亿</t>
  </si>
  <si>
    <t>外高桥</t>
  </si>
  <si>
    <t>313亿</t>
  </si>
  <si>
    <t>60.7亿</t>
  </si>
  <si>
    <t>东方航空</t>
  </si>
  <si>
    <t>98.1亿</t>
  </si>
  <si>
    <t>2275亿</t>
  </si>
  <si>
    <t>1685亿</t>
  </si>
  <si>
    <t>994亿</t>
  </si>
  <si>
    <t>554亿</t>
  </si>
  <si>
    <t>和而泰</t>
  </si>
  <si>
    <t>5759万</t>
  </si>
  <si>
    <t>5804万</t>
  </si>
  <si>
    <t>4890万</t>
  </si>
  <si>
    <t>38.1万</t>
  </si>
  <si>
    <t>6719万</t>
  </si>
  <si>
    <t>西王食品</t>
  </si>
  <si>
    <t>5.51亿</t>
  </si>
  <si>
    <t>-2.98万</t>
  </si>
  <si>
    <t>8381万</t>
  </si>
  <si>
    <t>84.6亿</t>
  </si>
  <si>
    <t>川投能源</t>
  </si>
  <si>
    <t>6.09万</t>
  </si>
  <si>
    <t>76.0亿</t>
  </si>
  <si>
    <t>中文传媒</t>
  </si>
  <si>
    <t>1486万</t>
  </si>
  <si>
    <t>4.51亿</t>
  </si>
  <si>
    <t>57.1亿</t>
  </si>
  <si>
    <t>93.0亿</t>
  </si>
  <si>
    <t>82.6亿</t>
  </si>
  <si>
    <t>英搏尔</t>
  </si>
  <si>
    <t>7560万</t>
  </si>
  <si>
    <t>1890万</t>
  </si>
  <si>
    <t>2679万</t>
  </si>
  <si>
    <t>2727万</t>
  </si>
  <si>
    <t>8.80亿</t>
  </si>
  <si>
    <t>7214万</t>
  </si>
  <si>
    <t>深南电路</t>
  </si>
  <si>
    <t>中际旭创</t>
  </si>
  <si>
    <t>华懋科技</t>
  </si>
  <si>
    <t>9293万</t>
  </si>
  <si>
    <t>9281万</t>
  </si>
  <si>
    <t>7887万</t>
  </si>
  <si>
    <t>2142万</t>
  </si>
  <si>
    <t>北京银行</t>
  </si>
  <si>
    <t>10.3万</t>
  </si>
  <si>
    <t>69.5亿</t>
  </si>
  <si>
    <t>579亿</t>
  </si>
  <si>
    <t>2.39万亿</t>
  </si>
  <si>
    <t>2.21万亿</t>
  </si>
  <si>
    <t>1815亿</t>
  </si>
  <si>
    <t>鹏辉能源</t>
  </si>
  <si>
    <t>8943万</t>
  </si>
  <si>
    <t>102万</t>
  </si>
  <si>
    <t>7395万</t>
  </si>
  <si>
    <t>7257万</t>
  </si>
  <si>
    <t>好想你</t>
  </si>
  <si>
    <t>1.04万</t>
  </si>
  <si>
    <t>71.8万</t>
  </si>
  <si>
    <t>51.6亿</t>
  </si>
  <si>
    <t>贵人鸟</t>
  </si>
  <si>
    <t>7.31万</t>
  </si>
  <si>
    <t>1144万</t>
  </si>
  <si>
    <t>8520万</t>
  </si>
  <si>
    <t>龙元建设</t>
  </si>
  <si>
    <t>9.48亿</t>
  </si>
  <si>
    <t>2.31万</t>
  </si>
  <si>
    <t>3607万</t>
  </si>
  <si>
    <t>318亿</t>
  </si>
  <si>
    <t>61.3亿</t>
  </si>
  <si>
    <t>御家汇</t>
  </si>
  <si>
    <t>6800万</t>
  </si>
  <si>
    <t>3630万</t>
  </si>
  <si>
    <t>77.1万</t>
  </si>
  <si>
    <t>2934万</t>
  </si>
  <si>
    <t>4515万</t>
  </si>
  <si>
    <t>澳洋顺昌</t>
  </si>
  <si>
    <t>9.87亿</t>
  </si>
  <si>
    <t>7.36万</t>
  </si>
  <si>
    <t>8978万</t>
  </si>
  <si>
    <t>68.4亿</t>
  </si>
  <si>
    <t>富满电子</t>
  </si>
  <si>
    <t>1969万</t>
  </si>
  <si>
    <t>1821万</t>
  </si>
  <si>
    <t>1432万</t>
  </si>
  <si>
    <t>西泵股份</t>
  </si>
  <si>
    <t>1.22万</t>
  </si>
  <si>
    <t>8198万</t>
  </si>
  <si>
    <t>7463万</t>
  </si>
  <si>
    <t>6813万</t>
  </si>
  <si>
    <t>新疆天业</t>
  </si>
  <si>
    <t>华灿光电</t>
  </si>
  <si>
    <t>3.43万</t>
  </si>
  <si>
    <t>-1045万</t>
  </si>
  <si>
    <t>同兴达</t>
  </si>
  <si>
    <t>6240万</t>
  </si>
  <si>
    <t>4296万</t>
  </si>
  <si>
    <t>56.6万</t>
  </si>
  <si>
    <t>633万</t>
  </si>
  <si>
    <t>杭州银行</t>
  </si>
  <si>
    <t>8428亿</t>
  </si>
  <si>
    <t>7891亿</t>
  </si>
  <si>
    <t>537亿</t>
  </si>
  <si>
    <t>长春一东</t>
  </si>
  <si>
    <t>2416万</t>
  </si>
  <si>
    <t>2408万</t>
  </si>
  <si>
    <t>1434万</t>
  </si>
  <si>
    <t>8912万</t>
  </si>
  <si>
    <t>掌阅科技</t>
  </si>
  <si>
    <t>3317万</t>
  </si>
  <si>
    <t>-29.7万</t>
  </si>
  <si>
    <t>3806万</t>
  </si>
  <si>
    <t>3573万</t>
  </si>
  <si>
    <t>100万</t>
  </si>
  <si>
    <t>江苏银行</t>
  </si>
  <si>
    <t>324亿</t>
  </si>
  <si>
    <t>1.80万亿</t>
  </si>
  <si>
    <t>1.68万亿</t>
  </si>
  <si>
    <t>1146亿</t>
  </si>
  <si>
    <t>天坛生物</t>
  </si>
  <si>
    <t>6.10亿</t>
  </si>
  <si>
    <t>983万</t>
  </si>
  <si>
    <t>天奇股份</t>
  </si>
  <si>
    <t>8717万</t>
  </si>
  <si>
    <t>949万</t>
  </si>
  <si>
    <t>8388万</t>
  </si>
  <si>
    <t>7135万</t>
  </si>
  <si>
    <t>53.5亿</t>
  </si>
  <si>
    <t>9827万</t>
  </si>
  <si>
    <t>醋化股份</t>
  </si>
  <si>
    <t>5540万</t>
  </si>
  <si>
    <t>95.1万</t>
  </si>
  <si>
    <t>5543万</t>
  </si>
  <si>
    <t>4801万</t>
  </si>
  <si>
    <t>龙马环卫</t>
  </si>
  <si>
    <t>1.56万</t>
  </si>
  <si>
    <t>9682万</t>
  </si>
  <si>
    <t>-14.2万</t>
  </si>
  <si>
    <t>9661万</t>
  </si>
  <si>
    <t>7722万</t>
  </si>
  <si>
    <t>7783万</t>
  </si>
  <si>
    <t>昊华能源</t>
  </si>
  <si>
    <t>2.21万</t>
  </si>
  <si>
    <t>瑞康医药</t>
  </si>
  <si>
    <t>4.35万</t>
  </si>
  <si>
    <t>190亿</t>
  </si>
  <si>
    <t>维格娜丝</t>
  </si>
  <si>
    <t>7.54亿</t>
  </si>
  <si>
    <t>9953万</t>
  </si>
  <si>
    <t>77.8万</t>
  </si>
  <si>
    <t>6513万</t>
  </si>
  <si>
    <t>65.6亿</t>
  </si>
  <si>
    <t>9938万</t>
  </si>
  <si>
    <t>新经典</t>
  </si>
  <si>
    <t>5262万</t>
  </si>
  <si>
    <t>7328万</t>
  </si>
  <si>
    <t>1173万</t>
  </si>
  <si>
    <t>7334万</t>
  </si>
  <si>
    <t>5492万</t>
  </si>
  <si>
    <t>600万</t>
  </si>
  <si>
    <t>倍加洁</t>
  </si>
  <si>
    <t>2207万</t>
  </si>
  <si>
    <t>359万</t>
  </si>
  <si>
    <t>2322万</t>
  </si>
  <si>
    <t>1841万</t>
  </si>
  <si>
    <t>山河药辅</t>
  </si>
  <si>
    <t>9280万</t>
  </si>
  <si>
    <t>7170万</t>
  </si>
  <si>
    <t>1885万</t>
  </si>
  <si>
    <t>114万</t>
  </si>
  <si>
    <t>1583万</t>
  </si>
  <si>
    <t>2788万</t>
  </si>
  <si>
    <t>清水源</t>
  </si>
  <si>
    <t>7811万</t>
  </si>
  <si>
    <t>37.9万</t>
  </si>
  <si>
    <t>7611万</t>
  </si>
  <si>
    <t>宏良股份</t>
  </si>
  <si>
    <t>6009万</t>
  </si>
  <si>
    <t>6042万</t>
  </si>
  <si>
    <t>5128万</t>
  </si>
  <si>
    <t>8821万</t>
  </si>
  <si>
    <t>安正时尚</t>
  </si>
  <si>
    <t>905万</t>
  </si>
  <si>
    <t>9194万</t>
  </si>
  <si>
    <t>汇川技术</t>
  </si>
  <si>
    <t>4.51万</t>
  </si>
  <si>
    <t>9.75亿</t>
  </si>
  <si>
    <t>282万</t>
  </si>
  <si>
    <t>91.7亿</t>
  </si>
  <si>
    <t>水星家纺</t>
  </si>
  <si>
    <t>6667万</t>
  </si>
  <si>
    <t>8804万</t>
  </si>
  <si>
    <t>5.94万</t>
  </si>
  <si>
    <t>8820万</t>
  </si>
  <si>
    <t>韦尔股份</t>
  </si>
  <si>
    <t>8.20亿</t>
  </si>
  <si>
    <t>6611万</t>
  </si>
  <si>
    <t>6633万</t>
  </si>
  <si>
    <t>4288万</t>
  </si>
  <si>
    <t>7626万</t>
  </si>
  <si>
    <t>安科生物</t>
  </si>
  <si>
    <t>1.11万</t>
  </si>
  <si>
    <t>-60.8万</t>
  </si>
  <si>
    <t>7008万</t>
  </si>
  <si>
    <t>5955万</t>
  </si>
  <si>
    <t>9428万</t>
  </si>
  <si>
    <t>一心堂</t>
  </si>
  <si>
    <t>中国银行</t>
  </si>
  <si>
    <t>2944亿</t>
  </si>
  <si>
    <t>2108亿</t>
  </si>
  <si>
    <t>37.7万</t>
  </si>
  <si>
    <t>1260亿</t>
  </si>
  <si>
    <t>672亿</t>
  </si>
  <si>
    <t>677亿</t>
  </si>
  <si>
    <t>6526亿</t>
  </si>
  <si>
    <t>2012亿</t>
  </si>
  <si>
    <t>18.6万亿</t>
  </si>
  <si>
    <t>1.50万亿</t>
  </si>
  <si>
    <t>836亿</t>
  </si>
  <si>
    <t>华光股份</t>
  </si>
  <si>
    <t>佩蒂股份</t>
  </si>
  <si>
    <t>3509万</t>
  </si>
  <si>
    <t>292万</t>
  </si>
  <si>
    <t>3507万</t>
  </si>
  <si>
    <t>2996万</t>
  </si>
  <si>
    <t>8.79亿</t>
  </si>
  <si>
    <t>远兴能源</t>
  </si>
  <si>
    <t>1.92万</t>
  </si>
  <si>
    <t>2410万</t>
  </si>
  <si>
    <t>仁和药业</t>
  </si>
  <si>
    <t>1.28万</t>
  </si>
  <si>
    <t>325万</t>
  </si>
  <si>
    <t>1181万</t>
  </si>
  <si>
    <t>美康生物</t>
  </si>
  <si>
    <t>7846万</t>
  </si>
  <si>
    <t>971万</t>
  </si>
  <si>
    <t>7856万</t>
  </si>
  <si>
    <t>6428万</t>
  </si>
  <si>
    <t>7.94亿</t>
  </si>
  <si>
    <t>振德医疗</t>
  </si>
  <si>
    <t>83.3万</t>
  </si>
  <si>
    <t>2404万</t>
  </si>
  <si>
    <t>-5.06万</t>
  </si>
  <si>
    <t>2428万</t>
  </si>
  <si>
    <t>1971万</t>
  </si>
  <si>
    <t>7.21亿</t>
  </si>
  <si>
    <t>亚邦股份</t>
  </si>
  <si>
    <t>8595万</t>
  </si>
  <si>
    <t>浦发银行</t>
  </si>
  <si>
    <t>294亿</t>
  </si>
  <si>
    <t>281亿</t>
  </si>
  <si>
    <t>13.8万</t>
  </si>
  <si>
    <t>171亿</t>
  </si>
  <si>
    <t>1184亿</t>
  </si>
  <si>
    <t>6.13万亿</t>
  </si>
  <si>
    <t>5.70万亿</t>
  </si>
  <si>
    <t>4282亿</t>
  </si>
  <si>
    <t>818亿</t>
  </si>
  <si>
    <t>鲁亿通</t>
  </si>
  <si>
    <t>1.00万</t>
  </si>
  <si>
    <t>7946万</t>
  </si>
  <si>
    <t>35.8万</t>
  </si>
  <si>
    <t>7961万</t>
  </si>
  <si>
    <t>6734万</t>
  </si>
  <si>
    <t>利民股份</t>
  </si>
  <si>
    <t>6792万</t>
  </si>
  <si>
    <t>2326万</t>
  </si>
  <si>
    <t>6777万</t>
  </si>
  <si>
    <t>5.22亿</t>
  </si>
  <si>
    <t>一品红</t>
  </si>
  <si>
    <t>4000万</t>
  </si>
  <si>
    <t>4547万</t>
  </si>
  <si>
    <t>160万</t>
  </si>
  <si>
    <t>4545万</t>
  </si>
  <si>
    <t>3870万</t>
  </si>
  <si>
    <t>华谊嘉信</t>
  </si>
  <si>
    <t>6.84亿</t>
  </si>
  <si>
    <t>3382万</t>
  </si>
  <si>
    <t>3100万</t>
  </si>
  <si>
    <t>3385万</t>
  </si>
  <si>
    <t>1464万</t>
  </si>
  <si>
    <t>中再资环</t>
  </si>
  <si>
    <t>91.0万</t>
  </si>
  <si>
    <t>8066万</t>
  </si>
  <si>
    <t>5865万</t>
  </si>
  <si>
    <t>1550万</t>
  </si>
  <si>
    <t>苏奥传感</t>
  </si>
  <si>
    <t>5741万</t>
  </si>
  <si>
    <t>3645万</t>
  </si>
  <si>
    <t>3668万</t>
  </si>
  <si>
    <t>3035万</t>
  </si>
  <si>
    <t>1074万</t>
  </si>
  <si>
    <t>怡 亚 通</t>
  </si>
  <si>
    <t>526万</t>
  </si>
  <si>
    <t>474亿</t>
  </si>
  <si>
    <t>384亿</t>
  </si>
  <si>
    <t>352亿</t>
  </si>
  <si>
    <t>山东钢铁</t>
  </si>
  <si>
    <t>1700万</t>
  </si>
  <si>
    <t>-11.9亿</t>
  </si>
  <si>
    <t>581亿</t>
  </si>
  <si>
    <t>306亿</t>
  </si>
  <si>
    <t>269亿</t>
  </si>
  <si>
    <t>187亿</t>
  </si>
  <si>
    <t>82.0亿</t>
  </si>
  <si>
    <t>三星新材</t>
  </si>
  <si>
    <t>3190万</t>
  </si>
  <si>
    <t>1937万</t>
  </si>
  <si>
    <t>223万</t>
  </si>
  <si>
    <t>8286万</t>
  </si>
  <si>
    <t>8077万</t>
  </si>
  <si>
    <t>8015万</t>
  </si>
  <si>
    <t>62.2万</t>
  </si>
  <si>
    <t>吉艾科技</t>
  </si>
  <si>
    <t>5.02万</t>
  </si>
  <si>
    <t>7739万</t>
  </si>
  <si>
    <t>278万</t>
  </si>
  <si>
    <t>7700万</t>
  </si>
  <si>
    <t>京华激光</t>
  </si>
  <si>
    <t>3189万</t>
  </si>
  <si>
    <t>2607万</t>
  </si>
  <si>
    <t>105万</t>
  </si>
  <si>
    <t>2619万</t>
  </si>
  <si>
    <t>2452万</t>
  </si>
  <si>
    <t>8962万</t>
  </si>
  <si>
    <t>28.4万</t>
  </si>
  <si>
    <t>利群股份</t>
  </si>
  <si>
    <t>875万</t>
  </si>
  <si>
    <t>80.7亿</t>
  </si>
  <si>
    <t>赛意信息</t>
  </si>
  <si>
    <t>186万</t>
  </si>
  <si>
    <t>1067万</t>
  </si>
  <si>
    <t>974万</t>
  </si>
  <si>
    <t>226万</t>
  </si>
  <si>
    <t>9922万</t>
  </si>
  <si>
    <t>强力新材</t>
  </si>
  <si>
    <t>1.34万</t>
  </si>
  <si>
    <t>4159万</t>
  </si>
  <si>
    <t>4213万</t>
  </si>
  <si>
    <t>3677万</t>
  </si>
  <si>
    <t>4380万</t>
  </si>
  <si>
    <t>上海银行</t>
  </si>
  <si>
    <t>78.1亿</t>
  </si>
  <si>
    <t>1.69万亿</t>
  </si>
  <si>
    <t>1514亿</t>
  </si>
  <si>
    <t>华东电脑</t>
  </si>
  <si>
    <t>1.98万</t>
  </si>
  <si>
    <t>8359万</t>
  </si>
  <si>
    <t>-103万</t>
  </si>
  <si>
    <t>7266万</t>
  </si>
  <si>
    <t>49.9亿</t>
  </si>
  <si>
    <t>2967万</t>
  </si>
  <si>
    <t>942万</t>
  </si>
  <si>
    <t>蓝焰控股</t>
  </si>
  <si>
    <t>71.2亿</t>
  </si>
  <si>
    <t>9.76亿</t>
  </si>
  <si>
    <t>瑞丰高材</t>
  </si>
  <si>
    <t>2545万</t>
  </si>
  <si>
    <t>2196万</t>
  </si>
  <si>
    <t>1764万</t>
  </si>
  <si>
    <t>1288万</t>
  </si>
  <si>
    <t>4455万</t>
  </si>
  <si>
    <t>佛燃股份</t>
  </si>
  <si>
    <t>5600万</t>
  </si>
  <si>
    <t>克明面业</t>
  </si>
  <si>
    <t>8846万</t>
  </si>
  <si>
    <t>706万</t>
  </si>
  <si>
    <t>8728万</t>
  </si>
  <si>
    <t>7398万</t>
  </si>
  <si>
    <t>3320万</t>
  </si>
  <si>
    <t>千红制药</t>
  </si>
  <si>
    <t>8408万</t>
  </si>
  <si>
    <t>3567万</t>
  </si>
  <si>
    <t>3933万</t>
  </si>
  <si>
    <t>今创集团</t>
  </si>
  <si>
    <t>4200万</t>
  </si>
  <si>
    <t>1498万</t>
  </si>
  <si>
    <t>8754万</t>
  </si>
  <si>
    <t>杭叉集团</t>
  </si>
  <si>
    <t>4932万</t>
  </si>
  <si>
    <t>9.60亿</t>
  </si>
  <si>
    <t>中信银行</t>
  </si>
  <si>
    <t>489亿</t>
  </si>
  <si>
    <t>319亿</t>
  </si>
  <si>
    <t>21.3万</t>
  </si>
  <si>
    <t>87.2亿</t>
  </si>
  <si>
    <t>1658亿</t>
  </si>
  <si>
    <t>5.62万亿</t>
  </si>
  <si>
    <t>5.21万亿</t>
  </si>
  <si>
    <t>4068亿</t>
  </si>
  <si>
    <t>城市传媒</t>
  </si>
  <si>
    <t>7944万</t>
  </si>
  <si>
    <t>中国重汽</t>
  </si>
  <si>
    <t>6.71亿</t>
  </si>
  <si>
    <t>2.17万</t>
  </si>
  <si>
    <t>215亿</t>
  </si>
  <si>
    <t>桃李面包</t>
  </si>
  <si>
    <t>5918万</t>
  </si>
  <si>
    <t>244万</t>
  </si>
  <si>
    <t>36.5亿</t>
  </si>
  <si>
    <t>1314万</t>
  </si>
  <si>
    <t>亚普股份</t>
  </si>
  <si>
    <t>6000万</t>
  </si>
  <si>
    <t>9078万</t>
  </si>
  <si>
    <t>604万</t>
  </si>
  <si>
    <t>7208万</t>
  </si>
  <si>
    <t>南方传媒</t>
  </si>
  <si>
    <t>554万</t>
  </si>
  <si>
    <t>兰太实业</t>
  </si>
  <si>
    <t>9.27亿</t>
  </si>
  <si>
    <t>1010万</t>
  </si>
  <si>
    <t>7558万</t>
  </si>
  <si>
    <t>圆通速递</t>
  </si>
  <si>
    <t>鸿利智汇</t>
  </si>
  <si>
    <t>2.41万</t>
  </si>
  <si>
    <t>7736万</t>
  </si>
  <si>
    <t>-36.1万</t>
  </si>
  <si>
    <t>9258万</t>
  </si>
  <si>
    <t>台华新材</t>
  </si>
  <si>
    <t>6760万</t>
  </si>
  <si>
    <t>9553万</t>
  </si>
  <si>
    <t>251万</t>
  </si>
  <si>
    <t>9542万</t>
  </si>
  <si>
    <t>7796万</t>
  </si>
  <si>
    <t>2062万</t>
  </si>
  <si>
    <t>光库科技</t>
  </si>
  <si>
    <t>2200万</t>
  </si>
  <si>
    <t>6267万</t>
  </si>
  <si>
    <t>1869万</t>
  </si>
  <si>
    <t>1629万</t>
  </si>
  <si>
    <t>1796万</t>
  </si>
  <si>
    <t>9151万</t>
  </si>
  <si>
    <t>6328万</t>
  </si>
  <si>
    <t>中航光电</t>
  </si>
  <si>
    <t>3.90万</t>
  </si>
  <si>
    <t>381万</t>
  </si>
  <si>
    <t>81.2亿</t>
  </si>
  <si>
    <t>华菱精工</t>
  </si>
  <si>
    <t>3334万</t>
  </si>
  <si>
    <t>1481万</t>
  </si>
  <si>
    <t>7.93亿</t>
  </si>
  <si>
    <t>9383万</t>
  </si>
  <si>
    <t>3498万</t>
  </si>
  <si>
    <t>羚锐制药</t>
  </si>
  <si>
    <t>9260万</t>
  </si>
  <si>
    <t>-1603万</t>
  </si>
  <si>
    <t>9222万</t>
  </si>
  <si>
    <t>7434万</t>
  </si>
  <si>
    <t>8760万</t>
  </si>
  <si>
    <t>西藏药业</t>
  </si>
  <si>
    <t>7791万</t>
  </si>
  <si>
    <t>-150万</t>
  </si>
  <si>
    <t>7789万</t>
  </si>
  <si>
    <t>6866万</t>
  </si>
  <si>
    <t>4.64亿</t>
  </si>
  <si>
    <t>2.31亿</t>
  </si>
  <si>
    <t>2030万</t>
  </si>
  <si>
    <t>兄弟科技</t>
  </si>
  <si>
    <t>9012万</t>
  </si>
  <si>
    <t>8866万</t>
  </si>
  <si>
    <t>7240万</t>
  </si>
  <si>
    <t>友阿股份</t>
  </si>
  <si>
    <t>光大银行</t>
  </si>
  <si>
    <t>525亿</t>
  </si>
  <si>
    <t>398亿</t>
  </si>
  <si>
    <t>17.6万</t>
  </si>
  <si>
    <t>917亿</t>
  </si>
  <si>
    <t>4.16万亿</t>
  </si>
  <si>
    <t>3.86万亿</t>
  </si>
  <si>
    <t>3059亿</t>
  </si>
  <si>
    <t>535亿</t>
  </si>
  <si>
    <t>中牧股份</t>
  </si>
  <si>
    <t>7367万</t>
  </si>
  <si>
    <t>科林环保</t>
  </si>
  <si>
    <t>3247万</t>
  </si>
  <si>
    <t>-12.8万</t>
  </si>
  <si>
    <t>3197万</t>
  </si>
  <si>
    <t>2524万</t>
  </si>
  <si>
    <t>克来机电</t>
  </si>
  <si>
    <t>5181万</t>
  </si>
  <si>
    <t>9504万</t>
  </si>
  <si>
    <t>1991万</t>
  </si>
  <si>
    <t>-10.0万</t>
  </si>
  <si>
    <t>2046万</t>
  </si>
  <si>
    <t>1484万</t>
  </si>
  <si>
    <t>1005万</t>
  </si>
  <si>
    <t>畅联股份</t>
  </si>
  <si>
    <t>9217万</t>
  </si>
  <si>
    <t>731万</t>
  </si>
  <si>
    <t>7009万</t>
  </si>
  <si>
    <t>5229万</t>
  </si>
  <si>
    <t>1269万</t>
  </si>
  <si>
    <t>天孚通信</t>
  </si>
  <si>
    <t>9904万</t>
  </si>
  <si>
    <t>3221万</t>
  </si>
  <si>
    <t>2742万</t>
  </si>
  <si>
    <t>9602万</t>
  </si>
  <si>
    <t>7824万</t>
  </si>
  <si>
    <t>1777万</t>
  </si>
  <si>
    <t>哈三联</t>
  </si>
  <si>
    <t>7915万</t>
  </si>
  <si>
    <t>7730万</t>
  </si>
  <si>
    <t>7729万</t>
  </si>
  <si>
    <t>6208万</t>
  </si>
  <si>
    <t>8570万</t>
  </si>
  <si>
    <t>常熟银行</t>
  </si>
  <si>
    <t>1.47万</t>
  </si>
  <si>
    <t>507万</t>
  </si>
  <si>
    <t>1521亿</t>
  </si>
  <si>
    <t>1399亿</t>
  </si>
  <si>
    <t>盛屯矿业</t>
  </si>
  <si>
    <t>3646万</t>
  </si>
  <si>
    <t>72.7亿</t>
  </si>
  <si>
    <t>65.2亿</t>
  </si>
  <si>
    <t>奥联电子</t>
  </si>
  <si>
    <t>8371万</t>
  </si>
  <si>
    <t>9297万</t>
  </si>
  <si>
    <t>1825万</t>
  </si>
  <si>
    <t>141万</t>
  </si>
  <si>
    <t>1838万</t>
  </si>
  <si>
    <t>2487万</t>
  </si>
  <si>
    <t>杭氧股份</t>
  </si>
  <si>
    <t>3.79万</t>
  </si>
  <si>
    <t>65.5万</t>
  </si>
  <si>
    <t>61.5亿</t>
  </si>
  <si>
    <t>永安药业</t>
  </si>
  <si>
    <t>5427万</t>
  </si>
  <si>
    <t>355万</t>
  </si>
  <si>
    <t>5396万</t>
  </si>
  <si>
    <t>4528万</t>
  </si>
  <si>
    <t>晨鸣纸业</t>
  </si>
  <si>
    <t>72.4亿</t>
  </si>
  <si>
    <t>95.5亿</t>
  </si>
  <si>
    <t>1071亿</t>
  </si>
  <si>
    <t>770亿</t>
  </si>
  <si>
    <t>595亿</t>
  </si>
  <si>
    <t>珍宝岛</t>
  </si>
  <si>
    <t>陆家嘴</t>
  </si>
  <si>
    <t>33.6亿</t>
  </si>
  <si>
    <t>794亿</t>
  </si>
  <si>
    <t>354亿</t>
  </si>
  <si>
    <t>254亿</t>
  </si>
  <si>
    <t>3890万</t>
  </si>
  <si>
    <t>天润乳业</t>
  </si>
  <si>
    <t>3708万</t>
  </si>
  <si>
    <t>2806万</t>
  </si>
  <si>
    <t>通鼎互联</t>
  </si>
  <si>
    <t>2958万</t>
  </si>
  <si>
    <t>96.8亿</t>
  </si>
  <si>
    <t>伟星新材</t>
  </si>
  <si>
    <t>5.10万</t>
  </si>
  <si>
    <t>242万</t>
  </si>
  <si>
    <t>2377万</t>
  </si>
  <si>
    <t>四川双马</t>
  </si>
  <si>
    <t>-2668万</t>
  </si>
  <si>
    <t>9812万</t>
  </si>
  <si>
    <t>苏宁环球</t>
  </si>
  <si>
    <t>1233万</t>
  </si>
  <si>
    <t>99.2亿</t>
  </si>
  <si>
    <t>94.3亿</t>
  </si>
  <si>
    <t>83.7亿</t>
  </si>
  <si>
    <t>潞安环能</t>
  </si>
  <si>
    <t>2.95万</t>
  </si>
  <si>
    <t>2959万</t>
  </si>
  <si>
    <t>646亿</t>
  </si>
  <si>
    <t>295亿</t>
  </si>
  <si>
    <t>431亿</t>
  </si>
  <si>
    <t>光威复材</t>
  </si>
  <si>
    <t>9200万</t>
  </si>
  <si>
    <t>9896万</t>
  </si>
  <si>
    <t>836万</t>
  </si>
  <si>
    <t>9930万</t>
  </si>
  <si>
    <t>8665万</t>
  </si>
  <si>
    <t>中旗股份</t>
  </si>
  <si>
    <t>7335万</t>
  </si>
  <si>
    <t>3439万</t>
  </si>
  <si>
    <t>126万</t>
  </si>
  <si>
    <t>3841万</t>
  </si>
  <si>
    <t>3376万</t>
  </si>
  <si>
    <t>濮阳惠成</t>
  </si>
  <si>
    <t>2520万</t>
  </si>
  <si>
    <t>2144万</t>
  </si>
  <si>
    <t>众兴菌业</t>
  </si>
  <si>
    <t>8961万</t>
  </si>
  <si>
    <t>1011万</t>
  </si>
  <si>
    <t>8953万</t>
  </si>
  <si>
    <t>8825万</t>
  </si>
  <si>
    <t>舍得酒业</t>
  </si>
  <si>
    <t>1.14万</t>
  </si>
  <si>
    <t>5558万</t>
  </si>
  <si>
    <t>飞荣达</t>
  </si>
  <si>
    <t>6164万</t>
  </si>
  <si>
    <t>3935万</t>
  </si>
  <si>
    <t>3926万</t>
  </si>
  <si>
    <t>3199万</t>
  </si>
  <si>
    <t>9.92亿</t>
  </si>
  <si>
    <t>回天新材</t>
  </si>
  <si>
    <t>4.26亿</t>
  </si>
  <si>
    <t>7167万</t>
  </si>
  <si>
    <t>7305万</t>
  </si>
  <si>
    <t>6248万</t>
  </si>
  <si>
    <t>6.45亿</t>
  </si>
  <si>
    <t>1830万</t>
  </si>
  <si>
    <t>神州数码</t>
  </si>
  <si>
    <t>1.25万</t>
  </si>
  <si>
    <t>1244万</t>
  </si>
  <si>
    <t>宁波富达</t>
  </si>
  <si>
    <t>5703万</t>
  </si>
  <si>
    <t>-1.46亿</t>
  </si>
  <si>
    <t>爱柯迪</t>
  </si>
  <si>
    <t>536万</t>
  </si>
  <si>
    <t>华海药业</t>
  </si>
  <si>
    <t>5.66万</t>
  </si>
  <si>
    <t>-358万</t>
  </si>
  <si>
    <t>大禹节水</t>
  </si>
  <si>
    <t>1.74万</t>
  </si>
  <si>
    <t>5787万</t>
  </si>
  <si>
    <t>-39.2万</t>
  </si>
  <si>
    <t>5848万</t>
  </si>
  <si>
    <t>4606万</t>
  </si>
  <si>
    <t>凌霄泵业</t>
  </si>
  <si>
    <t>7747万</t>
  </si>
  <si>
    <t>4628万</t>
  </si>
  <si>
    <t>482万</t>
  </si>
  <si>
    <t>4631万</t>
  </si>
  <si>
    <t>3993万</t>
  </si>
  <si>
    <t>9759万</t>
  </si>
  <si>
    <t>9636万</t>
  </si>
  <si>
    <t>8472万</t>
  </si>
  <si>
    <t>1163万</t>
  </si>
  <si>
    <t>辉丰股份</t>
  </si>
  <si>
    <t>8.46亿</t>
  </si>
  <si>
    <t>590万</t>
  </si>
  <si>
    <t>众生药业</t>
  </si>
  <si>
    <t>-77.0万</t>
  </si>
  <si>
    <t>4.37亿</t>
  </si>
  <si>
    <t>航民股份</t>
  </si>
  <si>
    <t>8.29亿</t>
  </si>
  <si>
    <t>中国电影</t>
  </si>
  <si>
    <t>2238万</t>
  </si>
  <si>
    <t>54.8亿</t>
  </si>
  <si>
    <t>润建通信</t>
  </si>
  <si>
    <t>4660万</t>
  </si>
  <si>
    <t>3915万</t>
  </si>
  <si>
    <t>6165万</t>
  </si>
  <si>
    <t>劲嘉股份</t>
  </si>
  <si>
    <t>1347万</t>
  </si>
  <si>
    <t>3817万</t>
  </si>
  <si>
    <t>65.9亿</t>
  </si>
  <si>
    <t>紫鑫药业</t>
  </si>
  <si>
    <t>61.4万</t>
  </si>
  <si>
    <t>89.0亿</t>
  </si>
  <si>
    <t>交通银行</t>
  </si>
  <si>
    <t>743亿</t>
  </si>
  <si>
    <t>393亿</t>
  </si>
  <si>
    <t>11.9万</t>
  </si>
  <si>
    <t>491亿</t>
  </si>
  <si>
    <t>234亿</t>
  </si>
  <si>
    <t>1162亿</t>
  </si>
  <si>
    <t>9.27万亿</t>
  </si>
  <si>
    <t>1299亿</t>
  </si>
  <si>
    <t>8.60万亿</t>
  </si>
  <si>
    <t>6633亿</t>
  </si>
  <si>
    <t>1137亿</t>
  </si>
  <si>
    <t>350亿</t>
  </si>
  <si>
    <t>德宏股份</t>
  </si>
  <si>
    <t>7027万</t>
  </si>
  <si>
    <t>2241万</t>
  </si>
  <si>
    <t>1945万</t>
  </si>
  <si>
    <t>4202万</t>
  </si>
  <si>
    <t>厦门空港</t>
  </si>
  <si>
    <t>345万</t>
  </si>
  <si>
    <t>3265万</t>
  </si>
  <si>
    <t>科达洁能</t>
  </si>
  <si>
    <t>阿石创</t>
  </si>
  <si>
    <t>3528万</t>
  </si>
  <si>
    <t>5352万</t>
  </si>
  <si>
    <t>1000万</t>
  </si>
  <si>
    <t>129万</t>
  </si>
  <si>
    <t>1342万</t>
  </si>
  <si>
    <t>2596万</t>
  </si>
  <si>
    <t>海辰药业</t>
  </si>
  <si>
    <t>4743万</t>
  </si>
  <si>
    <t>2064万</t>
  </si>
  <si>
    <t>41.4万</t>
  </si>
  <si>
    <t>2068万</t>
  </si>
  <si>
    <t>1699万</t>
  </si>
  <si>
    <t>961万</t>
  </si>
  <si>
    <t>帝龙文化</t>
  </si>
  <si>
    <t>406万</t>
  </si>
  <si>
    <t>恒顺醋业</t>
  </si>
  <si>
    <t>6873万</t>
  </si>
  <si>
    <t>39.5万</t>
  </si>
  <si>
    <t>7137万</t>
  </si>
  <si>
    <t>5926万</t>
  </si>
  <si>
    <t>胜宏科技</t>
  </si>
  <si>
    <t>8813万</t>
  </si>
  <si>
    <t>1526万</t>
  </si>
  <si>
    <t>四通新材</t>
  </si>
  <si>
    <t>2635万</t>
  </si>
  <si>
    <t>3.45万</t>
  </si>
  <si>
    <t>2641万</t>
  </si>
  <si>
    <t>9.59亿</t>
  </si>
  <si>
    <t>2083万</t>
  </si>
  <si>
    <t>7.33亿</t>
  </si>
  <si>
    <t>普路通</t>
  </si>
  <si>
    <t>4912万</t>
  </si>
  <si>
    <t>3419万</t>
  </si>
  <si>
    <t>4110万</t>
  </si>
  <si>
    <t>775万</t>
  </si>
  <si>
    <t>2797万</t>
  </si>
  <si>
    <t>星宇股份</t>
  </si>
  <si>
    <t>2.76亿</t>
  </si>
  <si>
    <t>5.27万</t>
  </si>
  <si>
    <t>2287万</t>
  </si>
  <si>
    <t>长信科技</t>
  </si>
  <si>
    <t>2.58万</t>
  </si>
  <si>
    <t>东江环保</t>
  </si>
  <si>
    <t>8.87亿</t>
  </si>
  <si>
    <t>徐家汇</t>
  </si>
  <si>
    <t>9854万</t>
  </si>
  <si>
    <t>902万</t>
  </si>
  <si>
    <t>9893万</t>
  </si>
  <si>
    <t>7075万</t>
  </si>
  <si>
    <t>5595万</t>
  </si>
  <si>
    <t>科伦药业</t>
  </si>
  <si>
    <t>3784万</t>
  </si>
  <si>
    <t>柳药股份</t>
  </si>
  <si>
    <t>143万</t>
  </si>
  <si>
    <t>82.7亿</t>
  </si>
  <si>
    <t>45.3亿</t>
  </si>
  <si>
    <t>5952万</t>
  </si>
  <si>
    <t>爱婴室</t>
  </si>
  <si>
    <t>1959万</t>
  </si>
  <si>
    <t>81.8万</t>
  </si>
  <si>
    <t>1944万</t>
  </si>
  <si>
    <t>1213万</t>
  </si>
  <si>
    <t>6933万</t>
  </si>
  <si>
    <t>国投电力</t>
  </si>
  <si>
    <t>8159万</t>
  </si>
  <si>
    <t>2128亿</t>
  </si>
  <si>
    <t>1334亿</t>
  </si>
  <si>
    <t>1497亿</t>
  </si>
  <si>
    <t>331亿</t>
  </si>
  <si>
    <t>1166亿</t>
  </si>
  <si>
    <t>中顺洁柔</t>
  </si>
  <si>
    <t>3.68万</t>
  </si>
  <si>
    <t>818万</t>
  </si>
  <si>
    <t>9856万</t>
  </si>
  <si>
    <t>欧菲科技</t>
  </si>
  <si>
    <t>3.09万</t>
  </si>
  <si>
    <t>186亿</t>
  </si>
  <si>
    <t>86.4亿</t>
  </si>
  <si>
    <t>232亿</t>
  </si>
  <si>
    <t>94.1亿</t>
  </si>
  <si>
    <t>华峰氨纶</t>
  </si>
  <si>
    <t>647万</t>
  </si>
  <si>
    <t>中曼石油</t>
  </si>
  <si>
    <t>8117万</t>
  </si>
  <si>
    <t>抚顺特钢</t>
  </si>
  <si>
    <t>7383万</t>
  </si>
  <si>
    <t>-237万</t>
  </si>
  <si>
    <t>8063万</t>
  </si>
  <si>
    <t>6747万</t>
  </si>
  <si>
    <t>凯中精密</t>
  </si>
  <si>
    <t>9993万</t>
  </si>
  <si>
    <t>4244万</t>
  </si>
  <si>
    <t>4236万</t>
  </si>
  <si>
    <t>3673万</t>
  </si>
  <si>
    <t>慈文传媒</t>
  </si>
  <si>
    <t>2.39万</t>
  </si>
  <si>
    <t>-31.4万</t>
  </si>
  <si>
    <t>8735万</t>
  </si>
  <si>
    <t>3504万</t>
  </si>
  <si>
    <t>永太科技</t>
  </si>
  <si>
    <t>4899万</t>
  </si>
  <si>
    <t>8575万</t>
  </si>
  <si>
    <t>8.75亿</t>
  </si>
  <si>
    <t>59.2亿</t>
  </si>
  <si>
    <t>丽珠集团</t>
  </si>
  <si>
    <t>6.87万</t>
  </si>
  <si>
    <t>83.8亿</t>
  </si>
  <si>
    <t>深圳华强</t>
  </si>
  <si>
    <t>-92.9万</t>
  </si>
  <si>
    <t>辰欣药业</t>
  </si>
  <si>
    <t>844万</t>
  </si>
  <si>
    <t>9801万</t>
  </si>
  <si>
    <t>华达科技</t>
  </si>
  <si>
    <t>9836万</t>
  </si>
  <si>
    <t>9806万</t>
  </si>
  <si>
    <t>352万</t>
  </si>
  <si>
    <t>9872万</t>
  </si>
  <si>
    <t>8166万</t>
  </si>
  <si>
    <t>8.48亿</t>
  </si>
  <si>
    <t>9.54亿</t>
  </si>
  <si>
    <t>923万</t>
  </si>
  <si>
    <t>易见股份</t>
  </si>
  <si>
    <t>20.4万</t>
  </si>
  <si>
    <t>岷江水电</t>
  </si>
  <si>
    <t>3730万</t>
  </si>
  <si>
    <t>3127万</t>
  </si>
  <si>
    <t>3659万</t>
  </si>
  <si>
    <t>3690万</t>
  </si>
  <si>
    <t>4.44亿</t>
  </si>
  <si>
    <t>9714万</t>
  </si>
  <si>
    <t>优德精密</t>
  </si>
  <si>
    <t>6104万</t>
  </si>
  <si>
    <t>9393万</t>
  </si>
  <si>
    <t>1866万</t>
  </si>
  <si>
    <t>89.9万</t>
  </si>
  <si>
    <t>1881万</t>
  </si>
  <si>
    <t>1603万</t>
  </si>
  <si>
    <t>9285万</t>
  </si>
  <si>
    <t>1634万</t>
  </si>
  <si>
    <t>金龙羽</t>
  </si>
  <si>
    <t>5605万</t>
  </si>
  <si>
    <t>5847万</t>
  </si>
  <si>
    <t>4461万</t>
  </si>
  <si>
    <t>149万</t>
  </si>
  <si>
    <t>南方轴承</t>
  </si>
  <si>
    <t>9649万</t>
  </si>
  <si>
    <t>2681万</t>
  </si>
  <si>
    <t>371万</t>
  </si>
  <si>
    <t>2666万</t>
  </si>
  <si>
    <t>2254万</t>
  </si>
  <si>
    <t>8694万</t>
  </si>
  <si>
    <t>8458万</t>
  </si>
  <si>
    <t>5652万</t>
  </si>
  <si>
    <t>中国海诚</t>
  </si>
  <si>
    <t>1.75万</t>
  </si>
  <si>
    <t>5074万</t>
  </si>
  <si>
    <t>678万</t>
  </si>
  <si>
    <t>4243万</t>
  </si>
  <si>
    <t>3441万</t>
  </si>
  <si>
    <t>9631万</t>
  </si>
  <si>
    <t>江苏国泰</t>
  </si>
  <si>
    <t>92.8亿</t>
  </si>
  <si>
    <t>91.1亿</t>
  </si>
  <si>
    <t>73.2亿</t>
  </si>
  <si>
    <t>哈森股份</t>
  </si>
  <si>
    <t>6600万</t>
  </si>
  <si>
    <t>4428万</t>
  </si>
  <si>
    <t>70.7万</t>
  </si>
  <si>
    <t>4427万</t>
  </si>
  <si>
    <t>400万</t>
  </si>
  <si>
    <t>安井食品</t>
  </si>
  <si>
    <t>7070万</t>
  </si>
  <si>
    <t>391万</t>
  </si>
  <si>
    <t>7072万</t>
  </si>
  <si>
    <t>5425万</t>
  </si>
  <si>
    <t>6311万</t>
  </si>
  <si>
    <t>益丰药房</t>
  </si>
  <si>
    <t>4.42万</t>
  </si>
  <si>
    <t>赛腾股份</t>
  </si>
  <si>
    <t>2219万</t>
  </si>
  <si>
    <t>76.2万</t>
  </si>
  <si>
    <t>2216万</t>
  </si>
  <si>
    <t>2005万</t>
  </si>
  <si>
    <t>3473万</t>
  </si>
  <si>
    <t>隆鑫通用</t>
  </si>
  <si>
    <t>3.97万</t>
  </si>
  <si>
    <t>浙江鼎力</t>
  </si>
  <si>
    <t>2.05万</t>
  </si>
  <si>
    <t>8307万</t>
  </si>
  <si>
    <t>85.4万</t>
  </si>
  <si>
    <t>8319万</t>
  </si>
  <si>
    <t>7011万</t>
  </si>
  <si>
    <t>人人乐</t>
  </si>
  <si>
    <t>6797万</t>
  </si>
  <si>
    <t>501万</t>
  </si>
  <si>
    <t>7221万</t>
  </si>
  <si>
    <t>5623万</t>
  </si>
  <si>
    <t>-11.5亿</t>
  </si>
  <si>
    <t>华孚时尚</t>
  </si>
  <si>
    <t>5.60万</t>
  </si>
  <si>
    <t>91.9亿</t>
  </si>
  <si>
    <t>鞍钢股份</t>
  </si>
  <si>
    <t>5.69万</t>
  </si>
  <si>
    <t>8200万</t>
  </si>
  <si>
    <t>921亿</t>
  </si>
  <si>
    <t>472亿</t>
  </si>
  <si>
    <t>349亿</t>
  </si>
  <si>
    <t>516亿</t>
  </si>
  <si>
    <t>恒通股份</t>
  </si>
  <si>
    <t>3782万</t>
  </si>
  <si>
    <t>208万</t>
  </si>
  <si>
    <t>3798万</t>
  </si>
  <si>
    <t>2177万</t>
  </si>
  <si>
    <t>3397万</t>
  </si>
  <si>
    <t>今天国际</t>
  </si>
  <si>
    <t>134万</t>
  </si>
  <si>
    <t>2692万</t>
  </si>
  <si>
    <t>2491万</t>
  </si>
  <si>
    <t>7140万</t>
  </si>
  <si>
    <t>2935万</t>
  </si>
  <si>
    <t>红相股份</t>
  </si>
  <si>
    <t>8358万</t>
  </si>
  <si>
    <t>5939万</t>
  </si>
  <si>
    <t>曲江文旅</t>
  </si>
  <si>
    <t>3510万</t>
  </si>
  <si>
    <t>34.4万</t>
  </si>
  <si>
    <t>2994万</t>
  </si>
  <si>
    <t>9.21亿</t>
  </si>
  <si>
    <t>广汇汽车</t>
  </si>
  <si>
    <t>7.63万</t>
  </si>
  <si>
    <t>395亿</t>
  </si>
  <si>
    <t>-2539万</t>
  </si>
  <si>
    <t>1257亿</t>
  </si>
  <si>
    <t>684亿</t>
  </si>
  <si>
    <t>800亿</t>
  </si>
  <si>
    <t>600亿</t>
  </si>
  <si>
    <t>三花智控</t>
  </si>
  <si>
    <t>3.77万</t>
  </si>
  <si>
    <t>2286万</t>
  </si>
  <si>
    <t>九 芝 堂</t>
  </si>
  <si>
    <t>1.69万</t>
  </si>
  <si>
    <t>8224万</t>
  </si>
  <si>
    <t>豪能股份</t>
  </si>
  <si>
    <t>3734万</t>
  </si>
  <si>
    <t>5802万</t>
  </si>
  <si>
    <t>4678万</t>
  </si>
  <si>
    <t>6.73亿</t>
  </si>
  <si>
    <t>江苏新能</t>
  </si>
  <si>
    <t>-332万</t>
  </si>
  <si>
    <t>桂林三金</t>
  </si>
  <si>
    <t>5.90亿</t>
  </si>
  <si>
    <t>3.11万</t>
  </si>
  <si>
    <t>353万</t>
  </si>
  <si>
    <t>8351万</t>
  </si>
  <si>
    <t>安科瑞</t>
  </si>
  <si>
    <t>9640万</t>
  </si>
  <si>
    <t>106万</t>
  </si>
  <si>
    <t>2540万</t>
  </si>
  <si>
    <t>2117万</t>
  </si>
  <si>
    <t>沃华医药</t>
  </si>
  <si>
    <t>2418万</t>
  </si>
  <si>
    <t>1723万</t>
  </si>
  <si>
    <t>圣达生物</t>
  </si>
  <si>
    <t>2896万</t>
  </si>
  <si>
    <t>115万</t>
  </si>
  <si>
    <t>2885万</t>
  </si>
  <si>
    <t>2405万</t>
  </si>
  <si>
    <t>156万</t>
  </si>
  <si>
    <t>安靠智电</t>
  </si>
  <si>
    <t>3671万</t>
  </si>
  <si>
    <t>7794万</t>
  </si>
  <si>
    <t>3319万</t>
  </si>
  <si>
    <t>153万</t>
  </si>
  <si>
    <t>3342万</t>
  </si>
  <si>
    <t>2399万</t>
  </si>
  <si>
    <t>雄塑科技</t>
  </si>
  <si>
    <t>9066万</t>
  </si>
  <si>
    <t>4888万</t>
  </si>
  <si>
    <t>4779万</t>
  </si>
  <si>
    <t>3891万</t>
  </si>
  <si>
    <t>4874万</t>
  </si>
  <si>
    <t>神宇股份</t>
  </si>
  <si>
    <t>3208万</t>
  </si>
  <si>
    <t>8483万</t>
  </si>
  <si>
    <t>1617万</t>
  </si>
  <si>
    <t>1402万</t>
  </si>
  <si>
    <t>1230万</t>
  </si>
  <si>
    <t>紫金矿业</t>
  </si>
  <si>
    <t>230亿</t>
  </si>
  <si>
    <t>-5474万</t>
  </si>
  <si>
    <t>910亿</t>
  </si>
  <si>
    <t>528亿</t>
  </si>
  <si>
    <t>57.4亿</t>
  </si>
  <si>
    <t>马应龙</t>
  </si>
  <si>
    <t>874万</t>
  </si>
  <si>
    <t>7446万</t>
  </si>
  <si>
    <t>6831万</t>
  </si>
  <si>
    <t>国药股份</t>
  </si>
  <si>
    <t>3985万</t>
  </si>
  <si>
    <t>205亿</t>
  </si>
  <si>
    <t>中国国贸</t>
  </si>
  <si>
    <t>6.96万</t>
  </si>
  <si>
    <t>281万</t>
  </si>
  <si>
    <t>中设股份</t>
  </si>
  <si>
    <t>5414万</t>
  </si>
  <si>
    <t>1939万</t>
  </si>
  <si>
    <t>5976万</t>
  </si>
  <si>
    <t>1459万</t>
  </si>
  <si>
    <t>1454万</t>
  </si>
  <si>
    <t>1185万</t>
  </si>
  <si>
    <t>2038万</t>
  </si>
  <si>
    <t>5226万</t>
  </si>
  <si>
    <t>酒鬼酒</t>
  </si>
  <si>
    <t>8485万</t>
  </si>
  <si>
    <t>8493万</t>
  </si>
  <si>
    <t>6254万</t>
  </si>
  <si>
    <t>国药一致</t>
  </si>
  <si>
    <t>8262万</t>
  </si>
  <si>
    <t>96.9亿</t>
  </si>
  <si>
    <t>5489万</t>
  </si>
  <si>
    <t>兰州民百</t>
  </si>
  <si>
    <t>8087万</t>
  </si>
  <si>
    <t>8088万</t>
  </si>
  <si>
    <t>金太阳</t>
  </si>
  <si>
    <t>8920万</t>
  </si>
  <si>
    <t>3288万</t>
  </si>
  <si>
    <t>8528万</t>
  </si>
  <si>
    <t>2375万</t>
  </si>
  <si>
    <t>55.0万</t>
  </si>
  <si>
    <t>2353万</t>
  </si>
  <si>
    <t>7060万</t>
  </si>
  <si>
    <t>日机密封</t>
  </si>
  <si>
    <t>6609万</t>
  </si>
  <si>
    <t>3595万</t>
  </si>
  <si>
    <t>3066万</t>
  </si>
  <si>
    <t>8915万</t>
  </si>
  <si>
    <t>1542万</t>
  </si>
  <si>
    <t>天银机电</t>
  </si>
  <si>
    <t>4905万</t>
  </si>
  <si>
    <t>28.0万</t>
  </si>
  <si>
    <t>4197万</t>
  </si>
  <si>
    <t>1518万</t>
  </si>
  <si>
    <t>中金岭南</t>
  </si>
  <si>
    <t>78.7亿</t>
  </si>
  <si>
    <t>易德龙</t>
  </si>
  <si>
    <t>2539万</t>
  </si>
  <si>
    <t>300万</t>
  </si>
  <si>
    <t>2559万</t>
  </si>
  <si>
    <t>怡球资源</t>
  </si>
  <si>
    <t>2.48万</t>
  </si>
  <si>
    <t>7689万</t>
  </si>
  <si>
    <t>宏达电子</t>
  </si>
  <si>
    <t>23.1万</t>
  </si>
  <si>
    <t>4953万</t>
  </si>
  <si>
    <t>4239万</t>
  </si>
  <si>
    <t>8151万</t>
  </si>
  <si>
    <t>6476万</t>
  </si>
  <si>
    <t>1675万</t>
  </si>
  <si>
    <t>森马服饰</t>
  </si>
  <si>
    <t>6.88万</t>
  </si>
  <si>
    <t>3126万</t>
  </si>
  <si>
    <t>7.04亿</t>
  </si>
  <si>
    <t>合肥百货</t>
  </si>
  <si>
    <t>935万</t>
  </si>
  <si>
    <t>拓普集团</t>
  </si>
  <si>
    <t>62.2亿</t>
  </si>
  <si>
    <t>宝信软件</t>
  </si>
  <si>
    <t>-450万</t>
  </si>
  <si>
    <t>金科文化</t>
  </si>
  <si>
    <t>6.89亿</t>
  </si>
  <si>
    <t>-916万</t>
  </si>
  <si>
    <t>金通灵</t>
  </si>
  <si>
    <t>5.36万</t>
  </si>
  <si>
    <t>4922万</t>
  </si>
  <si>
    <t>-29.5万</t>
  </si>
  <si>
    <t>4924万</t>
  </si>
  <si>
    <t>4418万</t>
  </si>
  <si>
    <t>凯莱英</t>
  </si>
  <si>
    <t>6861万</t>
  </si>
  <si>
    <t>-96.9万</t>
  </si>
  <si>
    <t>6921万</t>
  </si>
  <si>
    <t>6349万</t>
  </si>
  <si>
    <t>富安娜</t>
  </si>
  <si>
    <t>829万</t>
  </si>
  <si>
    <t>9686万</t>
  </si>
  <si>
    <t>兴业股份</t>
  </si>
  <si>
    <t>6277万</t>
  </si>
  <si>
    <t>4196万</t>
  </si>
  <si>
    <t>207万</t>
  </si>
  <si>
    <t>4170万</t>
  </si>
  <si>
    <t>1730万</t>
  </si>
  <si>
    <t>华东重机</t>
  </si>
  <si>
    <t>865万</t>
  </si>
  <si>
    <t>烯碳退</t>
  </si>
  <si>
    <t>5120万</t>
  </si>
  <si>
    <t>-220万</t>
  </si>
  <si>
    <t>4626万</t>
  </si>
  <si>
    <t>-4.01亿</t>
  </si>
  <si>
    <t>5104万</t>
  </si>
  <si>
    <t>6436万</t>
  </si>
  <si>
    <t>正泰电器</t>
  </si>
  <si>
    <t>5.26万</t>
  </si>
  <si>
    <t>443亿</t>
  </si>
  <si>
    <t>厦门国贸</t>
  </si>
  <si>
    <t>5327万</t>
  </si>
  <si>
    <t>869亿</t>
  </si>
  <si>
    <t>757亿</t>
  </si>
  <si>
    <t>556亿</t>
  </si>
  <si>
    <t>富临运业</t>
  </si>
  <si>
    <t>4055万</t>
  </si>
  <si>
    <t>2767万</t>
  </si>
  <si>
    <t>4210万</t>
  </si>
  <si>
    <t>3341万</t>
  </si>
  <si>
    <t>健康元</t>
  </si>
  <si>
    <t>-91.4万</t>
  </si>
  <si>
    <t>吉华集团</t>
  </si>
  <si>
    <t>467万</t>
  </si>
  <si>
    <t>3182万</t>
  </si>
  <si>
    <t>东珠景观</t>
  </si>
  <si>
    <t>7966万</t>
  </si>
  <si>
    <t>8641万</t>
  </si>
  <si>
    <t>200万</t>
  </si>
  <si>
    <t>7326万</t>
  </si>
  <si>
    <t>2141万</t>
  </si>
  <si>
    <t>中国国航</t>
  </si>
  <si>
    <t>94.5亿</t>
  </si>
  <si>
    <t>316亿</t>
  </si>
  <si>
    <t>408亿</t>
  </si>
  <si>
    <t>2346亿</t>
  </si>
  <si>
    <t>1586亿</t>
  </si>
  <si>
    <t>1370亿</t>
  </si>
  <si>
    <t>698亿</t>
  </si>
  <si>
    <t>883亿</t>
  </si>
  <si>
    <t>宝钢股份</t>
  </si>
  <si>
    <t>69.9亿</t>
  </si>
  <si>
    <t>69.2亿</t>
  </si>
  <si>
    <t>50.2亿</t>
  </si>
  <si>
    <t>3537亿</t>
  </si>
  <si>
    <t>1376亿</t>
  </si>
  <si>
    <t>1553亿</t>
  </si>
  <si>
    <t>1739亿</t>
  </si>
  <si>
    <t>1602亿</t>
  </si>
  <si>
    <t>1693亿</t>
  </si>
  <si>
    <t>银轮股份</t>
  </si>
  <si>
    <t>640万</t>
  </si>
  <si>
    <t>69.4亿</t>
  </si>
  <si>
    <t>顺丰控股</t>
  </si>
  <si>
    <t>336亿</t>
  </si>
  <si>
    <t>海峡股份</t>
  </si>
  <si>
    <t>8885万</t>
  </si>
  <si>
    <t>杭钢股份</t>
  </si>
  <si>
    <t>2069万</t>
  </si>
  <si>
    <t>66.8亿</t>
  </si>
  <si>
    <t>方大集团</t>
  </si>
  <si>
    <t>673万</t>
  </si>
  <si>
    <t>9838万</t>
  </si>
  <si>
    <t>7283万</t>
  </si>
  <si>
    <t>长久物流</t>
  </si>
  <si>
    <t>6497万</t>
  </si>
  <si>
    <t>62.3万</t>
  </si>
  <si>
    <t>6672万</t>
  </si>
  <si>
    <t>6501万</t>
  </si>
  <si>
    <t>东阳光科</t>
  </si>
  <si>
    <t>2.99万</t>
  </si>
  <si>
    <t>575万</t>
  </si>
  <si>
    <t>柳 工</t>
  </si>
  <si>
    <t>44.7亿</t>
  </si>
  <si>
    <t>2719万</t>
  </si>
  <si>
    <t>93.1亿</t>
  </si>
  <si>
    <t>四通股份</t>
  </si>
  <si>
    <t>9728万</t>
  </si>
  <si>
    <t>9005万</t>
  </si>
  <si>
    <t>1904万</t>
  </si>
  <si>
    <t>1874万</t>
  </si>
  <si>
    <t>2076万</t>
  </si>
  <si>
    <t>7977万</t>
  </si>
  <si>
    <t>9721万</t>
  </si>
  <si>
    <t>3468万</t>
  </si>
  <si>
    <t>6253万</t>
  </si>
  <si>
    <t>海思科</t>
  </si>
  <si>
    <t>6975万</t>
  </si>
  <si>
    <t>1003万</t>
  </si>
  <si>
    <t>5977万</t>
  </si>
  <si>
    <t>2252万</t>
  </si>
  <si>
    <t>新北洋</t>
  </si>
  <si>
    <t>2.00万</t>
  </si>
  <si>
    <t>9744万</t>
  </si>
  <si>
    <t>1274万</t>
  </si>
  <si>
    <t>9831万</t>
  </si>
  <si>
    <t>7762万</t>
  </si>
  <si>
    <t>3662万</t>
  </si>
  <si>
    <t>安徽合力</t>
  </si>
  <si>
    <t>1367万</t>
  </si>
  <si>
    <t>74.0亿</t>
  </si>
  <si>
    <t>百华悦邦</t>
  </si>
  <si>
    <t>8146万</t>
  </si>
  <si>
    <t>2037万</t>
  </si>
  <si>
    <t>1065万</t>
  </si>
  <si>
    <t>1322万</t>
  </si>
  <si>
    <t>1029万</t>
  </si>
  <si>
    <t>652万</t>
  </si>
  <si>
    <t>7697万</t>
  </si>
  <si>
    <t>南兴装备</t>
  </si>
  <si>
    <t>9749万</t>
  </si>
  <si>
    <t>3085万</t>
  </si>
  <si>
    <t>87.8万</t>
  </si>
  <si>
    <t>中远海科</t>
  </si>
  <si>
    <t>2973万</t>
  </si>
  <si>
    <t>2422万</t>
  </si>
  <si>
    <t>8750万</t>
  </si>
  <si>
    <t>1679万</t>
  </si>
  <si>
    <t>4392万</t>
  </si>
  <si>
    <t>西部矿业</t>
  </si>
  <si>
    <t>1.24万</t>
  </si>
  <si>
    <t>67.2亿</t>
  </si>
  <si>
    <t>3009万</t>
  </si>
  <si>
    <t>79.2亿</t>
  </si>
  <si>
    <t>博雅生物</t>
  </si>
  <si>
    <t>8105万</t>
  </si>
  <si>
    <t>-124万</t>
  </si>
  <si>
    <t>中农立华</t>
  </si>
  <si>
    <t>3409万</t>
  </si>
  <si>
    <t>3433万</t>
  </si>
  <si>
    <t>2338万</t>
  </si>
  <si>
    <t>2905万</t>
  </si>
  <si>
    <t>德邦股份</t>
  </si>
  <si>
    <t>9983万</t>
  </si>
  <si>
    <t>8828万</t>
  </si>
  <si>
    <t>张江高科</t>
  </si>
  <si>
    <t>79.9亿</t>
  </si>
  <si>
    <t>4429万</t>
  </si>
  <si>
    <t>金逸影视</t>
  </si>
  <si>
    <t>7882万</t>
  </si>
  <si>
    <t>968万</t>
  </si>
  <si>
    <t>5628万</t>
  </si>
  <si>
    <t>汉森制药</t>
  </si>
  <si>
    <t>4261万</t>
  </si>
  <si>
    <t>-241万</t>
  </si>
  <si>
    <t>4252万</t>
  </si>
  <si>
    <t>3639万</t>
  </si>
  <si>
    <t>4.83亿</t>
  </si>
  <si>
    <t>1871万</t>
  </si>
  <si>
    <t>诚意药业</t>
  </si>
  <si>
    <t>5733万</t>
  </si>
  <si>
    <t>2150万</t>
  </si>
  <si>
    <t>178万</t>
  </si>
  <si>
    <t>2235万</t>
  </si>
  <si>
    <t>1783万</t>
  </si>
  <si>
    <t>8666万</t>
  </si>
  <si>
    <t>8398万</t>
  </si>
  <si>
    <t>268万</t>
  </si>
  <si>
    <t>东睦股份</t>
  </si>
  <si>
    <t>2.19万</t>
  </si>
  <si>
    <t>9817万</t>
  </si>
  <si>
    <t>9784万</t>
  </si>
  <si>
    <t>7636万</t>
  </si>
  <si>
    <t>5359万</t>
  </si>
  <si>
    <t>长鹰信质</t>
  </si>
  <si>
    <t>5743万</t>
  </si>
  <si>
    <t>6336万</t>
  </si>
  <si>
    <t>世纪华通</t>
  </si>
  <si>
    <t>5.73万</t>
  </si>
  <si>
    <t>1800万</t>
  </si>
  <si>
    <t>九华旅游</t>
  </si>
  <si>
    <t>171万</t>
  </si>
  <si>
    <t>4091万</t>
  </si>
  <si>
    <t>3037万</t>
  </si>
  <si>
    <t>福耀玻璃</t>
  </si>
  <si>
    <t>-21.5万</t>
  </si>
  <si>
    <t>334亿</t>
  </si>
  <si>
    <t>振芯科技</t>
  </si>
  <si>
    <t>3750万</t>
  </si>
  <si>
    <t>-38.3万</t>
  </si>
  <si>
    <t>3762万</t>
  </si>
  <si>
    <t>2561万</t>
  </si>
  <si>
    <t>7609万</t>
  </si>
  <si>
    <t>道恩股份</t>
  </si>
  <si>
    <t>7531万</t>
  </si>
  <si>
    <t>2870万</t>
  </si>
  <si>
    <t>34.1万</t>
  </si>
  <si>
    <t>2927万</t>
  </si>
  <si>
    <t>7.01亿</t>
  </si>
  <si>
    <t>3753万</t>
  </si>
  <si>
    <t>思美传媒</t>
  </si>
  <si>
    <t>9978万</t>
  </si>
  <si>
    <t>-5.72万</t>
  </si>
  <si>
    <t>9977万</t>
  </si>
  <si>
    <t>9720万</t>
  </si>
  <si>
    <t>711万</t>
  </si>
  <si>
    <t>2195万</t>
  </si>
  <si>
    <t>楚江新材</t>
  </si>
  <si>
    <t>宏润建设</t>
  </si>
  <si>
    <t>9431万</t>
  </si>
  <si>
    <t>9461万</t>
  </si>
  <si>
    <t>8129万</t>
  </si>
  <si>
    <t>96.7亿</t>
  </si>
  <si>
    <t>科森科技</t>
  </si>
  <si>
    <t>4951万</t>
  </si>
  <si>
    <t>5111万</t>
  </si>
  <si>
    <t>5184万</t>
  </si>
  <si>
    <t>威帝股份</t>
  </si>
  <si>
    <t>3921万</t>
  </si>
  <si>
    <t>1932万</t>
  </si>
  <si>
    <t>140万</t>
  </si>
  <si>
    <t>1955万</t>
  </si>
  <si>
    <t>2677万</t>
  </si>
  <si>
    <t>662万</t>
  </si>
  <si>
    <t>中化国际</t>
  </si>
  <si>
    <t>2.89万</t>
  </si>
  <si>
    <t>573亿</t>
  </si>
  <si>
    <t>373亿</t>
  </si>
  <si>
    <t>65.3亿</t>
  </si>
  <si>
    <t>359亿</t>
  </si>
  <si>
    <t>中亚股份</t>
  </si>
  <si>
    <t>7782万</t>
  </si>
  <si>
    <t>4847万</t>
  </si>
  <si>
    <t>997万</t>
  </si>
  <si>
    <t>4857万</t>
  </si>
  <si>
    <t>4139万</t>
  </si>
  <si>
    <t>8772万</t>
  </si>
  <si>
    <t>162万</t>
  </si>
  <si>
    <t>南极电商</t>
  </si>
  <si>
    <t>5.83万</t>
  </si>
  <si>
    <t>9296万</t>
  </si>
  <si>
    <t>8926万</t>
  </si>
  <si>
    <t>358万</t>
  </si>
  <si>
    <t>现代投资</t>
  </si>
  <si>
    <t>深赤湾Ａ</t>
  </si>
  <si>
    <t>1.85万</t>
  </si>
  <si>
    <t>1636万</t>
  </si>
  <si>
    <t>长江传媒</t>
  </si>
  <si>
    <t>3632万</t>
  </si>
  <si>
    <t>复星医药</t>
  </si>
  <si>
    <t>637亿</t>
  </si>
  <si>
    <t>328亿</t>
  </si>
  <si>
    <t>259亿</t>
  </si>
  <si>
    <t>设研院</t>
  </si>
  <si>
    <t>3240万</t>
  </si>
  <si>
    <t>5415万</t>
  </si>
  <si>
    <t>128万</t>
  </si>
  <si>
    <t>5420万</t>
  </si>
  <si>
    <t>4495万</t>
  </si>
  <si>
    <t>银河磁体</t>
  </si>
  <si>
    <t>4246万</t>
  </si>
  <si>
    <t>721万</t>
  </si>
  <si>
    <t>3566万</t>
  </si>
  <si>
    <t>5057万</t>
  </si>
  <si>
    <t>127万</t>
  </si>
  <si>
    <t>众信旅游</t>
  </si>
  <si>
    <t>626万</t>
  </si>
  <si>
    <t>9761万</t>
  </si>
  <si>
    <t>6578万</t>
  </si>
  <si>
    <t>信捷电气</t>
  </si>
  <si>
    <t>3514万</t>
  </si>
  <si>
    <t>3470万</t>
  </si>
  <si>
    <t>424万</t>
  </si>
  <si>
    <t>3508万</t>
  </si>
  <si>
    <t>2733万</t>
  </si>
  <si>
    <t>5861万</t>
  </si>
  <si>
    <t>1433万</t>
  </si>
  <si>
    <t>9.58亿</t>
  </si>
  <si>
    <t>节能风电</t>
  </si>
  <si>
    <t>3.91万</t>
  </si>
  <si>
    <t>驰宏锌锗</t>
  </si>
  <si>
    <t>97.0亿</t>
  </si>
  <si>
    <t>阳泉煤业</t>
  </si>
  <si>
    <t>2.28万</t>
  </si>
  <si>
    <t>96.1亿</t>
  </si>
  <si>
    <t>418亿</t>
  </si>
  <si>
    <t>220亿</t>
  </si>
  <si>
    <t>中威电子</t>
  </si>
  <si>
    <t>7537万</t>
  </si>
  <si>
    <t>2307万</t>
  </si>
  <si>
    <t>2313万</t>
  </si>
  <si>
    <t>洲明科技</t>
  </si>
  <si>
    <t>5946万</t>
  </si>
  <si>
    <t>-207万</t>
  </si>
  <si>
    <t>6312万</t>
  </si>
  <si>
    <t>5261万</t>
  </si>
  <si>
    <t>百利科技</t>
  </si>
  <si>
    <t>3194万</t>
  </si>
  <si>
    <t>3328万</t>
  </si>
  <si>
    <t>2803万</t>
  </si>
  <si>
    <t>4541万</t>
  </si>
  <si>
    <t>7489万</t>
  </si>
  <si>
    <t>百合花</t>
  </si>
  <si>
    <t>7034万</t>
  </si>
  <si>
    <t>4482万</t>
  </si>
  <si>
    <t>183万</t>
  </si>
  <si>
    <t>4840万</t>
  </si>
  <si>
    <t>3715万</t>
  </si>
  <si>
    <t>7832万</t>
  </si>
  <si>
    <t>奥康国际</t>
  </si>
  <si>
    <t>715万</t>
  </si>
  <si>
    <t>恒源煤电</t>
  </si>
  <si>
    <t>409万</t>
  </si>
  <si>
    <t>金卡智能</t>
  </si>
  <si>
    <t>1.62万</t>
  </si>
  <si>
    <t>8792万</t>
  </si>
  <si>
    <t>传艺科技</t>
  </si>
  <si>
    <t>3028万</t>
  </si>
  <si>
    <t>3029万</t>
  </si>
  <si>
    <t>37.4万</t>
  </si>
  <si>
    <t>9.18亿</t>
  </si>
  <si>
    <t>煌上煌</t>
  </si>
  <si>
    <t>6150万</t>
  </si>
  <si>
    <t>5041万</t>
  </si>
  <si>
    <t>恒邦股份</t>
  </si>
  <si>
    <t>-1979万</t>
  </si>
  <si>
    <t>9.82亿</t>
  </si>
  <si>
    <t>长安汽车</t>
  </si>
  <si>
    <t>1072亿</t>
  </si>
  <si>
    <t>620亿</t>
  </si>
  <si>
    <t>584亿</t>
  </si>
  <si>
    <t>513亿</t>
  </si>
  <si>
    <t>美凯龙</t>
  </si>
  <si>
    <t>39.4亿</t>
  </si>
  <si>
    <t>4938万</t>
  </si>
  <si>
    <t>1024亿</t>
  </si>
  <si>
    <t>新世界</t>
  </si>
  <si>
    <t>1192万</t>
  </si>
  <si>
    <t>勘设股份</t>
  </si>
  <si>
    <t>3104万</t>
  </si>
  <si>
    <t>7040万</t>
  </si>
  <si>
    <t>286万</t>
  </si>
  <si>
    <t>5679万</t>
  </si>
  <si>
    <t>上海物贸</t>
  </si>
  <si>
    <t>2172万</t>
  </si>
  <si>
    <t>2170万</t>
  </si>
  <si>
    <t>1622万</t>
  </si>
  <si>
    <t>-17.7亿</t>
  </si>
  <si>
    <t>深高速</t>
  </si>
  <si>
    <t>7.62万</t>
  </si>
  <si>
    <t>447亿</t>
  </si>
  <si>
    <t>87.9亿</t>
  </si>
  <si>
    <t>恒为科技</t>
  </si>
  <si>
    <t>9907万</t>
  </si>
  <si>
    <t>2106万</t>
  </si>
  <si>
    <t>59.6万</t>
  </si>
  <si>
    <t>2160万</t>
  </si>
  <si>
    <t>6063万</t>
  </si>
  <si>
    <t>8605万</t>
  </si>
  <si>
    <t>8365万</t>
  </si>
  <si>
    <t>240万</t>
  </si>
  <si>
    <t>科创新源</t>
  </si>
  <si>
    <t>8722万</t>
  </si>
  <si>
    <t>1567万</t>
  </si>
  <si>
    <t>1578万</t>
  </si>
  <si>
    <t>1404万</t>
  </si>
  <si>
    <t>7870万</t>
  </si>
  <si>
    <t>1748万</t>
  </si>
  <si>
    <t>5463万</t>
  </si>
  <si>
    <t>657万</t>
  </si>
  <si>
    <t>晨光生物</t>
  </si>
  <si>
    <t>2.75万</t>
  </si>
  <si>
    <t>4695万</t>
  </si>
  <si>
    <t>5237万</t>
  </si>
  <si>
    <t>4706万</t>
  </si>
  <si>
    <t>合力泰</t>
  </si>
  <si>
    <t>4.89万</t>
  </si>
  <si>
    <t>-544万</t>
  </si>
  <si>
    <t>226亿</t>
  </si>
  <si>
    <t>新 希 望</t>
  </si>
  <si>
    <t>4.24万</t>
  </si>
  <si>
    <t>9.25亿</t>
  </si>
  <si>
    <t>深信服</t>
  </si>
  <si>
    <t>527万</t>
  </si>
  <si>
    <t>5099万</t>
  </si>
  <si>
    <t>三六零</t>
  </si>
  <si>
    <t>-2404万</t>
  </si>
  <si>
    <t>洪城水业</t>
  </si>
  <si>
    <t>49.3万</t>
  </si>
  <si>
    <t>9241万</t>
  </si>
  <si>
    <t>86.3亿</t>
  </si>
  <si>
    <t>未名医药</t>
  </si>
  <si>
    <t>8858万</t>
  </si>
  <si>
    <t>7227万</t>
  </si>
  <si>
    <t>8865万</t>
  </si>
  <si>
    <t>8237万</t>
  </si>
  <si>
    <t>华建集团</t>
  </si>
  <si>
    <t>3.62亿</t>
  </si>
  <si>
    <t>1.95万</t>
  </si>
  <si>
    <t>7045万</t>
  </si>
  <si>
    <t>585万</t>
  </si>
  <si>
    <t>9778万</t>
  </si>
  <si>
    <t>7114万</t>
  </si>
  <si>
    <t>9.50亿</t>
  </si>
  <si>
    <t>海 利 得</t>
  </si>
  <si>
    <t>3.36万</t>
  </si>
  <si>
    <t>9410万</t>
  </si>
  <si>
    <t>4659万</t>
  </si>
  <si>
    <t>金海环境</t>
  </si>
  <si>
    <t>2471万</t>
  </si>
  <si>
    <t>50.9万</t>
  </si>
  <si>
    <t>2473万</t>
  </si>
  <si>
    <t>2051万</t>
  </si>
  <si>
    <t>802万</t>
  </si>
  <si>
    <t>上海医药</t>
  </si>
  <si>
    <t>364亿</t>
  </si>
  <si>
    <t>176亿</t>
  </si>
  <si>
    <t>1140亿</t>
  </si>
  <si>
    <t>835亿</t>
  </si>
  <si>
    <t>671亿</t>
  </si>
  <si>
    <t>四川成渝</t>
  </si>
  <si>
    <t>3.26万</t>
  </si>
  <si>
    <t>1538万</t>
  </si>
  <si>
    <t>皖通高速</t>
  </si>
  <si>
    <t>4.02万</t>
  </si>
  <si>
    <t>532万</t>
  </si>
  <si>
    <t>白云机场</t>
  </si>
  <si>
    <t>4.54万</t>
  </si>
  <si>
    <t>878万</t>
  </si>
  <si>
    <t>59.1亿</t>
  </si>
  <si>
    <t>84.7亿</t>
  </si>
  <si>
    <t>58.9亿</t>
  </si>
  <si>
    <t>博天环境</t>
  </si>
  <si>
    <t>1.09万</t>
  </si>
  <si>
    <t>4601万</t>
  </si>
  <si>
    <t>-212万</t>
  </si>
  <si>
    <t>4764万</t>
  </si>
  <si>
    <t>3879万</t>
  </si>
  <si>
    <t>7485万</t>
  </si>
  <si>
    <t>阳光电源</t>
  </si>
  <si>
    <t>1238万</t>
  </si>
  <si>
    <t>80.5亿</t>
  </si>
  <si>
    <t>71.6亿</t>
  </si>
  <si>
    <t>兔 宝 宝</t>
  </si>
  <si>
    <t>6486万</t>
  </si>
  <si>
    <t>1533万</t>
  </si>
  <si>
    <t>6590万</t>
  </si>
  <si>
    <t>2714万</t>
  </si>
  <si>
    <t>西山煤电</t>
  </si>
  <si>
    <t>2.03万</t>
  </si>
  <si>
    <t>15.1万</t>
  </si>
  <si>
    <t>369亿</t>
  </si>
  <si>
    <t>百达精工</t>
  </si>
  <si>
    <t>3181万</t>
  </si>
  <si>
    <t>2355万</t>
  </si>
  <si>
    <t>2354万</t>
  </si>
  <si>
    <t>1927万</t>
  </si>
  <si>
    <t>851万</t>
  </si>
  <si>
    <t>露笑科技</t>
  </si>
  <si>
    <t>5.52万</t>
  </si>
  <si>
    <t>9870万</t>
  </si>
  <si>
    <t>-184万</t>
  </si>
  <si>
    <t>7281万</t>
  </si>
  <si>
    <t>二三四五</t>
  </si>
  <si>
    <t>1759万</t>
  </si>
  <si>
    <t>7010万</t>
  </si>
  <si>
    <t>78.8亿</t>
  </si>
  <si>
    <t>鲁阳节能</t>
  </si>
  <si>
    <t>159万</t>
  </si>
  <si>
    <t>6060万</t>
  </si>
  <si>
    <t>5321万</t>
  </si>
  <si>
    <t>1773万</t>
  </si>
  <si>
    <t>XD重庆燃</t>
  </si>
  <si>
    <t>3.53万</t>
  </si>
  <si>
    <t>995万</t>
  </si>
  <si>
    <t>中航资本</t>
  </si>
  <si>
    <t>89.8亿</t>
  </si>
  <si>
    <t>3.96万</t>
  </si>
  <si>
    <t>75.9亿</t>
  </si>
  <si>
    <t>2276亿</t>
  </si>
  <si>
    <t>1204亿</t>
  </si>
  <si>
    <t>64.3亿</t>
  </si>
  <si>
    <t>1985亿</t>
  </si>
  <si>
    <t>1453亿</t>
  </si>
  <si>
    <t>532亿</t>
  </si>
  <si>
    <t>天地源</t>
  </si>
  <si>
    <t>8.64亿</t>
  </si>
  <si>
    <t>8619万</t>
  </si>
  <si>
    <t>三峡新材</t>
  </si>
  <si>
    <t>1.23万</t>
  </si>
  <si>
    <t>扬子新材</t>
  </si>
  <si>
    <t>4880万</t>
  </si>
  <si>
    <t>5107万</t>
  </si>
  <si>
    <t>2105万</t>
  </si>
  <si>
    <t>921万</t>
  </si>
  <si>
    <t>平安银行</t>
  </si>
  <si>
    <t>4.01万</t>
  </si>
  <si>
    <t>280亿</t>
  </si>
  <si>
    <t>3.34万亿</t>
  </si>
  <si>
    <t>3.12万亿</t>
  </si>
  <si>
    <t>2234亿</t>
  </si>
  <si>
    <t>565亿</t>
  </si>
  <si>
    <t>中原高速</t>
  </si>
  <si>
    <t>80.8亿</t>
  </si>
  <si>
    <t>412亿</t>
  </si>
  <si>
    <t>木林森</t>
  </si>
  <si>
    <t>2413万</t>
  </si>
  <si>
    <t>搜于特</t>
  </si>
  <si>
    <t>7.12万</t>
  </si>
  <si>
    <t>1875万</t>
  </si>
  <si>
    <t>大华股份</t>
  </si>
  <si>
    <t>-1044万</t>
  </si>
  <si>
    <t>99.8亿</t>
  </si>
  <si>
    <t>91.5亿</t>
  </si>
  <si>
    <t>中钢天源</t>
  </si>
  <si>
    <t>3904万</t>
  </si>
  <si>
    <t>3950万</t>
  </si>
  <si>
    <t>苏州科达</t>
  </si>
  <si>
    <t>4117万</t>
  </si>
  <si>
    <t>24.5万</t>
  </si>
  <si>
    <t>8789万</t>
  </si>
  <si>
    <t>1014万</t>
  </si>
  <si>
    <t>金石资源</t>
  </si>
  <si>
    <t>2886万</t>
  </si>
  <si>
    <t>2830万</t>
  </si>
  <si>
    <t>2044万</t>
  </si>
  <si>
    <t>8039万</t>
  </si>
  <si>
    <t>大业股份</t>
  </si>
  <si>
    <t>5200万</t>
  </si>
  <si>
    <t>4299万</t>
  </si>
  <si>
    <t>3825万</t>
  </si>
  <si>
    <t>现代制药</t>
  </si>
  <si>
    <t>648万</t>
  </si>
  <si>
    <t>63.5亿</t>
  </si>
  <si>
    <t>扬杰科技</t>
  </si>
  <si>
    <t>7726万</t>
  </si>
  <si>
    <t>1027万</t>
  </si>
  <si>
    <t>7733万</t>
  </si>
  <si>
    <t>桂发祥</t>
  </si>
  <si>
    <t>3845万</t>
  </si>
  <si>
    <t>535万</t>
  </si>
  <si>
    <t>3878万</t>
  </si>
  <si>
    <t>2921万</t>
  </si>
  <si>
    <t>4818万</t>
  </si>
  <si>
    <t>3469万</t>
  </si>
  <si>
    <t>1349万</t>
  </si>
  <si>
    <t>龙星化工</t>
  </si>
  <si>
    <t>2.97万</t>
  </si>
  <si>
    <t>3833万</t>
  </si>
  <si>
    <t>2650万</t>
  </si>
  <si>
    <t>中粮生化</t>
  </si>
  <si>
    <t>-1.23亿</t>
  </si>
  <si>
    <t>-2.27亿</t>
  </si>
  <si>
    <t>中国核电</t>
  </si>
  <si>
    <t>3755万</t>
  </si>
  <si>
    <t>2302亿</t>
  </si>
  <si>
    <t>401亿</t>
  </si>
  <si>
    <t>1901亿</t>
  </si>
  <si>
    <t>445亿</t>
  </si>
  <si>
    <t>会稽山</t>
  </si>
  <si>
    <t>66.6万</t>
  </si>
  <si>
    <t>8624万</t>
  </si>
  <si>
    <t>深圳燃气</t>
  </si>
  <si>
    <t>6.34万</t>
  </si>
  <si>
    <t>410万</t>
  </si>
  <si>
    <t>185亿</t>
  </si>
  <si>
    <t>光大嘉宝</t>
  </si>
  <si>
    <t>2.88万</t>
  </si>
  <si>
    <t>76.3万</t>
  </si>
  <si>
    <t>64.5亿</t>
  </si>
  <si>
    <t>道道全</t>
  </si>
  <si>
    <t>7169万</t>
  </si>
  <si>
    <t>7457万</t>
  </si>
  <si>
    <t>5376万</t>
  </si>
  <si>
    <t>8424万</t>
  </si>
  <si>
    <t>豪迈科技</t>
  </si>
  <si>
    <t>473万</t>
  </si>
  <si>
    <t>48.1亿</t>
  </si>
  <si>
    <t>湖北能源</t>
  </si>
  <si>
    <t>4.52万</t>
  </si>
  <si>
    <t>468亿</t>
  </si>
  <si>
    <t>艾华集团</t>
  </si>
  <si>
    <t>4704万</t>
  </si>
  <si>
    <t>74.0万</t>
  </si>
  <si>
    <t>6047万</t>
  </si>
  <si>
    <t>5116万</t>
  </si>
  <si>
    <t>联明股份</t>
  </si>
  <si>
    <t>7086万</t>
  </si>
  <si>
    <t>3486万</t>
  </si>
  <si>
    <t>47.2万</t>
  </si>
  <si>
    <t>3489万</t>
  </si>
  <si>
    <t>2583万</t>
  </si>
  <si>
    <t>3600万</t>
  </si>
  <si>
    <t>厦工股份</t>
  </si>
  <si>
    <t>2.08万</t>
  </si>
  <si>
    <t>4302万</t>
  </si>
  <si>
    <t>1525万</t>
  </si>
  <si>
    <t>-27.3亿</t>
  </si>
  <si>
    <t>上海家化</t>
  </si>
  <si>
    <t>4385万</t>
  </si>
  <si>
    <t>格力地产</t>
  </si>
  <si>
    <t>迪瑞医疗</t>
  </si>
  <si>
    <t>5164万</t>
  </si>
  <si>
    <t>5163万</t>
  </si>
  <si>
    <t>裕同科技</t>
  </si>
  <si>
    <t>7038万</t>
  </si>
  <si>
    <t>楚天高速</t>
  </si>
  <si>
    <t>79.1万</t>
  </si>
  <si>
    <t>森霸传感</t>
  </si>
  <si>
    <t>3792万</t>
  </si>
  <si>
    <t>1423万</t>
  </si>
  <si>
    <t>1216万</t>
  </si>
  <si>
    <t>4393万</t>
  </si>
  <si>
    <t>1930万</t>
  </si>
  <si>
    <t>130万</t>
  </si>
  <si>
    <t>润都股份</t>
  </si>
  <si>
    <t>2564万</t>
  </si>
  <si>
    <t>1996万</t>
  </si>
  <si>
    <t>9497万</t>
  </si>
  <si>
    <t>9908万</t>
  </si>
  <si>
    <t>亚太药业</t>
  </si>
  <si>
    <t>5.42万</t>
  </si>
  <si>
    <t>7875万</t>
  </si>
  <si>
    <t>7881万</t>
  </si>
  <si>
    <t>6549万</t>
  </si>
  <si>
    <t>5.29亿</t>
  </si>
  <si>
    <t>多伦科技</t>
  </si>
  <si>
    <t>4490万</t>
  </si>
  <si>
    <t>4481万</t>
  </si>
  <si>
    <t>3772万</t>
  </si>
  <si>
    <t>1378万</t>
  </si>
  <si>
    <t>中设集团</t>
  </si>
  <si>
    <t>7380万</t>
  </si>
  <si>
    <t>52.4亿</t>
  </si>
  <si>
    <t>台基股份</t>
  </si>
  <si>
    <t>2478万</t>
  </si>
  <si>
    <t>2484万</t>
  </si>
  <si>
    <t>2319万</t>
  </si>
  <si>
    <t>海王生物</t>
  </si>
  <si>
    <t>92.0亿</t>
  </si>
  <si>
    <t>274亿</t>
  </si>
  <si>
    <t>苏垦农发</t>
  </si>
  <si>
    <t>925万</t>
  </si>
  <si>
    <t>无锡银行</t>
  </si>
  <si>
    <t>2651万</t>
  </si>
  <si>
    <t>1403亿</t>
  </si>
  <si>
    <t>1300亿</t>
  </si>
  <si>
    <t>9.55亿</t>
  </si>
  <si>
    <t>新天药业</t>
  </si>
  <si>
    <t>6888万</t>
  </si>
  <si>
    <t>1992万</t>
  </si>
  <si>
    <t>55.4万</t>
  </si>
  <si>
    <t>2020万</t>
  </si>
  <si>
    <t>1713万</t>
  </si>
  <si>
    <t>2846万</t>
  </si>
  <si>
    <t>清新环境</t>
  </si>
  <si>
    <t>-214万</t>
  </si>
  <si>
    <t>76.5亿</t>
  </si>
  <si>
    <t>盛达矿业</t>
  </si>
  <si>
    <t>8689万</t>
  </si>
  <si>
    <t>-128万</t>
  </si>
  <si>
    <t>9484万</t>
  </si>
  <si>
    <t>6716万</t>
  </si>
  <si>
    <t>8.94亿</t>
  </si>
  <si>
    <t>1317万</t>
  </si>
  <si>
    <t>朗博科技</t>
  </si>
  <si>
    <t>1508万</t>
  </si>
  <si>
    <t>1268万</t>
  </si>
  <si>
    <t>7625万</t>
  </si>
  <si>
    <t>2955万</t>
  </si>
  <si>
    <t>94.0万</t>
  </si>
  <si>
    <t>翔鹭钨业</t>
  </si>
  <si>
    <t>7183万</t>
  </si>
  <si>
    <t>2303万</t>
  </si>
  <si>
    <t>2079万</t>
  </si>
  <si>
    <t>新华制药</t>
  </si>
  <si>
    <t>8342万</t>
  </si>
  <si>
    <t>80.7万</t>
  </si>
  <si>
    <t>8279万</t>
  </si>
  <si>
    <t>6759万</t>
  </si>
  <si>
    <t>英特集团</t>
  </si>
  <si>
    <t>2.87万</t>
  </si>
  <si>
    <t>7307万</t>
  </si>
  <si>
    <t>7322万</t>
  </si>
  <si>
    <t>2308万</t>
  </si>
  <si>
    <t>88.9亿</t>
  </si>
  <si>
    <t>3036万</t>
  </si>
  <si>
    <t>皇马科技</t>
  </si>
  <si>
    <t>40.4万</t>
  </si>
  <si>
    <t>4013万</t>
  </si>
  <si>
    <t>1843万</t>
  </si>
  <si>
    <t>中国太保</t>
  </si>
  <si>
    <t>1.23万亿</t>
  </si>
  <si>
    <t>1.08万亿</t>
  </si>
  <si>
    <t>1416亿</t>
  </si>
  <si>
    <t>666亿</t>
  </si>
  <si>
    <t>开滦股份</t>
  </si>
  <si>
    <t>长盛轴承</t>
  </si>
  <si>
    <t>4950万</t>
  </si>
  <si>
    <t>246万</t>
  </si>
  <si>
    <t>3355万</t>
  </si>
  <si>
    <t>2778万</t>
  </si>
  <si>
    <t>8438万</t>
  </si>
  <si>
    <t>8180万</t>
  </si>
  <si>
    <t>258万</t>
  </si>
  <si>
    <t>三联虹普</t>
  </si>
  <si>
    <t>6086万</t>
  </si>
  <si>
    <t>4996万</t>
  </si>
  <si>
    <t>479万</t>
  </si>
  <si>
    <t>5094万</t>
  </si>
  <si>
    <t>422万</t>
  </si>
  <si>
    <t>9.80亿</t>
  </si>
  <si>
    <t>张家港行</t>
  </si>
  <si>
    <t>8.40亿</t>
  </si>
  <si>
    <t>2458万</t>
  </si>
  <si>
    <t>983亿</t>
  </si>
  <si>
    <t>896亿</t>
  </si>
  <si>
    <t>洽洽食品</t>
  </si>
  <si>
    <t>981万</t>
  </si>
  <si>
    <t>8386万</t>
  </si>
  <si>
    <t>4707万</t>
  </si>
  <si>
    <t>广信股份</t>
  </si>
  <si>
    <t>319万</t>
  </si>
  <si>
    <t>上海环境</t>
  </si>
  <si>
    <t>梅花生物</t>
  </si>
  <si>
    <t>2544万</t>
  </si>
  <si>
    <t>华谊集团</t>
  </si>
  <si>
    <t>5938万</t>
  </si>
  <si>
    <t>394亿</t>
  </si>
  <si>
    <t>粤泰股份</t>
  </si>
  <si>
    <t>网宿科技</t>
  </si>
  <si>
    <t>1076万</t>
  </si>
  <si>
    <t>潮宏基</t>
  </si>
  <si>
    <t>3.59万</t>
  </si>
  <si>
    <t>1307万</t>
  </si>
  <si>
    <t>9328万</t>
  </si>
  <si>
    <t>航天电器</t>
  </si>
  <si>
    <t>7898万</t>
  </si>
  <si>
    <t>8243万</t>
  </si>
  <si>
    <t>6477万</t>
  </si>
  <si>
    <t>康缘药业</t>
  </si>
  <si>
    <t>9462万</t>
  </si>
  <si>
    <t>德尔股份</t>
  </si>
  <si>
    <t>6358万</t>
  </si>
  <si>
    <t>6366万</t>
  </si>
  <si>
    <t>4556万</t>
  </si>
  <si>
    <t>迪安诊断</t>
  </si>
  <si>
    <t>831万</t>
  </si>
  <si>
    <t>6281万</t>
  </si>
  <si>
    <t>安诺其</t>
  </si>
  <si>
    <t>5413万</t>
  </si>
  <si>
    <t>5295万</t>
  </si>
  <si>
    <t>4154万</t>
  </si>
  <si>
    <t>260万</t>
  </si>
  <si>
    <t>永兴特钢</t>
  </si>
  <si>
    <t>592万</t>
  </si>
  <si>
    <t>9176万</t>
  </si>
  <si>
    <t>8323万</t>
  </si>
  <si>
    <t>禾丰牧业</t>
  </si>
  <si>
    <t>3699万</t>
  </si>
  <si>
    <t>中天能源</t>
  </si>
  <si>
    <t>4.60万</t>
  </si>
  <si>
    <t>470万</t>
  </si>
  <si>
    <t>98.2亿</t>
  </si>
  <si>
    <t>世名科技</t>
  </si>
  <si>
    <t>5208万</t>
  </si>
  <si>
    <t>1898万</t>
  </si>
  <si>
    <t>145万</t>
  </si>
  <si>
    <t>1595万</t>
  </si>
  <si>
    <t>5062万</t>
  </si>
  <si>
    <t>534万</t>
  </si>
  <si>
    <t>晨鑫科技</t>
  </si>
  <si>
    <t>7372万</t>
  </si>
  <si>
    <t>中油资本</t>
  </si>
  <si>
    <t>1.60万</t>
  </si>
  <si>
    <t>8228亿</t>
  </si>
  <si>
    <t>5385亿</t>
  </si>
  <si>
    <t>6883亿</t>
  </si>
  <si>
    <t>6565亿</t>
  </si>
  <si>
    <t>广誉远</t>
  </si>
  <si>
    <t>6824万</t>
  </si>
  <si>
    <t>-1.71亿</t>
  </si>
  <si>
    <t>5364万</t>
  </si>
  <si>
    <t>3296万</t>
  </si>
  <si>
    <t>金地集团</t>
  </si>
  <si>
    <t>6.53万</t>
  </si>
  <si>
    <t>2249亿</t>
  </si>
  <si>
    <t>1866亿</t>
  </si>
  <si>
    <t>1665亿</t>
  </si>
  <si>
    <t>1122亿</t>
  </si>
  <si>
    <t>415亿</t>
  </si>
  <si>
    <t>国机汽车</t>
  </si>
  <si>
    <t>-290万</t>
  </si>
  <si>
    <t>捷捷微电</t>
  </si>
  <si>
    <t>9804万</t>
  </si>
  <si>
    <t>3998万</t>
  </si>
  <si>
    <t>3996万</t>
  </si>
  <si>
    <t>3329万</t>
  </si>
  <si>
    <t>1640万</t>
  </si>
  <si>
    <t>瑞特股份</t>
  </si>
  <si>
    <t>8883万</t>
  </si>
  <si>
    <t>2760万</t>
  </si>
  <si>
    <t>2768万</t>
  </si>
  <si>
    <t>2388万</t>
  </si>
  <si>
    <t>205万</t>
  </si>
  <si>
    <t>东音股份</t>
  </si>
  <si>
    <t>6449万</t>
  </si>
  <si>
    <t>2300万</t>
  </si>
  <si>
    <t>24.8万</t>
  </si>
  <si>
    <t>2315万</t>
  </si>
  <si>
    <t>2016万</t>
  </si>
  <si>
    <t>463万</t>
  </si>
  <si>
    <t>多氟多</t>
  </si>
  <si>
    <t>7608万</t>
  </si>
  <si>
    <t>靖远煤电</t>
  </si>
  <si>
    <t>安迪苏</t>
  </si>
  <si>
    <t>润欣科技</t>
  </si>
  <si>
    <t>1597万</t>
  </si>
  <si>
    <t>334万</t>
  </si>
  <si>
    <t>1591万</t>
  </si>
  <si>
    <t>1330万</t>
  </si>
  <si>
    <t>602万</t>
  </si>
  <si>
    <t>3264万</t>
  </si>
  <si>
    <t>旋极信息</t>
  </si>
  <si>
    <t>-61.2万</t>
  </si>
  <si>
    <t>北陆药业</t>
  </si>
  <si>
    <t>3415万</t>
  </si>
  <si>
    <t>116万</t>
  </si>
  <si>
    <t>3353万</t>
  </si>
  <si>
    <t>2875万</t>
  </si>
  <si>
    <t>4978万</t>
  </si>
  <si>
    <t>2212万</t>
  </si>
  <si>
    <t>步 步 高</t>
  </si>
  <si>
    <t>2.24万</t>
  </si>
  <si>
    <t>98.6万</t>
  </si>
  <si>
    <t>9.36亿</t>
  </si>
  <si>
    <t>恒润股份</t>
  </si>
  <si>
    <t>3163万</t>
  </si>
  <si>
    <t>19.1万</t>
  </si>
  <si>
    <t>3160万</t>
  </si>
  <si>
    <t>2691万</t>
  </si>
  <si>
    <t>279万</t>
  </si>
  <si>
    <t>杭州解百</t>
  </si>
  <si>
    <t>1170万</t>
  </si>
  <si>
    <t>6198万</t>
  </si>
  <si>
    <t>51.5亿</t>
  </si>
  <si>
    <t>2827万</t>
  </si>
  <si>
    <t>1428万</t>
  </si>
  <si>
    <t>凯伦股份</t>
  </si>
  <si>
    <t>9053万</t>
  </si>
  <si>
    <t>1345万</t>
  </si>
  <si>
    <t>1248万</t>
  </si>
  <si>
    <t>1022万</t>
  </si>
  <si>
    <t>247万</t>
  </si>
  <si>
    <t>华谊兄弟</t>
  </si>
  <si>
    <t>-1549万</t>
  </si>
  <si>
    <t>98.6亿</t>
  </si>
  <si>
    <t>99.1亿</t>
  </si>
  <si>
    <t>景兴纸业</t>
  </si>
  <si>
    <t>683万</t>
  </si>
  <si>
    <t>中水渔业</t>
  </si>
  <si>
    <t>1.53万</t>
  </si>
  <si>
    <t>-11.1万</t>
  </si>
  <si>
    <t>1831万</t>
  </si>
  <si>
    <t>-9776万</t>
  </si>
  <si>
    <t>众源新材</t>
  </si>
  <si>
    <t>4354万</t>
  </si>
  <si>
    <t>2664万</t>
  </si>
  <si>
    <t>2149万</t>
  </si>
  <si>
    <t>1258万</t>
  </si>
  <si>
    <t>万向德农</t>
  </si>
  <si>
    <t>6592万</t>
  </si>
  <si>
    <t>1437万</t>
  </si>
  <si>
    <t>1398万</t>
  </si>
  <si>
    <t>1253万</t>
  </si>
  <si>
    <t>5716万</t>
  </si>
  <si>
    <t>3445万</t>
  </si>
  <si>
    <t>绿康生化</t>
  </si>
  <si>
    <t>2210万</t>
  </si>
  <si>
    <t>65.6万</t>
  </si>
  <si>
    <t>2208万</t>
  </si>
  <si>
    <t>1856万</t>
  </si>
  <si>
    <t>4768万</t>
  </si>
  <si>
    <t>3844万</t>
  </si>
  <si>
    <t>再升科技</t>
  </si>
  <si>
    <t>1.71万</t>
  </si>
  <si>
    <t>3701万</t>
  </si>
  <si>
    <t>3731万</t>
  </si>
  <si>
    <t>3180万</t>
  </si>
  <si>
    <t>健民集团</t>
  </si>
  <si>
    <t>3010万</t>
  </si>
  <si>
    <t>1662万</t>
  </si>
  <si>
    <t>3137万</t>
  </si>
  <si>
    <t>2892万</t>
  </si>
  <si>
    <t>1194万</t>
  </si>
  <si>
    <t>鄂尔多斯</t>
  </si>
  <si>
    <t>5245万</t>
  </si>
  <si>
    <t>中泰股份</t>
  </si>
  <si>
    <t>8384万</t>
  </si>
  <si>
    <t>2214万</t>
  </si>
  <si>
    <t>308万</t>
  </si>
  <si>
    <t>2033万</t>
  </si>
  <si>
    <t>7483万</t>
  </si>
  <si>
    <t>6.64亿</t>
  </si>
  <si>
    <t>4729万</t>
  </si>
  <si>
    <t>中金环境</t>
  </si>
  <si>
    <t>莱美药业</t>
  </si>
  <si>
    <t>4811万</t>
  </si>
  <si>
    <t>2634万</t>
  </si>
  <si>
    <t>4812万</t>
  </si>
  <si>
    <t>拉芳家化</t>
  </si>
  <si>
    <t>5066万</t>
  </si>
  <si>
    <t>745万</t>
  </si>
  <si>
    <t>5374万</t>
  </si>
  <si>
    <t>4494万</t>
  </si>
  <si>
    <t>1166万</t>
  </si>
  <si>
    <t>红蜻蜓</t>
  </si>
  <si>
    <t>9229万</t>
  </si>
  <si>
    <t>中工国际</t>
  </si>
  <si>
    <t>3.08万</t>
  </si>
  <si>
    <t>中国电建</t>
  </si>
  <si>
    <t>619亿</t>
  </si>
  <si>
    <t>6640万</t>
  </si>
  <si>
    <t>6063亿</t>
  </si>
  <si>
    <t>929亿</t>
  </si>
  <si>
    <t>4833亿</t>
  </si>
  <si>
    <t>2945亿</t>
  </si>
  <si>
    <t>1888亿</t>
  </si>
  <si>
    <t>三爱富</t>
  </si>
  <si>
    <t>6637万</t>
  </si>
  <si>
    <t>1966万</t>
  </si>
  <si>
    <t>国立科技</t>
  </si>
  <si>
    <t>4002万</t>
  </si>
  <si>
    <t>84.4万</t>
  </si>
  <si>
    <t>2601万</t>
  </si>
  <si>
    <t>7099万</t>
  </si>
  <si>
    <t>加加食品</t>
  </si>
  <si>
    <t>9.45亿</t>
  </si>
  <si>
    <t>-11.5万</t>
  </si>
  <si>
    <t>5428万</t>
  </si>
  <si>
    <t>6005万</t>
  </si>
  <si>
    <t>精华制药</t>
  </si>
  <si>
    <t>7.77亿</t>
  </si>
  <si>
    <t>7318万</t>
  </si>
  <si>
    <t>67.2万</t>
  </si>
  <si>
    <t>7290万</t>
  </si>
  <si>
    <t>金路集团</t>
  </si>
  <si>
    <t>2325万</t>
  </si>
  <si>
    <t>-40.4万</t>
  </si>
  <si>
    <t>2270万</t>
  </si>
  <si>
    <t>2251万</t>
  </si>
  <si>
    <t>2947万</t>
  </si>
  <si>
    <t>2541万</t>
  </si>
  <si>
    <t>鲍斯股份</t>
  </si>
  <si>
    <t>5406万</t>
  </si>
  <si>
    <t>92.7万</t>
  </si>
  <si>
    <t>5526万</t>
  </si>
  <si>
    <t>3869万</t>
  </si>
  <si>
    <t>银信科技</t>
  </si>
  <si>
    <t>2289万</t>
  </si>
  <si>
    <t>109万</t>
  </si>
  <si>
    <t>1918万</t>
  </si>
  <si>
    <t>红日药业</t>
  </si>
  <si>
    <t>3.66万</t>
  </si>
  <si>
    <t>4567万</t>
  </si>
  <si>
    <t>孚日股份</t>
  </si>
  <si>
    <t>8740万</t>
  </si>
  <si>
    <t>翔港科技</t>
  </si>
  <si>
    <t>8277万</t>
  </si>
  <si>
    <t>1286万</t>
  </si>
  <si>
    <t>155万</t>
  </si>
  <si>
    <t>1328万</t>
  </si>
  <si>
    <t>3043万</t>
  </si>
  <si>
    <t>浙江东日</t>
  </si>
  <si>
    <t>85.6万</t>
  </si>
  <si>
    <t>2349万</t>
  </si>
  <si>
    <t>1726万</t>
  </si>
  <si>
    <t>9.94亿</t>
  </si>
  <si>
    <t>博士眼镜</t>
  </si>
  <si>
    <t>3544万</t>
  </si>
  <si>
    <t>1632万</t>
  </si>
  <si>
    <t>4255万</t>
  </si>
  <si>
    <t>9255万</t>
  </si>
  <si>
    <t>8908万</t>
  </si>
  <si>
    <t>金一文化</t>
  </si>
  <si>
    <t>-23.5万</t>
  </si>
  <si>
    <t>秦港股份</t>
  </si>
  <si>
    <t>693万</t>
  </si>
  <si>
    <t>70.9亿</t>
  </si>
  <si>
    <t>德艺文创</t>
  </si>
  <si>
    <t>5176万</t>
  </si>
  <si>
    <t>846万</t>
  </si>
  <si>
    <t>737万</t>
  </si>
  <si>
    <t>5302万</t>
  </si>
  <si>
    <t>1776万</t>
  </si>
  <si>
    <t>6951万</t>
  </si>
  <si>
    <t>风华高科</t>
  </si>
  <si>
    <t>417万</t>
  </si>
  <si>
    <t>司太立</t>
  </si>
  <si>
    <t>6465万</t>
  </si>
  <si>
    <t>2946万</t>
  </si>
  <si>
    <t>68.3万</t>
  </si>
  <si>
    <t>先达股份</t>
  </si>
  <si>
    <t>3816万</t>
  </si>
  <si>
    <t>3820万</t>
  </si>
  <si>
    <t>中国石化</t>
  </si>
  <si>
    <t>1211亿</t>
  </si>
  <si>
    <t>956亿</t>
  </si>
  <si>
    <t>19.5万</t>
  </si>
  <si>
    <t>6213亿</t>
  </si>
  <si>
    <t>3093亿</t>
  </si>
  <si>
    <t>1.57万亿</t>
  </si>
  <si>
    <t>5212亿</t>
  </si>
  <si>
    <t>6341亿</t>
  </si>
  <si>
    <t>6952亿</t>
  </si>
  <si>
    <t>5298亿</t>
  </si>
  <si>
    <t>1655亿</t>
  </si>
  <si>
    <t>7458亿</t>
  </si>
  <si>
    <t>1196亿</t>
  </si>
  <si>
    <t>海顺新材</t>
  </si>
  <si>
    <t>1847万</t>
  </si>
  <si>
    <t>83.2万</t>
  </si>
  <si>
    <t>1870万</t>
  </si>
  <si>
    <t>1582万</t>
  </si>
  <si>
    <t>8967万</t>
  </si>
  <si>
    <t>9578万</t>
  </si>
  <si>
    <t>8812万</t>
  </si>
  <si>
    <t>766万</t>
  </si>
  <si>
    <t>赛升药业</t>
  </si>
  <si>
    <t>8448万</t>
  </si>
  <si>
    <t>7024万</t>
  </si>
  <si>
    <t>5987万</t>
  </si>
  <si>
    <t>6874万</t>
  </si>
  <si>
    <t>15.7万</t>
  </si>
  <si>
    <t>力源信息</t>
  </si>
  <si>
    <t>1337万</t>
  </si>
  <si>
    <t>1096万</t>
  </si>
  <si>
    <t>杭锅股份</t>
  </si>
  <si>
    <t>8284万</t>
  </si>
  <si>
    <t>1521万</t>
  </si>
  <si>
    <t>8450万</t>
  </si>
  <si>
    <t>7691万</t>
  </si>
  <si>
    <t>80.2亿</t>
  </si>
  <si>
    <t>山河智能</t>
  </si>
  <si>
    <t>-60.0万</t>
  </si>
  <si>
    <t>7.72亿</t>
  </si>
  <si>
    <t>东宏股份</t>
  </si>
  <si>
    <t>4933万</t>
  </si>
  <si>
    <t>4147万</t>
  </si>
  <si>
    <t>4355万</t>
  </si>
  <si>
    <t>3687万</t>
  </si>
  <si>
    <t>常青股份</t>
  </si>
  <si>
    <t>7013万</t>
  </si>
  <si>
    <t>86.5万</t>
  </si>
  <si>
    <t>5103万</t>
  </si>
  <si>
    <t>4266万</t>
  </si>
  <si>
    <t>3399万</t>
  </si>
  <si>
    <t>中国中冶</t>
  </si>
  <si>
    <t>-2232万</t>
  </si>
  <si>
    <t>4218亿</t>
  </si>
  <si>
    <t>3306亿</t>
  </si>
  <si>
    <t>278亿</t>
  </si>
  <si>
    <t>3226亿</t>
  </si>
  <si>
    <t>2841亿</t>
  </si>
  <si>
    <t>385亿</t>
  </si>
  <si>
    <t>唐山港</t>
  </si>
  <si>
    <t>8059万</t>
  </si>
  <si>
    <t>硕贝德</t>
  </si>
  <si>
    <t>1957万</t>
  </si>
  <si>
    <t>1953万</t>
  </si>
  <si>
    <t>4976万</t>
  </si>
  <si>
    <t>立讯精密</t>
  </si>
  <si>
    <t>11.5万</t>
  </si>
  <si>
    <t>5530万</t>
  </si>
  <si>
    <t>62.3亿</t>
  </si>
  <si>
    <t>科华控股</t>
  </si>
  <si>
    <t>3340万</t>
  </si>
  <si>
    <t>3014万</t>
  </si>
  <si>
    <t>2568万</t>
  </si>
  <si>
    <t>康尼机电</t>
  </si>
  <si>
    <t>188万</t>
  </si>
  <si>
    <t>9934万</t>
  </si>
  <si>
    <t>5405万</t>
  </si>
  <si>
    <t>绿色动力</t>
  </si>
  <si>
    <t>6822万</t>
  </si>
  <si>
    <t>6818万</t>
  </si>
  <si>
    <t>1197万</t>
  </si>
  <si>
    <t>S佳通</t>
  </si>
  <si>
    <t>6166万</t>
  </si>
  <si>
    <t>120万</t>
  </si>
  <si>
    <t>彩讯股份</t>
  </si>
  <si>
    <t>2615万</t>
  </si>
  <si>
    <t>230万</t>
  </si>
  <si>
    <t>2715万</t>
  </si>
  <si>
    <t>5446万</t>
  </si>
  <si>
    <t>安车检测</t>
  </si>
  <si>
    <t>5591万</t>
  </si>
  <si>
    <t>1778万</t>
  </si>
  <si>
    <t>1795万</t>
  </si>
  <si>
    <t>3931万</t>
  </si>
  <si>
    <t>50.3万</t>
  </si>
  <si>
    <t>梦洁股份</t>
  </si>
  <si>
    <t>5975万</t>
  </si>
  <si>
    <t>6121万</t>
  </si>
  <si>
    <t>5088万</t>
  </si>
  <si>
    <t>8345万</t>
  </si>
  <si>
    <t>大东海A</t>
  </si>
  <si>
    <t>989万</t>
  </si>
  <si>
    <t>-3.39亿</t>
  </si>
  <si>
    <t>8897万</t>
  </si>
  <si>
    <t>1620万</t>
  </si>
  <si>
    <t>986万</t>
  </si>
  <si>
    <t>837万</t>
  </si>
  <si>
    <t>7911万</t>
  </si>
  <si>
    <t>特发信息</t>
  </si>
  <si>
    <t>-77.8万</t>
  </si>
  <si>
    <t>6504万</t>
  </si>
  <si>
    <t>5077万</t>
  </si>
  <si>
    <t>深圳新星</t>
  </si>
  <si>
    <t>3951万</t>
  </si>
  <si>
    <t>3359万</t>
  </si>
  <si>
    <t>4910万</t>
  </si>
  <si>
    <t>大丰实业</t>
  </si>
  <si>
    <t>7773万</t>
  </si>
  <si>
    <t>4553万</t>
  </si>
  <si>
    <t>34.5万</t>
  </si>
  <si>
    <t>4603万</t>
  </si>
  <si>
    <t>3906万</t>
  </si>
  <si>
    <t>3479万</t>
  </si>
  <si>
    <t>玲珑轮胎</t>
  </si>
  <si>
    <t>-33.4万</t>
  </si>
  <si>
    <t>山东药玻</t>
  </si>
  <si>
    <t>9813万</t>
  </si>
  <si>
    <t>684万</t>
  </si>
  <si>
    <t>9793万</t>
  </si>
  <si>
    <t>3166万</t>
  </si>
  <si>
    <t>中天科技</t>
  </si>
  <si>
    <t>3455万</t>
  </si>
  <si>
    <t>泰嘉股份</t>
  </si>
  <si>
    <t>8400万</t>
  </si>
  <si>
    <t>1784万</t>
  </si>
  <si>
    <t>182万</t>
  </si>
  <si>
    <t>1779万</t>
  </si>
  <si>
    <t>7704万</t>
  </si>
  <si>
    <t>珠江钢琴</t>
  </si>
  <si>
    <t>4.77万</t>
  </si>
  <si>
    <t>6160万</t>
  </si>
  <si>
    <t>6007万</t>
  </si>
  <si>
    <t>5098万</t>
  </si>
  <si>
    <t>华锦股份</t>
  </si>
  <si>
    <t>308亿</t>
  </si>
  <si>
    <t>62.0亿</t>
  </si>
  <si>
    <t>XD圣龙股</t>
  </si>
  <si>
    <t>2774万</t>
  </si>
  <si>
    <t>612万</t>
  </si>
  <si>
    <t>2764万</t>
  </si>
  <si>
    <t>翰宇药业</t>
  </si>
  <si>
    <t>9825万</t>
  </si>
  <si>
    <t>奥马电器</t>
  </si>
  <si>
    <t>8042万</t>
  </si>
  <si>
    <t>3551万</t>
  </si>
  <si>
    <t>8280万</t>
  </si>
  <si>
    <t>66.3亿</t>
  </si>
  <si>
    <t>国星光电</t>
  </si>
  <si>
    <t>8607万</t>
  </si>
  <si>
    <t>199万</t>
  </si>
  <si>
    <t>9243万</t>
  </si>
  <si>
    <t>顺络电子</t>
  </si>
  <si>
    <t>6778万</t>
  </si>
  <si>
    <t>中南建设</t>
  </si>
  <si>
    <t>-2031万</t>
  </si>
  <si>
    <t>1903亿</t>
  </si>
  <si>
    <t>1807亿</t>
  </si>
  <si>
    <t>1728亿</t>
  </si>
  <si>
    <t>1285亿</t>
  </si>
  <si>
    <t>恒锋工具</t>
  </si>
  <si>
    <t>2501万</t>
  </si>
  <si>
    <t>7349万</t>
  </si>
  <si>
    <t>233万</t>
  </si>
  <si>
    <t>2640万</t>
  </si>
  <si>
    <t>2230万</t>
  </si>
  <si>
    <t>5682万</t>
  </si>
  <si>
    <t>昆仑万维</t>
  </si>
  <si>
    <t>2430万</t>
  </si>
  <si>
    <t>蓝色光标</t>
  </si>
  <si>
    <t>2.10万</t>
  </si>
  <si>
    <t>4295万</t>
  </si>
  <si>
    <t>89.9亿</t>
  </si>
  <si>
    <t>江苏国信</t>
  </si>
  <si>
    <t>-23.4亿</t>
  </si>
  <si>
    <t>465亿</t>
  </si>
  <si>
    <t>中核钛白</t>
  </si>
  <si>
    <t>8283万</t>
  </si>
  <si>
    <t>7557万</t>
  </si>
  <si>
    <t>中国铁建</t>
  </si>
  <si>
    <t>1316亿</t>
  </si>
  <si>
    <t>2154万</t>
  </si>
  <si>
    <t>824亿</t>
  </si>
  <si>
    <t>8251亿</t>
  </si>
  <si>
    <t>6522亿</t>
  </si>
  <si>
    <t>466亿</t>
  </si>
  <si>
    <t>6395亿</t>
  </si>
  <si>
    <t>5327亿</t>
  </si>
  <si>
    <t>404亿</t>
  </si>
  <si>
    <t>舒泰神</t>
  </si>
  <si>
    <t>6636万</t>
  </si>
  <si>
    <t>6985万</t>
  </si>
  <si>
    <t>中科电气</t>
  </si>
  <si>
    <t>3034万</t>
  </si>
  <si>
    <t>3064万</t>
  </si>
  <si>
    <t>2831万</t>
  </si>
  <si>
    <t>灵康药业</t>
  </si>
  <si>
    <t>589万</t>
  </si>
  <si>
    <t>宁波建工</t>
  </si>
  <si>
    <t>-5.98万</t>
  </si>
  <si>
    <t>9467万</t>
  </si>
  <si>
    <t>6488万</t>
  </si>
  <si>
    <t>一汽富维</t>
  </si>
  <si>
    <t>7947万</t>
  </si>
  <si>
    <t>贝斯特</t>
  </si>
  <si>
    <t>3642万</t>
  </si>
  <si>
    <t>318万</t>
  </si>
  <si>
    <t>3148万</t>
  </si>
  <si>
    <t>建艺集团</t>
  </si>
  <si>
    <t>3787万</t>
  </si>
  <si>
    <t>3633万</t>
  </si>
  <si>
    <t>2929万</t>
  </si>
  <si>
    <t>4968万</t>
  </si>
  <si>
    <t>569万</t>
  </si>
  <si>
    <t>光迅科技</t>
  </si>
  <si>
    <t>8132万</t>
  </si>
  <si>
    <t>8172万</t>
  </si>
  <si>
    <t>7777万</t>
  </si>
  <si>
    <t>中泰化学</t>
  </si>
  <si>
    <t>-1716万</t>
  </si>
  <si>
    <t>592亿</t>
  </si>
  <si>
    <t>397亿</t>
  </si>
  <si>
    <t>坤彩科技</t>
  </si>
  <si>
    <t>4245万</t>
  </si>
  <si>
    <t>80.1万</t>
  </si>
  <si>
    <t>4224万</t>
  </si>
  <si>
    <t>9266万</t>
  </si>
  <si>
    <t>6583万</t>
  </si>
  <si>
    <t>2684万</t>
  </si>
  <si>
    <t>腾龙股份</t>
  </si>
  <si>
    <t>3311万</t>
  </si>
  <si>
    <t>43.9万</t>
  </si>
  <si>
    <t>3313万</t>
  </si>
  <si>
    <t>2497万</t>
  </si>
  <si>
    <t>7563万</t>
  </si>
  <si>
    <t>华夏银行</t>
  </si>
  <si>
    <t>11.2万</t>
  </si>
  <si>
    <t>-1000万</t>
  </si>
  <si>
    <t>717亿</t>
  </si>
  <si>
    <t>2.54万亿</t>
  </si>
  <si>
    <t>2.37万亿</t>
  </si>
  <si>
    <t>1722亿</t>
  </si>
  <si>
    <t>富邦股份</t>
  </si>
  <si>
    <t>1962万</t>
  </si>
  <si>
    <t>1968万</t>
  </si>
  <si>
    <t>1845万</t>
  </si>
  <si>
    <t>洪汇新材</t>
  </si>
  <si>
    <t>3641万</t>
  </si>
  <si>
    <t>1780万</t>
  </si>
  <si>
    <t>283万</t>
  </si>
  <si>
    <t>4928万</t>
  </si>
  <si>
    <t>3706万</t>
  </si>
  <si>
    <t>1222万</t>
  </si>
  <si>
    <t>创维数字</t>
  </si>
  <si>
    <t>7296万</t>
  </si>
  <si>
    <t>7267万</t>
  </si>
  <si>
    <t>6745万</t>
  </si>
  <si>
    <t>鼎胜新材</t>
  </si>
  <si>
    <t>6793万</t>
  </si>
  <si>
    <t>-761万</t>
  </si>
  <si>
    <t>7163万</t>
  </si>
  <si>
    <t>5906万</t>
  </si>
  <si>
    <t>外运发展</t>
  </si>
  <si>
    <t>道明光学</t>
  </si>
  <si>
    <t>5439万</t>
  </si>
  <si>
    <t>78.6万</t>
  </si>
  <si>
    <t>5433万</t>
  </si>
  <si>
    <t>3518万</t>
  </si>
  <si>
    <t>莎普爱思</t>
  </si>
  <si>
    <t>4955万</t>
  </si>
  <si>
    <t>144万</t>
  </si>
  <si>
    <t>4085万</t>
  </si>
  <si>
    <t>润达医疗</t>
  </si>
  <si>
    <t>5643万</t>
  </si>
  <si>
    <t>光明乳业</t>
  </si>
  <si>
    <t>218万</t>
  </si>
  <si>
    <t>87.4亿</t>
  </si>
  <si>
    <t>电工合金</t>
  </si>
  <si>
    <t>2281万</t>
  </si>
  <si>
    <t>181万</t>
  </si>
  <si>
    <t>2282万</t>
  </si>
  <si>
    <t>1739万</t>
  </si>
  <si>
    <t>蓝晓科技</t>
  </si>
  <si>
    <t>60.2万</t>
  </si>
  <si>
    <t>2012万</t>
  </si>
  <si>
    <t>1335万</t>
  </si>
  <si>
    <t>当升科技</t>
  </si>
  <si>
    <t>4581万</t>
  </si>
  <si>
    <t>4590万</t>
  </si>
  <si>
    <t>3908万</t>
  </si>
  <si>
    <t>浙商中拓</t>
  </si>
  <si>
    <t>8364万</t>
  </si>
  <si>
    <t>-70.7万</t>
  </si>
  <si>
    <t>8534万</t>
  </si>
  <si>
    <t>5715万</t>
  </si>
  <si>
    <t>83.0亿</t>
  </si>
  <si>
    <t>葛洲坝</t>
  </si>
  <si>
    <t>1954亿</t>
  </si>
  <si>
    <t>1287亿</t>
  </si>
  <si>
    <t>1422亿</t>
  </si>
  <si>
    <t>938亿</t>
  </si>
  <si>
    <t>484亿</t>
  </si>
  <si>
    <t>诺力股份</t>
  </si>
  <si>
    <t>4788万</t>
  </si>
  <si>
    <t>254万</t>
  </si>
  <si>
    <t>3907万</t>
  </si>
  <si>
    <t>2773万</t>
  </si>
  <si>
    <t>精达股份</t>
  </si>
  <si>
    <t>7289万</t>
  </si>
  <si>
    <t>9.41亿</t>
  </si>
  <si>
    <t>1952万</t>
  </si>
  <si>
    <t>建发股份</t>
  </si>
  <si>
    <t>3.02万</t>
  </si>
  <si>
    <t>8.97亿</t>
  </si>
  <si>
    <t>2063亿</t>
  </si>
  <si>
    <t>1795亿</t>
  </si>
  <si>
    <t>1617亿</t>
  </si>
  <si>
    <t>1107亿</t>
  </si>
  <si>
    <t>510亿</t>
  </si>
  <si>
    <t>上海钢联</t>
  </si>
  <si>
    <t>3710万</t>
  </si>
  <si>
    <t>3713万</t>
  </si>
  <si>
    <t>2036万</t>
  </si>
  <si>
    <t>-5816万</t>
  </si>
  <si>
    <t>3981万</t>
  </si>
  <si>
    <t>全 聚 德</t>
  </si>
  <si>
    <t>522万</t>
  </si>
  <si>
    <t>3718万</t>
  </si>
  <si>
    <t>1206万</t>
  </si>
  <si>
    <t>茂业通信</t>
  </si>
  <si>
    <t>37.1万</t>
  </si>
  <si>
    <t>7426万</t>
  </si>
  <si>
    <t>6545万</t>
  </si>
  <si>
    <t>7066万</t>
  </si>
  <si>
    <t>228万</t>
  </si>
  <si>
    <t>时代出版</t>
  </si>
  <si>
    <t>2.79万</t>
  </si>
  <si>
    <t>12.2万</t>
  </si>
  <si>
    <t>铁龙物流</t>
  </si>
  <si>
    <t>明泰铝业</t>
  </si>
  <si>
    <t>2.50万</t>
  </si>
  <si>
    <t>296万</t>
  </si>
  <si>
    <t>89.5亿</t>
  </si>
  <si>
    <t>1967万</t>
  </si>
  <si>
    <t>华信新材</t>
  </si>
  <si>
    <t>2560万</t>
  </si>
  <si>
    <t>7975万</t>
  </si>
  <si>
    <t>1456万</t>
  </si>
  <si>
    <t>50.1万</t>
  </si>
  <si>
    <t>1452万</t>
  </si>
  <si>
    <t>1235万</t>
  </si>
  <si>
    <t>5044万</t>
  </si>
  <si>
    <t>4132万</t>
  </si>
  <si>
    <t>华大基因</t>
  </si>
  <si>
    <t>1728万</t>
  </si>
  <si>
    <t>4448万</t>
  </si>
  <si>
    <t>三圣股份</t>
  </si>
  <si>
    <t>5037万</t>
  </si>
  <si>
    <t>5043万</t>
  </si>
  <si>
    <t>普莱柯</t>
  </si>
  <si>
    <t>4262万</t>
  </si>
  <si>
    <t>607万</t>
  </si>
  <si>
    <t>4436万</t>
  </si>
  <si>
    <t>2811万</t>
  </si>
  <si>
    <t>东方银星</t>
  </si>
  <si>
    <t>389万</t>
  </si>
  <si>
    <t>-1.04亿</t>
  </si>
  <si>
    <t>59.0万</t>
  </si>
  <si>
    <t>7154万</t>
  </si>
  <si>
    <t>ST岩石</t>
  </si>
  <si>
    <t>1878万</t>
  </si>
  <si>
    <t>867万</t>
  </si>
  <si>
    <t>-1.31亿</t>
  </si>
  <si>
    <t>327万</t>
  </si>
  <si>
    <t>1373万</t>
  </si>
  <si>
    <t>4180万</t>
  </si>
  <si>
    <t>新湖中宝</t>
  </si>
  <si>
    <t>8.41万</t>
  </si>
  <si>
    <t>9.84亿</t>
  </si>
  <si>
    <t>9.81亿</t>
  </si>
  <si>
    <t>1313亿</t>
  </si>
  <si>
    <t>866亿</t>
  </si>
  <si>
    <t>975亿</t>
  </si>
  <si>
    <t>79.4亿</t>
  </si>
  <si>
    <t>科锐国际</t>
  </si>
  <si>
    <t>4500万</t>
  </si>
  <si>
    <t>49.4万</t>
  </si>
  <si>
    <t>2472万</t>
  </si>
  <si>
    <t>1515万</t>
  </si>
  <si>
    <t>江苏雷利</t>
  </si>
  <si>
    <t>4549万</t>
  </si>
  <si>
    <t>5633万</t>
  </si>
  <si>
    <t>5631万</t>
  </si>
  <si>
    <t>4841万</t>
  </si>
  <si>
    <t>23.6万</t>
  </si>
  <si>
    <t>尚荣医疗</t>
  </si>
  <si>
    <t>-86.9万</t>
  </si>
  <si>
    <t>7417万</t>
  </si>
  <si>
    <t>5471万</t>
  </si>
  <si>
    <t>科华生物</t>
  </si>
  <si>
    <t>6543万</t>
  </si>
  <si>
    <t>4853万</t>
  </si>
  <si>
    <t>永新股份</t>
  </si>
  <si>
    <t>5151万</t>
  </si>
  <si>
    <t>5155万</t>
  </si>
  <si>
    <t>4289万</t>
  </si>
  <si>
    <t>深 赛 格</t>
  </si>
  <si>
    <t>4359万</t>
  </si>
  <si>
    <t>6262万</t>
  </si>
  <si>
    <t>首商股份</t>
  </si>
  <si>
    <t>998万</t>
  </si>
  <si>
    <t>9024万</t>
  </si>
  <si>
    <t>岭南股份</t>
  </si>
  <si>
    <t>8776万</t>
  </si>
  <si>
    <t>滨江集团</t>
  </si>
  <si>
    <t>3832万</t>
  </si>
  <si>
    <t>673亿</t>
  </si>
  <si>
    <t>606亿</t>
  </si>
  <si>
    <t>505亿</t>
  </si>
  <si>
    <t>银亿股份</t>
  </si>
  <si>
    <t>14.5万</t>
  </si>
  <si>
    <t>432亿</t>
  </si>
  <si>
    <t>95.1亿</t>
  </si>
  <si>
    <t>凯利泰</t>
  </si>
  <si>
    <t>2.54万</t>
  </si>
  <si>
    <t>5627万</t>
  </si>
  <si>
    <t>海兰信</t>
  </si>
  <si>
    <t>1.31万</t>
  </si>
  <si>
    <t>4896万</t>
  </si>
  <si>
    <t>4883万</t>
  </si>
  <si>
    <t>2939万</t>
  </si>
  <si>
    <t>6875万</t>
  </si>
  <si>
    <t>9421万</t>
  </si>
  <si>
    <t>光华科技</t>
  </si>
  <si>
    <t>2687万</t>
  </si>
  <si>
    <t>2853万</t>
  </si>
  <si>
    <t>恒宝股份</t>
  </si>
  <si>
    <t>4755万</t>
  </si>
  <si>
    <t>4810万</t>
  </si>
  <si>
    <t>4324万</t>
  </si>
  <si>
    <t>2017万</t>
  </si>
  <si>
    <t>7450万</t>
  </si>
  <si>
    <t>TCL 集团</t>
  </si>
  <si>
    <t>2.43万</t>
  </si>
  <si>
    <t>1631亿</t>
  </si>
  <si>
    <t>1059亿</t>
  </si>
  <si>
    <t>712亿</t>
  </si>
  <si>
    <t>347亿</t>
  </si>
  <si>
    <t>飞亚达Ａ</t>
  </si>
  <si>
    <t>7828万</t>
  </si>
  <si>
    <t>7844万</t>
  </si>
  <si>
    <t>8566万</t>
  </si>
  <si>
    <t>8165万</t>
  </si>
  <si>
    <t>通威股份</t>
  </si>
  <si>
    <t>5.08万</t>
  </si>
  <si>
    <t>1025万</t>
  </si>
  <si>
    <t>华业资本</t>
  </si>
  <si>
    <t>78.2亿</t>
  </si>
  <si>
    <t>*ST佳电</t>
  </si>
  <si>
    <t>5091万</t>
  </si>
  <si>
    <t>5178万</t>
  </si>
  <si>
    <t>-2.00亿</t>
  </si>
  <si>
    <t>天永智能</t>
  </si>
  <si>
    <t>1424万</t>
  </si>
  <si>
    <t>38.5万</t>
  </si>
  <si>
    <t>1212万</t>
  </si>
  <si>
    <t>海立股份</t>
  </si>
  <si>
    <t>1.44万</t>
  </si>
  <si>
    <t>52.3万</t>
  </si>
  <si>
    <t>9951万</t>
  </si>
  <si>
    <t>85.0亿</t>
  </si>
  <si>
    <t>汉得信息</t>
  </si>
  <si>
    <t>5855万</t>
  </si>
  <si>
    <t>-481万</t>
  </si>
  <si>
    <t>6816万</t>
  </si>
  <si>
    <t>5970万</t>
  </si>
  <si>
    <t>1673万</t>
  </si>
  <si>
    <t>高新兴</t>
  </si>
  <si>
    <t>-229万</t>
  </si>
  <si>
    <t>同花顺</t>
  </si>
  <si>
    <t>629万</t>
  </si>
  <si>
    <t>9070万</t>
  </si>
  <si>
    <t>7534万</t>
  </si>
  <si>
    <t>588万</t>
  </si>
  <si>
    <t>亿纬锂能</t>
  </si>
  <si>
    <t>3598万</t>
  </si>
  <si>
    <t>7645万</t>
  </si>
  <si>
    <t>7423万</t>
  </si>
  <si>
    <t>83.2亿</t>
  </si>
  <si>
    <t>伟隆股份</t>
  </si>
  <si>
    <t>2890万</t>
  </si>
  <si>
    <t>5882万</t>
  </si>
  <si>
    <t>1128万</t>
  </si>
  <si>
    <t>341万</t>
  </si>
  <si>
    <t>1548万</t>
  </si>
  <si>
    <t>1319万</t>
  </si>
  <si>
    <t>9970万</t>
  </si>
  <si>
    <t>728万</t>
  </si>
  <si>
    <t>兴蓉环境</t>
  </si>
  <si>
    <t>-2.40万</t>
  </si>
  <si>
    <t>华联控股</t>
  </si>
  <si>
    <t>国电电力</t>
  </si>
  <si>
    <t>2793亿</t>
  </si>
  <si>
    <t>1935亿</t>
  </si>
  <si>
    <t>2052亿</t>
  </si>
  <si>
    <t>1339亿</t>
  </si>
  <si>
    <t>526亿</t>
  </si>
  <si>
    <t>方盛制药</t>
  </si>
  <si>
    <t>2798万</t>
  </si>
  <si>
    <t>-129万</t>
  </si>
  <si>
    <t>2865万</t>
  </si>
  <si>
    <t>2337万</t>
  </si>
  <si>
    <t>5353万</t>
  </si>
  <si>
    <t>上海亚虹</t>
  </si>
  <si>
    <t>955万</t>
  </si>
  <si>
    <t>25.9万</t>
  </si>
  <si>
    <t>1256万</t>
  </si>
  <si>
    <t>京运通</t>
  </si>
  <si>
    <t>366万</t>
  </si>
  <si>
    <t>77.2亿</t>
  </si>
  <si>
    <t>骆驼股份</t>
  </si>
  <si>
    <t>542万</t>
  </si>
  <si>
    <t>山东出版</t>
  </si>
  <si>
    <t>1116万</t>
  </si>
  <si>
    <t>中石科技</t>
  </si>
  <si>
    <t>8687万</t>
  </si>
  <si>
    <t>1301万</t>
  </si>
  <si>
    <t>30.1万</t>
  </si>
  <si>
    <t>1465万</t>
  </si>
  <si>
    <t>中大力德</t>
  </si>
  <si>
    <t>1267万</t>
  </si>
  <si>
    <t>特一药业</t>
  </si>
  <si>
    <t>2638万</t>
  </si>
  <si>
    <t>3083万</t>
  </si>
  <si>
    <t>2479万</t>
  </si>
  <si>
    <t>盛路通信</t>
  </si>
  <si>
    <t>387万</t>
  </si>
  <si>
    <t>6687万</t>
  </si>
  <si>
    <t>必康股份</t>
  </si>
  <si>
    <t>京东方Ａ</t>
  </si>
  <si>
    <t>8360万</t>
  </si>
  <si>
    <t>2627亿</t>
  </si>
  <si>
    <t>962亿</t>
  </si>
  <si>
    <t>861亿</t>
  </si>
  <si>
    <t>1563亿</t>
  </si>
  <si>
    <t>496亿</t>
  </si>
  <si>
    <t>1068亿</t>
  </si>
  <si>
    <t>上港集团</t>
  </si>
  <si>
    <t>8.95万</t>
  </si>
  <si>
    <t>1425亿</t>
  </si>
  <si>
    <t>715亿</t>
  </si>
  <si>
    <t>菲林格尔</t>
  </si>
  <si>
    <t>2167万</t>
  </si>
  <si>
    <t>2039万</t>
  </si>
  <si>
    <t>乐惠国际</t>
  </si>
  <si>
    <t>1865万</t>
  </si>
  <si>
    <t>2434万</t>
  </si>
  <si>
    <t>7.48万</t>
  </si>
  <si>
    <t>2438万</t>
  </si>
  <si>
    <t>1824万</t>
  </si>
  <si>
    <t>478万</t>
  </si>
  <si>
    <t>上海机电</t>
  </si>
  <si>
    <t>益民集团</t>
  </si>
  <si>
    <t>6540万</t>
  </si>
  <si>
    <t>67.1万</t>
  </si>
  <si>
    <t>749万</t>
  </si>
  <si>
    <t>益佰制药</t>
  </si>
  <si>
    <t>8.23亿</t>
  </si>
  <si>
    <t>国祯环保</t>
  </si>
  <si>
    <t>5903万</t>
  </si>
  <si>
    <t>351万</t>
  </si>
  <si>
    <t>5998万</t>
  </si>
  <si>
    <t>4538万</t>
  </si>
  <si>
    <t>康强电子</t>
  </si>
  <si>
    <t>2535万</t>
  </si>
  <si>
    <t>2532万</t>
  </si>
  <si>
    <t>1752万</t>
  </si>
  <si>
    <t>5.85亿</t>
  </si>
  <si>
    <t>4186万</t>
  </si>
  <si>
    <t>南京公用</t>
  </si>
  <si>
    <t>4431万</t>
  </si>
  <si>
    <t>5850万</t>
  </si>
  <si>
    <t>泛微网络</t>
  </si>
  <si>
    <t>3990万</t>
  </si>
  <si>
    <t>1416万</t>
  </si>
  <si>
    <t>84.5万</t>
  </si>
  <si>
    <t>1403万</t>
  </si>
  <si>
    <t>8304万</t>
  </si>
  <si>
    <t>湖南盐业</t>
  </si>
  <si>
    <t>5973万</t>
  </si>
  <si>
    <t>红旗连锁</t>
  </si>
  <si>
    <t>6560万</t>
  </si>
  <si>
    <t>863万</t>
  </si>
  <si>
    <t>6602万</t>
  </si>
  <si>
    <t>4374万</t>
  </si>
  <si>
    <t>誉衡药业</t>
  </si>
  <si>
    <t>793万</t>
  </si>
  <si>
    <t>9816万</t>
  </si>
  <si>
    <t>川化股份</t>
  </si>
  <si>
    <t>1138万</t>
  </si>
  <si>
    <t>-17.0亿</t>
  </si>
  <si>
    <t>三江购物</t>
  </si>
  <si>
    <t>5213万</t>
  </si>
  <si>
    <t>792万</t>
  </si>
  <si>
    <t>华泰股份</t>
  </si>
  <si>
    <t>59.0亿</t>
  </si>
  <si>
    <t>天目湖</t>
  </si>
  <si>
    <t>9011万</t>
  </si>
  <si>
    <t>2474万</t>
  </si>
  <si>
    <t>1763万</t>
  </si>
  <si>
    <t>中材国际</t>
  </si>
  <si>
    <t>-141万</t>
  </si>
  <si>
    <t>浦东金桥</t>
  </si>
  <si>
    <t>89.6亿</t>
  </si>
  <si>
    <t>幸福蓝海</t>
  </si>
  <si>
    <t>4958万</t>
  </si>
  <si>
    <t>984万</t>
  </si>
  <si>
    <t>5021万</t>
  </si>
  <si>
    <t>4503万</t>
  </si>
  <si>
    <t>1042万</t>
  </si>
  <si>
    <t>瑞丰光电</t>
  </si>
  <si>
    <t>3260万</t>
  </si>
  <si>
    <t>82.7万</t>
  </si>
  <si>
    <t>3259万</t>
  </si>
  <si>
    <t>2859万</t>
  </si>
  <si>
    <t>威星智能</t>
  </si>
  <si>
    <t>5749万</t>
  </si>
  <si>
    <t>1390万</t>
  </si>
  <si>
    <t>1389万</t>
  </si>
  <si>
    <t>1146万</t>
  </si>
  <si>
    <t>2462万</t>
  </si>
  <si>
    <t>293万</t>
  </si>
  <si>
    <t>立霸股份</t>
  </si>
  <si>
    <t>2015万</t>
  </si>
  <si>
    <t>9.28万</t>
  </si>
  <si>
    <t>1684万</t>
  </si>
  <si>
    <t>8495万</t>
  </si>
  <si>
    <t>56.0万</t>
  </si>
  <si>
    <t>吴江银行</t>
  </si>
  <si>
    <t>2506万</t>
  </si>
  <si>
    <t>1019亿</t>
  </si>
  <si>
    <t>932亿</t>
  </si>
  <si>
    <t>宜华生活</t>
  </si>
  <si>
    <t>-161万</t>
  </si>
  <si>
    <t>81.0亿</t>
  </si>
  <si>
    <t>海航控股</t>
  </si>
  <si>
    <t>1865亿</t>
  </si>
  <si>
    <t>1115亿</t>
  </si>
  <si>
    <t>588亿</t>
  </si>
  <si>
    <t>527亿</t>
  </si>
  <si>
    <t>奇信股份</t>
  </si>
  <si>
    <t>9160万</t>
  </si>
  <si>
    <t>5234万</t>
  </si>
  <si>
    <t>4138万</t>
  </si>
  <si>
    <t>2163万</t>
  </si>
  <si>
    <t>濮耐股份</t>
  </si>
  <si>
    <t>7095万</t>
  </si>
  <si>
    <t>-16.4万</t>
  </si>
  <si>
    <t>6817万</t>
  </si>
  <si>
    <t>5485万</t>
  </si>
  <si>
    <t>中国长城</t>
  </si>
  <si>
    <t>1.59万</t>
  </si>
  <si>
    <t>金枫酒业</t>
  </si>
  <si>
    <t>6192万</t>
  </si>
  <si>
    <t>4691万</t>
  </si>
  <si>
    <t>9712万</t>
  </si>
  <si>
    <t>九鼎投资</t>
  </si>
  <si>
    <t>1828万</t>
  </si>
  <si>
    <t>5653万</t>
  </si>
  <si>
    <t>4614万</t>
  </si>
  <si>
    <t>江丰电子</t>
  </si>
  <si>
    <t>1380万</t>
  </si>
  <si>
    <t>5.86万</t>
  </si>
  <si>
    <t>光莆股份</t>
  </si>
  <si>
    <t>1305万</t>
  </si>
  <si>
    <t>18.4万</t>
  </si>
  <si>
    <t>1350万</t>
  </si>
  <si>
    <t>1190万</t>
  </si>
  <si>
    <t>456万</t>
  </si>
  <si>
    <t>菲利华</t>
  </si>
  <si>
    <t>2.52万</t>
  </si>
  <si>
    <t>2537万</t>
  </si>
  <si>
    <t>34.0万</t>
  </si>
  <si>
    <t>2510万</t>
  </si>
  <si>
    <t>2104万</t>
  </si>
  <si>
    <t>2122万</t>
  </si>
  <si>
    <t>云内动力</t>
  </si>
  <si>
    <t>2.32万</t>
  </si>
  <si>
    <t>65.5亿</t>
  </si>
  <si>
    <t>金鸿顺</t>
  </si>
  <si>
    <t>690万</t>
  </si>
  <si>
    <t>2941万</t>
  </si>
  <si>
    <t>2566万</t>
  </si>
  <si>
    <t>487万</t>
  </si>
  <si>
    <t>皖天然气</t>
  </si>
  <si>
    <t>5641万</t>
  </si>
  <si>
    <t>5640万</t>
  </si>
  <si>
    <t>4308万</t>
  </si>
  <si>
    <t>XD金辰股</t>
  </si>
  <si>
    <t>1889万</t>
  </si>
  <si>
    <t>2423万</t>
  </si>
  <si>
    <t>1906万</t>
  </si>
  <si>
    <t>150万</t>
  </si>
  <si>
    <t>绿城水务</t>
  </si>
  <si>
    <t>8324万</t>
  </si>
  <si>
    <t>8368万</t>
  </si>
  <si>
    <t>82.8亿</t>
  </si>
  <si>
    <t>锦江投资</t>
  </si>
  <si>
    <t>9894万</t>
  </si>
  <si>
    <t>3044万</t>
  </si>
  <si>
    <t>7679万</t>
  </si>
  <si>
    <t>索菲亚</t>
  </si>
  <si>
    <t>2.76万</t>
  </si>
  <si>
    <t>768万</t>
  </si>
  <si>
    <t>南卫股份</t>
  </si>
  <si>
    <t>7.08万</t>
  </si>
  <si>
    <t>1220万</t>
  </si>
  <si>
    <t>1007万</t>
  </si>
  <si>
    <t>泰瑞机器</t>
  </si>
  <si>
    <t>6630万</t>
  </si>
  <si>
    <t>2463万</t>
  </si>
  <si>
    <t>2034万</t>
  </si>
  <si>
    <t>圣邦股份</t>
  </si>
  <si>
    <t>3238万</t>
  </si>
  <si>
    <t>437万</t>
  </si>
  <si>
    <t>1749万</t>
  </si>
  <si>
    <t>1125万</t>
  </si>
  <si>
    <t>3576万</t>
  </si>
  <si>
    <t>联得装备</t>
  </si>
  <si>
    <t>1361万</t>
  </si>
  <si>
    <t>1421万</t>
  </si>
  <si>
    <t>和佳股份</t>
  </si>
  <si>
    <t>7147万</t>
  </si>
  <si>
    <t>323万</t>
  </si>
  <si>
    <t>7428万</t>
  </si>
  <si>
    <t>5522万</t>
  </si>
  <si>
    <t>宝通科技</t>
  </si>
  <si>
    <t>6182万</t>
  </si>
  <si>
    <t>6279万</t>
  </si>
  <si>
    <t>5366万</t>
  </si>
  <si>
    <t>奥士康</t>
  </si>
  <si>
    <t>3601万</t>
  </si>
  <si>
    <t>571万</t>
  </si>
  <si>
    <t>5317万</t>
  </si>
  <si>
    <t>4509万</t>
  </si>
  <si>
    <t>1965万</t>
  </si>
  <si>
    <t>横店东磁</t>
  </si>
  <si>
    <t>508万</t>
  </si>
  <si>
    <t>浙江东方</t>
  </si>
  <si>
    <t>同济堂</t>
  </si>
  <si>
    <t>56.5亿</t>
  </si>
  <si>
    <t>博创科技</t>
  </si>
  <si>
    <t>8267万</t>
  </si>
  <si>
    <t>3411万</t>
  </si>
  <si>
    <t>7247万</t>
  </si>
  <si>
    <t>1627万</t>
  </si>
  <si>
    <t>1690万</t>
  </si>
  <si>
    <t>6507万</t>
  </si>
  <si>
    <t>1240万</t>
  </si>
  <si>
    <t>格林美</t>
  </si>
  <si>
    <t>-766万</t>
  </si>
  <si>
    <t>杭电股份</t>
  </si>
  <si>
    <t>5587万</t>
  </si>
  <si>
    <t>-690万</t>
  </si>
  <si>
    <t>5534万</t>
  </si>
  <si>
    <t>4473万</t>
  </si>
  <si>
    <t>秀强股份</t>
  </si>
  <si>
    <t>3771万</t>
  </si>
  <si>
    <t>3748万</t>
  </si>
  <si>
    <t>双塔食品</t>
  </si>
  <si>
    <t>6835万</t>
  </si>
  <si>
    <t>5887万</t>
  </si>
  <si>
    <t>韶能股份</t>
  </si>
  <si>
    <t>起步股份</t>
  </si>
  <si>
    <t>4700万</t>
  </si>
  <si>
    <t>4071万</t>
  </si>
  <si>
    <t>3157万</t>
  </si>
  <si>
    <t>厦门象屿</t>
  </si>
  <si>
    <t>5417万</t>
  </si>
  <si>
    <t>551亿</t>
  </si>
  <si>
    <t>358亿</t>
  </si>
  <si>
    <t>激智科技</t>
  </si>
  <si>
    <t>7276万</t>
  </si>
  <si>
    <t>1724万</t>
  </si>
  <si>
    <t>46.6万</t>
  </si>
  <si>
    <t>1744万</t>
  </si>
  <si>
    <t>腾邦国际</t>
  </si>
  <si>
    <t>9781万</t>
  </si>
  <si>
    <t>9768万</t>
  </si>
  <si>
    <t>6018万</t>
  </si>
  <si>
    <t>朗姿股份</t>
  </si>
  <si>
    <t>7535万</t>
  </si>
  <si>
    <t>6495万</t>
  </si>
  <si>
    <t>6990万</t>
  </si>
  <si>
    <t>6033万</t>
  </si>
  <si>
    <t>福星股份</t>
  </si>
  <si>
    <t>2.13万</t>
  </si>
  <si>
    <t>469亿</t>
  </si>
  <si>
    <t>徐工机械</t>
  </si>
  <si>
    <t>8147万</t>
  </si>
  <si>
    <t>531亿</t>
  </si>
  <si>
    <t>龙蟠科技</t>
  </si>
  <si>
    <t>9333万</t>
  </si>
  <si>
    <t>3346万</t>
  </si>
  <si>
    <t>117万</t>
  </si>
  <si>
    <t>3450万</t>
  </si>
  <si>
    <t>2856万</t>
  </si>
  <si>
    <t>思维列控</t>
  </si>
  <si>
    <t>6520万</t>
  </si>
  <si>
    <t>7314万</t>
  </si>
  <si>
    <t>1425万</t>
  </si>
  <si>
    <t>7312万</t>
  </si>
  <si>
    <t>5713万</t>
  </si>
  <si>
    <t>376万</t>
  </si>
  <si>
    <t>莱克电气</t>
  </si>
  <si>
    <t>8795万</t>
  </si>
  <si>
    <t>-49.8万</t>
  </si>
  <si>
    <t>8940万</t>
  </si>
  <si>
    <t>7259万</t>
  </si>
  <si>
    <t>1435万</t>
  </si>
  <si>
    <t>重庆水务</t>
  </si>
  <si>
    <t>9.76万</t>
  </si>
  <si>
    <t>1760万</t>
  </si>
  <si>
    <t>70.4亿</t>
  </si>
  <si>
    <t>中铁工业</t>
  </si>
  <si>
    <t>1103万</t>
  </si>
  <si>
    <t>昆药集团</t>
  </si>
  <si>
    <t>8225万</t>
  </si>
  <si>
    <t>润禾材料</t>
  </si>
  <si>
    <t>9760万</t>
  </si>
  <si>
    <t>2440万</t>
  </si>
  <si>
    <t>1202万</t>
  </si>
  <si>
    <t>1044万</t>
  </si>
  <si>
    <t>新文化</t>
  </si>
  <si>
    <t>7757万</t>
  </si>
  <si>
    <t>-75.3万</t>
  </si>
  <si>
    <t>6742万</t>
  </si>
  <si>
    <t>7912万</t>
  </si>
  <si>
    <t>银禧科技</t>
  </si>
  <si>
    <t>5748万</t>
  </si>
  <si>
    <t>-2.48万</t>
  </si>
  <si>
    <t>5794万</t>
  </si>
  <si>
    <t>5015万</t>
  </si>
  <si>
    <t>宏川智慧</t>
  </si>
  <si>
    <t>6083万</t>
  </si>
  <si>
    <t>9685万</t>
  </si>
  <si>
    <t>3794万</t>
  </si>
  <si>
    <t>3729万</t>
  </si>
  <si>
    <t>2698万</t>
  </si>
  <si>
    <t>京新药业</t>
  </si>
  <si>
    <t>853万</t>
  </si>
  <si>
    <t>6779万</t>
  </si>
  <si>
    <t>大冶特钢</t>
  </si>
  <si>
    <t>9056万</t>
  </si>
  <si>
    <t>大同煤业</t>
  </si>
  <si>
    <t>2948万</t>
  </si>
  <si>
    <t>72.9亿</t>
  </si>
  <si>
    <t>中视传媒</t>
  </si>
  <si>
    <t>新疆浩源</t>
  </si>
  <si>
    <t>2542万</t>
  </si>
  <si>
    <t>44.2万</t>
  </si>
  <si>
    <t>来伊份</t>
  </si>
  <si>
    <t>6503万</t>
  </si>
  <si>
    <t>587万</t>
  </si>
  <si>
    <t>4232万</t>
  </si>
  <si>
    <t>7497万</t>
  </si>
  <si>
    <t>华瑞股份</t>
  </si>
  <si>
    <t>9388万</t>
  </si>
  <si>
    <t>1364万</t>
  </si>
  <si>
    <t>1077万</t>
  </si>
  <si>
    <t>2178万</t>
  </si>
  <si>
    <t>南都电源</t>
  </si>
  <si>
    <t>-597万</t>
  </si>
  <si>
    <t>金信诺</t>
  </si>
  <si>
    <t>7836万</t>
  </si>
  <si>
    <t>-34.4万</t>
  </si>
  <si>
    <t>7909万</t>
  </si>
  <si>
    <t>5020万</t>
  </si>
  <si>
    <t>京山轻机</t>
  </si>
  <si>
    <t>4773万</t>
  </si>
  <si>
    <t>4166万</t>
  </si>
  <si>
    <t>华体科技</t>
  </si>
  <si>
    <t>1162万</t>
  </si>
  <si>
    <t>5578万</t>
  </si>
  <si>
    <t>日科化学</t>
  </si>
  <si>
    <t>普洛药业</t>
  </si>
  <si>
    <t>鲁 泰Ａ</t>
  </si>
  <si>
    <t>兴业矿业</t>
  </si>
  <si>
    <t>新疆火炬</t>
  </si>
  <si>
    <t>9911万</t>
  </si>
  <si>
    <t>2103万</t>
  </si>
  <si>
    <t>9864万</t>
  </si>
  <si>
    <t>华钰矿业</t>
  </si>
  <si>
    <t>4462万</t>
  </si>
  <si>
    <t>-298万</t>
  </si>
  <si>
    <t>3957万</t>
  </si>
  <si>
    <t>广生堂</t>
  </si>
  <si>
    <t>8730万</t>
  </si>
  <si>
    <t>1409万</t>
  </si>
  <si>
    <t>-130万</t>
  </si>
  <si>
    <t>1406万</t>
  </si>
  <si>
    <t>1209万</t>
  </si>
  <si>
    <t>1549万</t>
  </si>
  <si>
    <t>温州宏丰</t>
  </si>
  <si>
    <t>1377万</t>
  </si>
  <si>
    <t>1365万</t>
  </si>
  <si>
    <t>1242万</t>
  </si>
  <si>
    <t>8.18亿</t>
  </si>
  <si>
    <t>1705万</t>
  </si>
  <si>
    <t>微光股份</t>
  </si>
  <si>
    <t>2944万</t>
  </si>
  <si>
    <t>拓邦股份</t>
  </si>
  <si>
    <t>5337万</t>
  </si>
  <si>
    <t>98.9万</t>
  </si>
  <si>
    <t>5301万</t>
  </si>
  <si>
    <t>4254万</t>
  </si>
  <si>
    <t>1495万</t>
  </si>
  <si>
    <t>弘讯科技</t>
  </si>
  <si>
    <t>2517万</t>
  </si>
  <si>
    <t>2575万</t>
  </si>
  <si>
    <t>华泰证券</t>
  </si>
  <si>
    <t>3998亿</t>
  </si>
  <si>
    <t>3096亿</t>
  </si>
  <si>
    <t>889亿</t>
  </si>
  <si>
    <t>458亿</t>
  </si>
  <si>
    <t>天通股份</t>
  </si>
  <si>
    <t>7683万</t>
  </si>
  <si>
    <t>821万</t>
  </si>
  <si>
    <t>当代明诚</t>
  </si>
  <si>
    <t>6942万</t>
  </si>
  <si>
    <t>6971万</t>
  </si>
  <si>
    <t>1758万</t>
  </si>
  <si>
    <t>洁美科技</t>
  </si>
  <si>
    <t>3361万</t>
  </si>
  <si>
    <t>8.44万</t>
  </si>
  <si>
    <t>3356万</t>
  </si>
  <si>
    <t>2943万</t>
  </si>
  <si>
    <t>6176万</t>
  </si>
  <si>
    <t>鹭燕医药</t>
  </si>
  <si>
    <t>4969万</t>
  </si>
  <si>
    <t>长青股份</t>
  </si>
  <si>
    <t>7707万</t>
  </si>
  <si>
    <t>6645万</t>
  </si>
  <si>
    <t>荣盛发展</t>
  </si>
  <si>
    <t>-1227万</t>
  </si>
  <si>
    <t>1977亿</t>
  </si>
  <si>
    <t>1859亿</t>
  </si>
  <si>
    <t>1676亿</t>
  </si>
  <si>
    <t>1262亿</t>
  </si>
  <si>
    <t>正川股份</t>
  </si>
  <si>
    <t>3780万</t>
  </si>
  <si>
    <t>2454万</t>
  </si>
  <si>
    <t>2084万</t>
  </si>
  <si>
    <t>9669万</t>
  </si>
  <si>
    <t>369万</t>
  </si>
  <si>
    <t>城地股份</t>
  </si>
  <si>
    <t>8091万</t>
  </si>
  <si>
    <t>1954万</t>
  </si>
  <si>
    <t>8315万</t>
  </si>
  <si>
    <t>火炬电子</t>
  </si>
  <si>
    <t>6724万</t>
  </si>
  <si>
    <t>808万</t>
  </si>
  <si>
    <t>6705万</t>
  </si>
  <si>
    <t>环旭电子</t>
  </si>
  <si>
    <t>7.58万</t>
  </si>
  <si>
    <t>88.0亿</t>
  </si>
  <si>
    <t>西菱动力</t>
  </si>
  <si>
    <t>161万</t>
  </si>
  <si>
    <t>2386万</t>
  </si>
  <si>
    <t>1980万</t>
  </si>
  <si>
    <t>顺灏股份</t>
  </si>
  <si>
    <t>2.55万</t>
  </si>
  <si>
    <t>3206万</t>
  </si>
  <si>
    <t>6110万</t>
  </si>
  <si>
    <t>4986万</t>
  </si>
  <si>
    <t>辉隆股份</t>
  </si>
  <si>
    <t>6459万</t>
  </si>
  <si>
    <t>3184万</t>
  </si>
  <si>
    <t>6468万</t>
  </si>
  <si>
    <t>2446万</t>
  </si>
  <si>
    <t>银座股份</t>
  </si>
  <si>
    <t>-113万</t>
  </si>
  <si>
    <t>9639万</t>
  </si>
  <si>
    <t>6532万</t>
  </si>
  <si>
    <t>新华文轩</t>
  </si>
  <si>
    <t>86.8亿</t>
  </si>
  <si>
    <t>爱建集团</t>
  </si>
  <si>
    <t>-3325万</t>
  </si>
  <si>
    <t>89.3亿</t>
  </si>
  <si>
    <t>创业软件</t>
  </si>
  <si>
    <t>5134万</t>
  </si>
  <si>
    <t>4417万</t>
  </si>
  <si>
    <t>1064万</t>
  </si>
  <si>
    <t>可立克</t>
  </si>
  <si>
    <t>1541万</t>
  </si>
  <si>
    <t>1722万</t>
  </si>
  <si>
    <t>1803万</t>
  </si>
  <si>
    <t>491万</t>
  </si>
  <si>
    <t>5948万</t>
  </si>
  <si>
    <t>天润曲轴</t>
  </si>
  <si>
    <t>4.23万</t>
  </si>
  <si>
    <t>8454万</t>
  </si>
  <si>
    <t>65.7亿</t>
  </si>
  <si>
    <t>合兴包装</t>
  </si>
  <si>
    <t>47.5万</t>
  </si>
  <si>
    <t>7539万</t>
  </si>
  <si>
    <t>66.8万</t>
  </si>
  <si>
    <t>浩物股份</t>
  </si>
  <si>
    <t>1659万</t>
  </si>
  <si>
    <t>-94.7万</t>
  </si>
  <si>
    <t>1344万</t>
  </si>
  <si>
    <t>-7.21亿</t>
  </si>
  <si>
    <t>通程控股</t>
  </si>
  <si>
    <t>6622万</t>
  </si>
  <si>
    <t>315万</t>
  </si>
  <si>
    <t>6660万</t>
  </si>
  <si>
    <t>4206万</t>
  </si>
  <si>
    <t>7159万</t>
  </si>
  <si>
    <t>引力传媒</t>
  </si>
  <si>
    <t>2095万</t>
  </si>
  <si>
    <t>632万</t>
  </si>
  <si>
    <t>凤凰传媒</t>
  </si>
  <si>
    <t>3.84万</t>
  </si>
  <si>
    <t>5599万</t>
  </si>
  <si>
    <t>广州港</t>
  </si>
  <si>
    <t>2555万</t>
  </si>
  <si>
    <t>鲁北化工</t>
  </si>
  <si>
    <t>2593万</t>
  </si>
  <si>
    <t>-2.16亿</t>
  </si>
  <si>
    <t>联诚精密</t>
  </si>
  <si>
    <t>1512万</t>
  </si>
  <si>
    <t>65.2万</t>
  </si>
  <si>
    <t>1401万</t>
  </si>
  <si>
    <t>帝欧家居</t>
  </si>
  <si>
    <t>5488万</t>
  </si>
  <si>
    <t>5440万</t>
  </si>
  <si>
    <t>49.1万</t>
  </si>
  <si>
    <t>5187万</t>
  </si>
  <si>
    <t>凯美特气</t>
  </si>
  <si>
    <t>29.6万</t>
  </si>
  <si>
    <t>1886万</t>
  </si>
  <si>
    <t>7761万</t>
  </si>
  <si>
    <t>4207万</t>
  </si>
  <si>
    <t>本钢板材</t>
  </si>
  <si>
    <t>349万</t>
  </si>
  <si>
    <t>568亿</t>
  </si>
  <si>
    <t>351亿</t>
  </si>
  <si>
    <t>金牌厨柜</t>
  </si>
  <si>
    <t>6750万</t>
  </si>
  <si>
    <t>2132万</t>
  </si>
  <si>
    <t>412万</t>
  </si>
  <si>
    <t>1859万</t>
  </si>
  <si>
    <t>国芳集团</t>
  </si>
  <si>
    <t>3770万</t>
  </si>
  <si>
    <t>祥龙电业</t>
  </si>
  <si>
    <t>1002万</t>
  </si>
  <si>
    <t>108万</t>
  </si>
  <si>
    <t>103万</t>
  </si>
  <si>
    <t>-7.35亿</t>
  </si>
  <si>
    <t>913万</t>
  </si>
  <si>
    <t>8302万</t>
  </si>
  <si>
    <t>4936万</t>
  </si>
  <si>
    <t>亚宝药业</t>
  </si>
  <si>
    <t>6487万</t>
  </si>
  <si>
    <t>44.0万</t>
  </si>
  <si>
    <t>8.37亿</t>
  </si>
  <si>
    <t>中央商场</t>
  </si>
  <si>
    <t>8819万</t>
  </si>
  <si>
    <t>-399万</t>
  </si>
  <si>
    <t>3975万</t>
  </si>
  <si>
    <t>1277万</t>
  </si>
  <si>
    <t>光环新网</t>
  </si>
  <si>
    <t>1075万</t>
  </si>
  <si>
    <t>万里扬</t>
  </si>
  <si>
    <t>2.96万</t>
  </si>
  <si>
    <t>762万</t>
  </si>
  <si>
    <t>嘉欣丝绸</t>
  </si>
  <si>
    <t>66.3万</t>
  </si>
  <si>
    <t>4307万</t>
  </si>
  <si>
    <t>3124万</t>
  </si>
  <si>
    <t>6461万</t>
  </si>
  <si>
    <t>东北制药</t>
  </si>
  <si>
    <t>5222万</t>
  </si>
  <si>
    <t>园城黄金</t>
  </si>
  <si>
    <t>112万</t>
  </si>
  <si>
    <t>-3.98亿</t>
  </si>
  <si>
    <t>5499万</t>
  </si>
  <si>
    <t>阳光照明</t>
  </si>
  <si>
    <t>2.59万</t>
  </si>
  <si>
    <t>6696万</t>
  </si>
  <si>
    <t>8510万</t>
  </si>
  <si>
    <t>盛弘股份</t>
  </si>
  <si>
    <t>3422万</t>
  </si>
  <si>
    <t>1408万</t>
  </si>
  <si>
    <t>193万</t>
  </si>
  <si>
    <t>1418万</t>
  </si>
  <si>
    <t>1250万</t>
  </si>
  <si>
    <t>1177万</t>
  </si>
  <si>
    <t>容大感光</t>
  </si>
  <si>
    <t>3991万</t>
  </si>
  <si>
    <t>9148万</t>
  </si>
  <si>
    <t>1028万</t>
  </si>
  <si>
    <t>868万</t>
  </si>
  <si>
    <t>9995万</t>
  </si>
  <si>
    <t>510万</t>
  </si>
  <si>
    <t>蓝黛传动</t>
  </si>
  <si>
    <t>3303万</t>
  </si>
  <si>
    <t>21.9万</t>
  </si>
  <si>
    <t>3321万</t>
  </si>
  <si>
    <t>广电运通</t>
  </si>
  <si>
    <t>3.13万</t>
  </si>
  <si>
    <t>国脉科技</t>
  </si>
  <si>
    <t>7496万</t>
  </si>
  <si>
    <t>7491万</t>
  </si>
  <si>
    <t>6391万</t>
  </si>
  <si>
    <t>宝鹰股份</t>
  </si>
  <si>
    <t>9109万</t>
  </si>
  <si>
    <t>-163万</t>
  </si>
  <si>
    <t>9113万</t>
  </si>
  <si>
    <t>7979万</t>
  </si>
  <si>
    <t>华茂股份</t>
  </si>
  <si>
    <t>上海雅仕</t>
  </si>
  <si>
    <t>3300万</t>
  </si>
  <si>
    <t>52.6万</t>
  </si>
  <si>
    <t>2197万</t>
  </si>
  <si>
    <t>7817万</t>
  </si>
  <si>
    <t>山东黄金</t>
  </si>
  <si>
    <t>-914万</t>
  </si>
  <si>
    <t>421亿</t>
  </si>
  <si>
    <t>蓝光发展</t>
  </si>
  <si>
    <t>1621万</t>
  </si>
  <si>
    <t>1022亿</t>
  </si>
  <si>
    <t>817亿</t>
  </si>
  <si>
    <t>艾比森</t>
  </si>
  <si>
    <t>2631万</t>
  </si>
  <si>
    <t>27.8万</t>
  </si>
  <si>
    <t>2633万</t>
  </si>
  <si>
    <t>94.1万</t>
  </si>
  <si>
    <t>8658万</t>
  </si>
  <si>
    <t>福安药业</t>
  </si>
  <si>
    <t>646万</t>
  </si>
  <si>
    <t>8872万</t>
  </si>
  <si>
    <t>6417万</t>
  </si>
  <si>
    <t>纳思达</t>
  </si>
  <si>
    <t>5.72万</t>
  </si>
  <si>
    <t>2240万</t>
  </si>
  <si>
    <t>2569万</t>
  </si>
  <si>
    <t>8518万</t>
  </si>
  <si>
    <t>337亿</t>
  </si>
  <si>
    <t>上工申贝</t>
  </si>
  <si>
    <t>6557万</t>
  </si>
  <si>
    <t>944万</t>
  </si>
  <si>
    <t>6808万</t>
  </si>
  <si>
    <t>中恒集团</t>
  </si>
  <si>
    <t>267万</t>
  </si>
  <si>
    <t>8573万</t>
  </si>
  <si>
    <t>福建高速</t>
  </si>
  <si>
    <t>-2185万</t>
  </si>
  <si>
    <t>美格智能</t>
  </si>
  <si>
    <t>8313万</t>
  </si>
  <si>
    <t>321万</t>
  </si>
  <si>
    <t>天圣制药</t>
  </si>
  <si>
    <t>7833万</t>
  </si>
  <si>
    <t>7816万</t>
  </si>
  <si>
    <t>艾格拉斯</t>
  </si>
  <si>
    <t>676万</t>
  </si>
  <si>
    <t>291万</t>
  </si>
  <si>
    <t>1210万</t>
  </si>
  <si>
    <t>长江电力</t>
  </si>
  <si>
    <t>11.1万</t>
  </si>
  <si>
    <t>461亿</t>
  </si>
  <si>
    <t>2974亿</t>
  </si>
  <si>
    <t>2466亿</t>
  </si>
  <si>
    <t>612亿</t>
  </si>
  <si>
    <t>979亿</t>
  </si>
  <si>
    <t>创业环保</t>
  </si>
  <si>
    <t>上海建工</t>
  </si>
  <si>
    <t>4.06万</t>
  </si>
  <si>
    <t>3379万</t>
  </si>
  <si>
    <t>1906亿</t>
  </si>
  <si>
    <t>1522亿</t>
  </si>
  <si>
    <t>1597亿</t>
  </si>
  <si>
    <t>1208亿</t>
  </si>
  <si>
    <t>永泰能源</t>
  </si>
  <si>
    <t>5.59万</t>
  </si>
  <si>
    <t>782亿</t>
  </si>
  <si>
    <t>新宙邦</t>
  </si>
  <si>
    <t>5800万</t>
  </si>
  <si>
    <t>529万</t>
  </si>
  <si>
    <t>6062万</t>
  </si>
  <si>
    <t>5190万</t>
  </si>
  <si>
    <t>奇精机械</t>
  </si>
  <si>
    <t>5537万</t>
  </si>
  <si>
    <t>2356万</t>
  </si>
  <si>
    <t>1861万</t>
  </si>
  <si>
    <t>581万</t>
  </si>
  <si>
    <t>天马科技</t>
  </si>
  <si>
    <t>2053万</t>
  </si>
  <si>
    <t>423万</t>
  </si>
  <si>
    <t>全筑股份</t>
  </si>
  <si>
    <t>5612万</t>
  </si>
  <si>
    <t>5630万</t>
  </si>
  <si>
    <t>重庆钢铁</t>
  </si>
  <si>
    <t>-117亿</t>
  </si>
  <si>
    <t>雅戈尔</t>
  </si>
  <si>
    <t>达安股份</t>
  </si>
  <si>
    <t>3437万</t>
  </si>
  <si>
    <t>1894万</t>
  </si>
  <si>
    <t>1895万</t>
  </si>
  <si>
    <t>贝达药业</t>
  </si>
  <si>
    <t>5161万</t>
  </si>
  <si>
    <t>176万</t>
  </si>
  <si>
    <t>4279万</t>
  </si>
  <si>
    <t>盛天网络</t>
  </si>
  <si>
    <t>2193万</t>
  </si>
  <si>
    <t>2194万</t>
  </si>
  <si>
    <t>2006万</t>
  </si>
  <si>
    <t>蒙娜丽莎</t>
  </si>
  <si>
    <t>5915万</t>
  </si>
  <si>
    <t>4639万</t>
  </si>
  <si>
    <t>9483万</t>
  </si>
  <si>
    <t>雅化集团</t>
  </si>
  <si>
    <t>4309万</t>
  </si>
  <si>
    <t>628万</t>
  </si>
  <si>
    <t>6694万</t>
  </si>
  <si>
    <t>亚联发展</t>
  </si>
  <si>
    <t>8523万</t>
  </si>
  <si>
    <t>75.4万</t>
  </si>
  <si>
    <t>8376万</t>
  </si>
  <si>
    <t>天威视讯</t>
  </si>
  <si>
    <t>5675万</t>
  </si>
  <si>
    <t>-216万</t>
  </si>
  <si>
    <t>5714万</t>
  </si>
  <si>
    <t>5707万</t>
  </si>
  <si>
    <t>中国交建</t>
  </si>
  <si>
    <t>9.20万</t>
  </si>
  <si>
    <t>933亿</t>
  </si>
  <si>
    <t>1007亿</t>
  </si>
  <si>
    <t>8530亿</t>
  </si>
  <si>
    <t>4438亿</t>
  </si>
  <si>
    <t>6421亿</t>
  </si>
  <si>
    <t>4322亿</t>
  </si>
  <si>
    <t>2099亿</t>
  </si>
  <si>
    <t>1836亿</t>
  </si>
  <si>
    <t>兰花科创</t>
  </si>
  <si>
    <t>6167万</t>
  </si>
  <si>
    <t>海信电器</t>
  </si>
  <si>
    <t>3547万</t>
  </si>
  <si>
    <t>电连技术</t>
  </si>
  <si>
    <t>7597万</t>
  </si>
  <si>
    <t>194万</t>
  </si>
  <si>
    <t>7591万</t>
  </si>
  <si>
    <t>6458万</t>
  </si>
  <si>
    <t>晶瑞股份</t>
  </si>
  <si>
    <t>8410万</t>
  </si>
  <si>
    <t>1024万</t>
  </si>
  <si>
    <t>-5.68万</t>
  </si>
  <si>
    <t>929万</t>
  </si>
  <si>
    <t>绿茵生态</t>
  </si>
  <si>
    <t>4014万</t>
  </si>
  <si>
    <t>3403万</t>
  </si>
  <si>
    <t>3675万</t>
  </si>
  <si>
    <t>盈峰环境</t>
  </si>
  <si>
    <t>7219万</t>
  </si>
  <si>
    <t>9065万</t>
  </si>
  <si>
    <t>北部湾港</t>
  </si>
  <si>
    <t>-1.94万</t>
  </si>
  <si>
    <t>龙江交通</t>
  </si>
  <si>
    <t>3796万</t>
  </si>
  <si>
    <t>8317万</t>
  </si>
  <si>
    <t>新华锦</t>
  </si>
  <si>
    <t>49.6万</t>
  </si>
  <si>
    <t>3436万</t>
  </si>
  <si>
    <t>1683万</t>
  </si>
  <si>
    <t>3041万</t>
  </si>
  <si>
    <t>1080万</t>
  </si>
  <si>
    <t>城投控股</t>
  </si>
  <si>
    <t>264亿</t>
  </si>
  <si>
    <t>英科医疗</t>
  </si>
  <si>
    <t>4862万</t>
  </si>
  <si>
    <t>2645万</t>
  </si>
  <si>
    <t>2247万</t>
  </si>
  <si>
    <t>4332万</t>
  </si>
  <si>
    <t>理邦仪器</t>
  </si>
  <si>
    <t>1.80万</t>
  </si>
  <si>
    <t>44.3万</t>
  </si>
  <si>
    <t>2380万</t>
  </si>
  <si>
    <t>2558万</t>
  </si>
  <si>
    <t>4024万</t>
  </si>
  <si>
    <t>华峰超纤</t>
  </si>
  <si>
    <t>5.29万</t>
  </si>
  <si>
    <t>637万</t>
  </si>
  <si>
    <t>中原内配</t>
  </si>
  <si>
    <t>6016万</t>
  </si>
  <si>
    <t>1635万</t>
  </si>
  <si>
    <t>6021万</t>
  </si>
  <si>
    <t>4957万</t>
  </si>
  <si>
    <t>建研集团</t>
  </si>
  <si>
    <t>5635万</t>
  </si>
  <si>
    <t>798万</t>
  </si>
  <si>
    <t>4725万</t>
  </si>
  <si>
    <t>7.61亿</t>
  </si>
  <si>
    <t>千方科技</t>
  </si>
  <si>
    <t>1020万</t>
  </si>
  <si>
    <t>73.8亿</t>
  </si>
  <si>
    <t>普利特</t>
  </si>
  <si>
    <t>5275万</t>
  </si>
  <si>
    <t>-60.5万</t>
  </si>
  <si>
    <t>4662万</t>
  </si>
  <si>
    <t>振华科技</t>
  </si>
  <si>
    <t>425万</t>
  </si>
  <si>
    <t>8579万</t>
  </si>
  <si>
    <t>华侨城Ａ</t>
  </si>
  <si>
    <t>6.12万</t>
  </si>
  <si>
    <t>2391亿</t>
  </si>
  <si>
    <t>1870亿</t>
  </si>
  <si>
    <t>1708亿</t>
  </si>
  <si>
    <t>1002亿</t>
  </si>
  <si>
    <t>707亿</t>
  </si>
  <si>
    <t>中国中铁</t>
  </si>
  <si>
    <t>1484亿</t>
  </si>
  <si>
    <t>8706万</t>
  </si>
  <si>
    <t>8343亿</t>
  </si>
  <si>
    <t>6002亿</t>
  </si>
  <si>
    <t>6593亿</t>
  </si>
  <si>
    <t>5603亿</t>
  </si>
  <si>
    <t>989亿</t>
  </si>
  <si>
    <t>宁波港</t>
  </si>
  <si>
    <t>86.2亿</t>
  </si>
  <si>
    <t>龙净环保</t>
  </si>
  <si>
    <t>9341万</t>
  </si>
  <si>
    <t>永福股份</t>
  </si>
  <si>
    <t>3502万</t>
  </si>
  <si>
    <t>1793万</t>
  </si>
  <si>
    <t>会畅通讯</t>
  </si>
  <si>
    <t>580万</t>
  </si>
  <si>
    <t>697万</t>
  </si>
  <si>
    <t>6143万</t>
  </si>
  <si>
    <t>2011万</t>
  </si>
  <si>
    <t>6935万</t>
  </si>
  <si>
    <t>559万</t>
  </si>
  <si>
    <t>捷成股份</t>
  </si>
  <si>
    <t>4.61万</t>
  </si>
  <si>
    <t>-203万</t>
  </si>
  <si>
    <t>卫光生物</t>
  </si>
  <si>
    <t>2700万</t>
  </si>
  <si>
    <t>2871万</t>
  </si>
  <si>
    <t>2877万</t>
  </si>
  <si>
    <t>6371万</t>
  </si>
  <si>
    <t>兆驰股份</t>
  </si>
  <si>
    <t>5.30万</t>
  </si>
  <si>
    <t>3406万</t>
  </si>
  <si>
    <t>91.8亿</t>
  </si>
  <si>
    <t>晨丰科技</t>
  </si>
  <si>
    <t>10.6万</t>
  </si>
  <si>
    <t>2112万</t>
  </si>
  <si>
    <t>1850万</t>
  </si>
  <si>
    <t>7080万</t>
  </si>
  <si>
    <t>中国汽研</t>
  </si>
  <si>
    <t>3.28万</t>
  </si>
  <si>
    <t>-162万</t>
  </si>
  <si>
    <t>8710万</t>
  </si>
  <si>
    <t>雷迪克</t>
  </si>
  <si>
    <t>2952万</t>
  </si>
  <si>
    <t>1528万</t>
  </si>
  <si>
    <t>1571万</t>
  </si>
  <si>
    <t>1348万</t>
  </si>
  <si>
    <t>8133万</t>
  </si>
  <si>
    <t>257万</t>
  </si>
  <si>
    <t>东方财富</t>
  </si>
  <si>
    <t>7097万</t>
  </si>
  <si>
    <t>451亿</t>
  </si>
  <si>
    <t>302亿</t>
  </si>
  <si>
    <t>广百股份</t>
  </si>
  <si>
    <t>5432万</t>
  </si>
  <si>
    <t>6048万</t>
  </si>
  <si>
    <t>华贸物流</t>
  </si>
  <si>
    <t>7641万</t>
  </si>
  <si>
    <t>8606万</t>
  </si>
  <si>
    <t>隧道股份</t>
  </si>
  <si>
    <t>681亿</t>
  </si>
  <si>
    <t>370亿</t>
  </si>
  <si>
    <t>476亿</t>
  </si>
  <si>
    <t>卧龙电气</t>
  </si>
  <si>
    <t>1187万</t>
  </si>
  <si>
    <t>英可瑞</t>
  </si>
  <si>
    <t>9563万</t>
  </si>
  <si>
    <t>1913万</t>
  </si>
  <si>
    <t>4526万</t>
  </si>
  <si>
    <t>1670万</t>
  </si>
  <si>
    <t>1447万</t>
  </si>
  <si>
    <t>827万</t>
  </si>
  <si>
    <t>全信股份</t>
  </si>
  <si>
    <t>3058万</t>
  </si>
  <si>
    <t>1198万</t>
  </si>
  <si>
    <t>*ST建峰</t>
  </si>
  <si>
    <t>100.0亿</t>
  </si>
  <si>
    <t>嘉泽新能</t>
  </si>
  <si>
    <t>5313万</t>
  </si>
  <si>
    <t>4942万</t>
  </si>
  <si>
    <t>上海电影</t>
  </si>
  <si>
    <t>5216万</t>
  </si>
  <si>
    <t>4264万</t>
  </si>
  <si>
    <t>博威合金</t>
  </si>
  <si>
    <t>3.19万</t>
  </si>
  <si>
    <t>7408万</t>
  </si>
  <si>
    <t>7573万</t>
  </si>
  <si>
    <t>6698万</t>
  </si>
  <si>
    <t>奥飞数据</t>
  </si>
  <si>
    <t>6527万</t>
  </si>
  <si>
    <t>9077万</t>
  </si>
  <si>
    <t>20.9万</t>
  </si>
  <si>
    <t>9125万</t>
  </si>
  <si>
    <t>9960万</t>
  </si>
  <si>
    <t>瑞和股份</t>
  </si>
  <si>
    <t>5501万</t>
  </si>
  <si>
    <t>22.5万</t>
  </si>
  <si>
    <t>5329万</t>
  </si>
  <si>
    <t>圣农发展</t>
  </si>
  <si>
    <t>招商公路</t>
  </si>
  <si>
    <t>652亿</t>
  </si>
  <si>
    <t>福斯特</t>
  </si>
  <si>
    <t>1438万</t>
  </si>
  <si>
    <t>广东骏亚</t>
  </si>
  <si>
    <t>5050万</t>
  </si>
  <si>
    <t>1737万</t>
  </si>
  <si>
    <t>1983万</t>
  </si>
  <si>
    <t>银都股份</t>
  </si>
  <si>
    <t>3152万</t>
  </si>
  <si>
    <t>3732万</t>
  </si>
  <si>
    <t>赛轮金宇</t>
  </si>
  <si>
    <t>3.61万</t>
  </si>
  <si>
    <t>古越龙山</t>
  </si>
  <si>
    <t>237万</t>
  </si>
  <si>
    <t>8019万</t>
  </si>
  <si>
    <t>596万</t>
  </si>
  <si>
    <t>达志科技</t>
  </si>
  <si>
    <t>2107万</t>
  </si>
  <si>
    <t>1049万</t>
  </si>
  <si>
    <t>1195万</t>
  </si>
  <si>
    <t>990万</t>
  </si>
  <si>
    <t>3669万</t>
  </si>
  <si>
    <t>1461万</t>
  </si>
  <si>
    <t>聚飞光电</t>
  </si>
  <si>
    <t>4361万</t>
  </si>
  <si>
    <t>634万</t>
  </si>
  <si>
    <t>3682万</t>
  </si>
  <si>
    <t>9518万</t>
  </si>
  <si>
    <t>金河生物</t>
  </si>
  <si>
    <t>-43.6万</t>
  </si>
  <si>
    <t>3881万</t>
  </si>
  <si>
    <t>佛山照明</t>
  </si>
  <si>
    <t>751万</t>
  </si>
  <si>
    <t>恒银金融</t>
  </si>
  <si>
    <t>3500万</t>
  </si>
  <si>
    <t>3775万</t>
  </si>
  <si>
    <t>奥瑞德</t>
  </si>
  <si>
    <t>5875万</t>
  </si>
  <si>
    <t>-47.9万</t>
  </si>
  <si>
    <t>5283万</t>
  </si>
  <si>
    <t>福能股份</t>
  </si>
  <si>
    <t>4.56万</t>
  </si>
  <si>
    <t>52.7亿</t>
  </si>
  <si>
    <t>唐德影视</t>
  </si>
  <si>
    <t>-65.6万</t>
  </si>
  <si>
    <t>2862万</t>
  </si>
  <si>
    <t>2442万</t>
  </si>
  <si>
    <t>2231万</t>
  </si>
  <si>
    <t>沪电股份</t>
  </si>
  <si>
    <t>839万</t>
  </si>
  <si>
    <t>7018万</t>
  </si>
  <si>
    <t>塞力斯</t>
  </si>
  <si>
    <t>9611万</t>
  </si>
  <si>
    <t>3308万</t>
  </si>
  <si>
    <t>3226万</t>
  </si>
  <si>
    <t>吉翔股份</t>
  </si>
  <si>
    <t>3.62万</t>
  </si>
  <si>
    <t>国泰君安</t>
  </si>
  <si>
    <t>403亿</t>
  </si>
  <si>
    <t>4543亿</t>
  </si>
  <si>
    <t>3175亿</t>
  </si>
  <si>
    <t>1253亿</t>
  </si>
  <si>
    <t>安阳钢铁</t>
  </si>
  <si>
    <t>-10.7亿</t>
  </si>
  <si>
    <t>乐歌股份</t>
  </si>
  <si>
    <t>2063万</t>
  </si>
  <si>
    <t>1656万</t>
  </si>
  <si>
    <t>259万</t>
  </si>
  <si>
    <t>1681万</t>
  </si>
  <si>
    <t>5441万</t>
  </si>
  <si>
    <t>美联新材</t>
  </si>
  <si>
    <t>733万</t>
  </si>
  <si>
    <t>江阴银行</t>
  </si>
  <si>
    <t>1128亿</t>
  </si>
  <si>
    <t>97.8亿</t>
  </si>
  <si>
    <t>青岛金王</t>
  </si>
  <si>
    <t>7437万</t>
  </si>
  <si>
    <t>中钢国际</t>
  </si>
  <si>
    <t>云南铜业</t>
  </si>
  <si>
    <t>92.9亿</t>
  </si>
  <si>
    <t>2445万</t>
  </si>
  <si>
    <t>-2.40亿</t>
  </si>
  <si>
    <t>康德莱</t>
  </si>
  <si>
    <t>3758万</t>
  </si>
  <si>
    <t>13.3万</t>
  </si>
  <si>
    <t>3765万</t>
  </si>
  <si>
    <t>2444万</t>
  </si>
  <si>
    <t>1573万</t>
  </si>
  <si>
    <t>泰晶科技</t>
  </si>
  <si>
    <t>5874万</t>
  </si>
  <si>
    <t>-1.49万</t>
  </si>
  <si>
    <t>1264万</t>
  </si>
  <si>
    <t>新宏泰</t>
  </si>
  <si>
    <t>7046万</t>
  </si>
  <si>
    <t>9502万</t>
  </si>
  <si>
    <t>1352万</t>
  </si>
  <si>
    <t>8263万</t>
  </si>
  <si>
    <t>哈药股份</t>
  </si>
  <si>
    <t>2.30万</t>
  </si>
  <si>
    <t>XD东风汽</t>
  </si>
  <si>
    <t>97.3亿</t>
  </si>
  <si>
    <t>金发拉比</t>
  </si>
  <si>
    <t>9873万</t>
  </si>
  <si>
    <t>399万</t>
  </si>
  <si>
    <t>2093万</t>
  </si>
  <si>
    <t>丽江旅游</t>
  </si>
  <si>
    <t>5820万</t>
  </si>
  <si>
    <t>5816万</t>
  </si>
  <si>
    <t>4612万</t>
  </si>
  <si>
    <t>中南传媒</t>
  </si>
  <si>
    <t>5.38万</t>
  </si>
  <si>
    <t>汉嘉设计</t>
  </si>
  <si>
    <t>5260万</t>
  </si>
  <si>
    <t>1619万</t>
  </si>
  <si>
    <t>1618万</t>
  </si>
  <si>
    <t>1182万</t>
  </si>
  <si>
    <t>开立医疗</t>
  </si>
  <si>
    <t>2403万</t>
  </si>
  <si>
    <t>495万</t>
  </si>
  <si>
    <t>4767万</t>
  </si>
  <si>
    <t>5527万</t>
  </si>
  <si>
    <t>宇环数控</t>
  </si>
  <si>
    <t>4370万</t>
  </si>
  <si>
    <t>1381万</t>
  </si>
  <si>
    <t>5467万</t>
  </si>
  <si>
    <t>1140万</t>
  </si>
  <si>
    <t>美亚光电</t>
  </si>
  <si>
    <t>4980万</t>
  </si>
  <si>
    <t>1612万</t>
  </si>
  <si>
    <t>4342万</t>
  </si>
  <si>
    <t>6036万</t>
  </si>
  <si>
    <t>豫园股份</t>
  </si>
  <si>
    <t>7917万</t>
  </si>
  <si>
    <t>南京医药</t>
  </si>
  <si>
    <t>29.9万</t>
  </si>
  <si>
    <t>6627万</t>
  </si>
  <si>
    <t>金诚信</t>
  </si>
  <si>
    <t>9430万</t>
  </si>
  <si>
    <t>9422万</t>
  </si>
  <si>
    <t>7507万</t>
  </si>
  <si>
    <t>民德电子</t>
  </si>
  <si>
    <t>3862万</t>
  </si>
  <si>
    <t>2880万</t>
  </si>
  <si>
    <t>773万</t>
  </si>
  <si>
    <t>1788万</t>
  </si>
  <si>
    <t>1663万</t>
  </si>
  <si>
    <t>同益股份</t>
  </si>
  <si>
    <t>8429万</t>
  </si>
  <si>
    <t>2370万</t>
  </si>
  <si>
    <t>1062万</t>
  </si>
  <si>
    <t>53.8万</t>
  </si>
  <si>
    <t>781万</t>
  </si>
  <si>
    <t>1237万</t>
  </si>
  <si>
    <t>新美星</t>
  </si>
  <si>
    <t>4997万</t>
  </si>
  <si>
    <t>1186万</t>
  </si>
  <si>
    <t>9.28亿</t>
  </si>
  <si>
    <t>9822万</t>
  </si>
  <si>
    <t>2128万</t>
  </si>
  <si>
    <t>科恒股份</t>
  </si>
  <si>
    <t>8503万</t>
  </si>
  <si>
    <t>53.3万</t>
  </si>
  <si>
    <t>3019万</t>
  </si>
  <si>
    <t>瑞普生物</t>
  </si>
  <si>
    <t>5147万</t>
  </si>
  <si>
    <t>3849万</t>
  </si>
  <si>
    <t>8833万</t>
  </si>
  <si>
    <t>德尔未来</t>
  </si>
  <si>
    <t>4201万</t>
  </si>
  <si>
    <t>661万</t>
  </si>
  <si>
    <t>3038万</t>
  </si>
  <si>
    <t>同德化工</t>
  </si>
  <si>
    <t>2911万</t>
  </si>
  <si>
    <t>2888万</t>
  </si>
  <si>
    <t>6982万</t>
  </si>
  <si>
    <t>金鸿控股</t>
  </si>
  <si>
    <t>8630万</t>
  </si>
  <si>
    <t>天安新材</t>
  </si>
  <si>
    <t>95.0万</t>
  </si>
  <si>
    <t>1536万</t>
  </si>
  <si>
    <t>福成股份</t>
  </si>
  <si>
    <t>4926万</t>
  </si>
  <si>
    <t>253万</t>
  </si>
  <si>
    <t>4943万</t>
  </si>
  <si>
    <t>3628万</t>
  </si>
  <si>
    <t>英唐智控</t>
  </si>
  <si>
    <t>7400万</t>
  </si>
  <si>
    <t>4.68万</t>
  </si>
  <si>
    <t>7518万</t>
  </si>
  <si>
    <t>3693万</t>
  </si>
  <si>
    <t>4411万</t>
  </si>
  <si>
    <t>巨星科技</t>
  </si>
  <si>
    <t>9928万</t>
  </si>
  <si>
    <t>威海广泰</t>
  </si>
  <si>
    <t>5984万</t>
  </si>
  <si>
    <t>5095万</t>
  </si>
  <si>
    <t>松发股份</t>
  </si>
  <si>
    <t>2066万</t>
  </si>
  <si>
    <t>1178万</t>
  </si>
  <si>
    <t>岳阳林纸</t>
  </si>
  <si>
    <t>29.0万</t>
  </si>
  <si>
    <t>苏美达</t>
  </si>
  <si>
    <t>7752万</t>
  </si>
  <si>
    <t>436亿</t>
  </si>
  <si>
    <t>易事特</t>
  </si>
  <si>
    <t>9163万</t>
  </si>
  <si>
    <t>9403万</t>
  </si>
  <si>
    <t>8490万</t>
  </si>
  <si>
    <t>爱仕达</t>
  </si>
  <si>
    <t>4789万</t>
  </si>
  <si>
    <t>4303万</t>
  </si>
  <si>
    <t>兴化股份</t>
  </si>
  <si>
    <t>8182万</t>
  </si>
  <si>
    <t>6434万</t>
  </si>
  <si>
    <t>-4864万</t>
  </si>
  <si>
    <t>国轩高科</t>
  </si>
  <si>
    <t>-285万</t>
  </si>
  <si>
    <t>铁流股份</t>
  </si>
  <si>
    <t>6509万</t>
  </si>
  <si>
    <t>2707万</t>
  </si>
  <si>
    <t>2261万</t>
  </si>
  <si>
    <t>2855万</t>
  </si>
  <si>
    <t>嘉诚国际</t>
  </si>
  <si>
    <t>3760万</t>
  </si>
  <si>
    <t>3345万</t>
  </si>
  <si>
    <t>720万</t>
  </si>
  <si>
    <t>2673万</t>
  </si>
  <si>
    <t>1354万</t>
  </si>
  <si>
    <t>喜临门</t>
  </si>
  <si>
    <t>6485万</t>
  </si>
  <si>
    <t>6553万</t>
  </si>
  <si>
    <t>文峰股份</t>
  </si>
  <si>
    <t>8464万</t>
  </si>
  <si>
    <t>3584万</t>
  </si>
  <si>
    <t>九典制药</t>
  </si>
  <si>
    <t>5868万</t>
  </si>
  <si>
    <t>1516万</t>
  </si>
  <si>
    <t>1279万</t>
  </si>
  <si>
    <t>9171万</t>
  </si>
  <si>
    <t>2903万</t>
  </si>
  <si>
    <t>尔康制药</t>
  </si>
  <si>
    <t>3.98万</t>
  </si>
  <si>
    <t>6263万</t>
  </si>
  <si>
    <t>金贵银业</t>
  </si>
  <si>
    <t>9490万</t>
  </si>
  <si>
    <t>794万</t>
  </si>
  <si>
    <t>9616万</t>
  </si>
  <si>
    <t>6864万</t>
  </si>
  <si>
    <t>苏州高新</t>
  </si>
  <si>
    <t>329万</t>
  </si>
  <si>
    <t>海利生物</t>
  </si>
  <si>
    <t>6178万</t>
  </si>
  <si>
    <t>1946万</t>
  </si>
  <si>
    <t>917万</t>
  </si>
  <si>
    <t>2061万</t>
  </si>
  <si>
    <t>6936万</t>
  </si>
  <si>
    <t>欧普照明</t>
  </si>
  <si>
    <t>9796万</t>
  </si>
  <si>
    <t>8680万</t>
  </si>
  <si>
    <t>2081万</t>
  </si>
  <si>
    <t>8835万</t>
  </si>
  <si>
    <t>7017万</t>
  </si>
  <si>
    <t>九洲药业</t>
  </si>
  <si>
    <t>6249万</t>
  </si>
  <si>
    <t>53.2万</t>
  </si>
  <si>
    <t>5159万</t>
  </si>
  <si>
    <t>5225万</t>
  </si>
  <si>
    <t>交大昂立</t>
  </si>
  <si>
    <t>8363万</t>
  </si>
  <si>
    <t>3254万</t>
  </si>
  <si>
    <t>3648万</t>
  </si>
  <si>
    <t>3097万</t>
  </si>
  <si>
    <t>8177万</t>
  </si>
  <si>
    <t>7386万</t>
  </si>
  <si>
    <t>太辰光</t>
  </si>
  <si>
    <t>9487万</t>
  </si>
  <si>
    <t>2371万</t>
  </si>
  <si>
    <t>340万</t>
  </si>
  <si>
    <t>6986万</t>
  </si>
  <si>
    <t>2227万</t>
  </si>
  <si>
    <t>远东传动</t>
  </si>
  <si>
    <t>5291万</t>
  </si>
  <si>
    <t>4531万</t>
  </si>
  <si>
    <t>1090万</t>
  </si>
  <si>
    <t>新兴铸管</t>
  </si>
  <si>
    <t>70.3万</t>
  </si>
  <si>
    <t>中源家居</t>
  </si>
  <si>
    <t>623万</t>
  </si>
  <si>
    <t>8975万</t>
  </si>
  <si>
    <t>新力金融</t>
  </si>
  <si>
    <t>6714万</t>
  </si>
  <si>
    <t>6766万</t>
  </si>
  <si>
    <t>453万</t>
  </si>
  <si>
    <t>戴维医疗</t>
  </si>
  <si>
    <t>1826万</t>
  </si>
  <si>
    <t>430万</t>
  </si>
  <si>
    <t>1820万</t>
  </si>
  <si>
    <t>7150万</t>
  </si>
  <si>
    <t>6815万</t>
  </si>
  <si>
    <t>335万</t>
  </si>
  <si>
    <t>慈星股份</t>
  </si>
  <si>
    <t>8006万</t>
  </si>
  <si>
    <t>4314万</t>
  </si>
  <si>
    <t>8247万</t>
  </si>
  <si>
    <t>7769万</t>
  </si>
  <si>
    <t>常山药业</t>
  </si>
  <si>
    <t>5701万</t>
  </si>
  <si>
    <t>5709万</t>
  </si>
  <si>
    <t>8.72亿</t>
  </si>
  <si>
    <t>特锐德</t>
  </si>
  <si>
    <t>2205万</t>
  </si>
  <si>
    <t>4185万</t>
  </si>
  <si>
    <t>5688万</t>
  </si>
  <si>
    <t>东山精密</t>
  </si>
  <si>
    <t>3.33万</t>
  </si>
  <si>
    <t>64.0万</t>
  </si>
  <si>
    <t>北方国际</t>
  </si>
  <si>
    <t>9858万</t>
  </si>
  <si>
    <t>-95.4万</t>
  </si>
  <si>
    <t>9986万</t>
  </si>
  <si>
    <t>丽岛新材</t>
  </si>
  <si>
    <t>宏辉果蔬</t>
  </si>
  <si>
    <t>6868万</t>
  </si>
  <si>
    <t>1588万</t>
  </si>
  <si>
    <t>74.6万</t>
  </si>
  <si>
    <t>1482万</t>
  </si>
  <si>
    <t>2360万</t>
  </si>
  <si>
    <t>518万</t>
  </si>
  <si>
    <t>金石东方</t>
  </si>
  <si>
    <t>8254万</t>
  </si>
  <si>
    <t>5438万</t>
  </si>
  <si>
    <t>5717万</t>
  </si>
  <si>
    <t>苏交科</t>
  </si>
  <si>
    <t>9690万</t>
  </si>
  <si>
    <t>-65.1万</t>
  </si>
  <si>
    <t>9975万</t>
  </si>
  <si>
    <t>7094万</t>
  </si>
  <si>
    <t>中青宝</t>
  </si>
  <si>
    <t>7451万</t>
  </si>
  <si>
    <t>1479万</t>
  </si>
  <si>
    <t>美盈森</t>
  </si>
  <si>
    <t>9753万</t>
  </si>
  <si>
    <t>8248万</t>
  </si>
  <si>
    <t>吉电股份</t>
  </si>
  <si>
    <t>-5.09亿</t>
  </si>
  <si>
    <t>四方冷链</t>
  </si>
  <si>
    <t>5782万</t>
  </si>
  <si>
    <t>3224万</t>
  </si>
  <si>
    <t>3222万</t>
  </si>
  <si>
    <t>2828万</t>
  </si>
  <si>
    <t>山东高速</t>
  </si>
  <si>
    <t>7.46万</t>
  </si>
  <si>
    <t>8935万</t>
  </si>
  <si>
    <t>58.8亿</t>
  </si>
  <si>
    <t>271亿</t>
  </si>
  <si>
    <t>宇通客车</t>
  </si>
  <si>
    <t>黄山旅游</t>
  </si>
  <si>
    <t>6156万</t>
  </si>
  <si>
    <t>昊志机电</t>
  </si>
  <si>
    <t>9772万</t>
  </si>
  <si>
    <t>1531万</t>
  </si>
  <si>
    <t>1285万</t>
  </si>
  <si>
    <t>永利股份</t>
  </si>
  <si>
    <t>6903万</t>
  </si>
  <si>
    <t>6898万</t>
  </si>
  <si>
    <t>5132万</t>
  </si>
  <si>
    <t>柏堡龙</t>
  </si>
  <si>
    <t>4875万</t>
  </si>
  <si>
    <t>797万</t>
  </si>
  <si>
    <t>4876万</t>
  </si>
  <si>
    <t>4150万</t>
  </si>
  <si>
    <t>麦达数字</t>
  </si>
  <si>
    <t>3714万</t>
  </si>
  <si>
    <t>3227万</t>
  </si>
  <si>
    <t>317万</t>
  </si>
  <si>
    <t>首钢股份</t>
  </si>
  <si>
    <t>2840万</t>
  </si>
  <si>
    <t>-50.2亿</t>
  </si>
  <si>
    <t>1360亿</t>
  </si>
  <si>
    <t>848亿</t>
  </si>
  <si>
    <t>986亿</t>
  </si>
  <si>
    <t>615亿</t>
  </si>
  <si>
    <t>371亿</t>
  </si>
  <si>
    <t>XD国检集</t>
  </si>
  <si>
    <t>6383万</t>
  </si>
  <si>
    <t>2088万</t>
  </si>
  <si>
    <t>1943万</t>
  </si>
  <si>
    <t>ST山水</t>
  </si>
  <si>
    <t>3302万</t>
  </si>
  <si>
    <t>490万</t>
  </si>
  <si>
    <t>-4.72亿</t>
  </si>
  <si>
    <t>7041万</t>
  </si>
  <si>
    <t>7232万</t>
  </si>
  <si>
    <t>赞宇科技</t>
  </si>
  <si>
    <t>-1333万</t>
  </si>
  <si>
    <t>5392万</t>
  </si>
  <si>
    <t>4064万</t>
  </si>
  <si>
    <t>国际医学</t>
  </si>
  <si>
    <t>-226万</t>
  </si>
  <si>
    <t>6841万</t>
  </si>
  <si>
    <t>森特股份</t>
  </si>
  <si>
    <t>6251万</t>
  </si>
  <si>
    <t>3877万</t>
  </si>
  <si>
    <t>百联股份</t>
  </si>
  <si>
    <t>240亿</t>
  </si>
  <si>
    <t>轻纺城</t>
  </si>
  <si>
    <t>青海春天</t>
  </si>
  <si>
    <t>9991万</t>
  </si>
  <si>
    <t>4387万</t>
  </si>
  <si>
    <t>3685万</t>
  </si>
  <si>
    <t>4337万</t>
  </si>
  <si>
    <t>6125万</t>
  </si>
  <si>
    <t>7164万</t>
  </si>
  <si>
    <t>中富通</t>
  </si>
  <si>
    <t>916万</t>
  </si>
  <si>
    <t>7725万</t>
  </si>
  <si>
    <t>9007万</t>
  </si>
  <si>
    <t>康斯特</t>
  </si>
  <si>
    <t>8834万</t>
  </si>
  <si>
    <t>880万</t>
  </si>
  <si>
    <t>5893万</t>
  </si>
  <si>
    <t>4893万</t>
  </si>
  <si>
    <t>6450万</t>
  </si>
  <si>
    <t>金城医药</t>
  </si>
  <si>
    <t>8949万</t>
  </si>
  <si>
    <t>52.9万</t>
  </si>
  <si>
    <t>9042万</t>
  </si>
  <si>
    <t>7241万</t>
  </si>
  <si>
    <t>利君股份</t>
  </si>
  <si>
    <t>4405万</t>
  </si>
  <si>
    <t>4401万</t>
  </si>
  <si>
    <t>830万</t>
  </si>
  <si>
    <t>建投能源</t>
  </si>
  <si>
    <t>4106万</t>
  </si>
  <si>
    <t>南 玻Ａ</t>
  </si>
  <si>
    <t>大理药业</t>
  </si>
  <si>
    <t>1004万</t>
  </si>
  <si>
    <t>90.3万</t>
  </si>
  <si>
    <t>天龙股份</t>
  </si>
  <si>
    <t>1902万</t>
  </si>
  <si>
    <t>1507万</t>
  </si>
  <si>
    <t>恒生电子</t>
  </si>
  <si>
    <t>5711万</t>
  </si>
  <si>
    <t>4218万</t>
  </si>
  <si>
    <t>5657万</t>
  </si>
  <si>
    <t>5735万</t>
  </si>
  <si>
    <t>XD瑞贝卡</t>
  </si>
  <si>
    <t>5602万</t>
  </si>
  <si>
    <t>4987万</t>
  </si>
  <si>
    <t>金发科技</t>
  </si>
  <si>
    <t>-28.2万</t>
  </si>
  <si>
    <t>72.6亿</t>
  </si>
  <si>
    <t>雪浪环境</t>
  </si>
  <si>
    <t>6367万</t>
  </si>
  <si>
    <t>7.53万</t>
  </si>
  <si>
    <t>2067万</t>
  </si>
  <si>
    <t>新开源</t>
  </si>
  <si>
    <t>8571万</t>
  </si>
  <si>
    <t>2898万</t>
  </si>
  <si>
    <t>-69.6万</t>
  </si>
  <si>
    <t>2433万</t>
  </si>
  <si>
    <t>科士达</t>
  </si>
  <si>
    <t>3.75万</t>
  </si>
  <si>
    <t>4476万</t>
  </si>
  <si>
    <t>577万</t>
  </si>
  <si>
    <t>北京利尔</t>
  </si>
  <si>
    <t>7108万</t>
  </si>
  <si>
    <t>天神娱乐</t>
  </si>
  <si>
    <t>4133万</t>
  </si>
  <si>
    <t>2971万</t>
  </si>
  <si>
    <t>联泰环保</t>
  </si>
  <si>
    <t>5334万</t>
  </si>
  <si>
    <t>5340万</t>
  </si>
  <si>
    <t>2345万</t>
  </si>
  <si>
    <t>866万</t>
  </si>
  <si>
    <t>石英股份</t>
  </si>
  <si>
    <t>2.49万</t>
  </si>
  <si>
    <t>2810万</t>
  </si>
  <si>
    <t>2407万</t>
  </si>
  <si>
    <t>8187万</t>
  </si>
  <si>
    <t>1019万</t>
  </si>
  <si>
    <t>依顿电子</t>
  </si>
  <si>
    <t>8586万</t>
  </si>
  <si>
    <t>1558万</t>
  </si>
  <si>
    <t>麦格米特</t>
  </si>
  <si>
    <t>4972万</t>
  </si>
  <si>
    <t>启迪桑德</t>
  </si>
  <si>
    <t>-24.1万</t>
  </si>
  <si>
    <t>中钨高新</t>
  </si>
  <si>
    <t>8588万</t>
  </si>
  <si>
    <t>-1.83亿</t>
  </si>
  <si>
    <t>金 融 街</t>
  </si>
  <si>
    <t>-565万</t>
  </si>
  <si>
    <t>1327亿</t>
  </si>
  <si>
    <t>913亿</t>
  </si>
  <si>
    <t>华正新材</t>
  </si>
  <si>
    <t>1141万</t>
  </si>
  <si>
    <t>吉林高速</t>
  </si>
  <si>
    <t>康拓红外</t>
  </si>
  <si>
    <t>4149万</t>
  </si>
  <si>
    <t>1532万</t>
  </si>
  <si>
    <t>2858万</t>
  </si>
  <si>
    <t>2415万</t>
  </si>
  <si>
    <t>赛为智能</t>
  </si>
  <si>
    <t>广联达</t>
  </si>
  <si>
    <t>5859万</t>
  </si>
  <si>
    <t>5959万</t>
  </si>
  <si>
    <t>5666万</t>
  </si>
  <si>
    <t>天康生物</t>
  </si>
  <si>
    <t>9.63亿</t>
  </si>
  <si>
    <t>5781万</t>
  </si>
  <si>
    <t>-137万</t>
  </si>
  <si>
    <t>5791万</t>
  </si>
  <si>
    <t>5525万</t>
  </si>
  <si>
    <t>广弘控股</t>
  </si>
  <si>
    <t>214万</t>
  </si>
  <si>
    <t>2580万</t>
  </si>
  <si>
    <t>2563万</t>
  </si>
  <si>
    <t>241万</t>
  </si>
  <si>
    <t>五洲新春</t>
  </si>
  <si>
    <t>2729万</t>
  </si>
  <si>
    <t>20.0万</t>
  </si>
  <si>
    <t>2749万</t>
  </si>
  <si>
    <t>2224万</t>
  </si>
  <si>
    <t>福达股份</t>
  </si>
  <si>
    <t>3864万</t>
  </si>
  <si>
    <t>XD锦江股</t>
  </si>
  <si>
    <t>2.77万</t>
  </si>
  <si>
    <t>425亿</t>
  </si>
  <si>
    <t>百花村</t>
  </si>
  <si>
    <t>29.3万</t>
  </si>
  <si>
    <t>3161万</t>
  </si>
  <si>
    <t>-9.75亿</t>
  </si>
  <si>
    <t>4203万</t>
  </si>
  <si>
    <t>永悦科技</t>
  </si>
  <si>
    <t>8100万</t>
  </si>
  <si>
    <t>972万</t>
  </si>
  <si>
    <t>1072万</t>
  </si>
  <si>
    <t>4624万</t>
  </si>
  <si>
    <t>4615万</t>
  </si>
  <si>
    <t>9.53万</t>
  </si>
  <si>
    <t>新日股份</t>
  </si>
  <si>
    <t>7089万</t>
  </si>
  <si>
    <t>2913万</t>
  </si>
  <si>
    <t>海量数据</t>
  </si>
  <si>
    <t>3383万</t>
  </si>
  <si>
    <t>774万</t>
  </si>
  <si>
    <t>34.2万</t>
  </si>
  <si>
    <t>783万</t>
  </si>
  <si>
    <t>7482万</t>
  </si>
  <si>
    <t>红星发展</t>
  </si>
  <si>
    <t>3011万</t>
  </si>
  <si>
    <t>-275万</t>
  </si>
  <si>
    <t>2995万</t>
  </si>
  <si>
    <t>2123万</t>
  </si>
  <si>
    <t>1387万</t>
  </si>
  <si>
    <t>鹏鹞环保</t>
  </si>
  <si>
    <t>6283万</t>
  </si>
  <si>
    <t>6307万</t>
  </si>
  <si>
    <t>吉药控股</t>
  </si>
  <si>
    <t>3554万</t>
  </si>
  <si>
    <t>中宠股份</t>
  </si>
  <si>
    <t>89.0万</t>
  </si>
  <si>
    <t>1262万</t>
  </si>
  <si>
    <t>365万</t>
  </si>
  <si>
    <t>智能自控</t>
  </si>
  <si>
    <t>7719万</t>
  </si>
  <si>
    <t>1263万</t>
  </si>
  <si>
    <t>5721万</t>
  </si>
  <si>
    <t>深物业A</t>
  </si>
  <si>
    <t>-28.1万</t>
  </si>
  <si>
    <t>7142万</t>
  </si>
  <si>
    <t>5346万</t>
  </si>
  <si>
    <t>49.5亿</t>
  </si>
  <si>
    <t>2963万</t>
  </si>
  <si>
    <t>5462万</t>
  </si>
  <si>
    <t>6761万</t>
  </si>
  <si>
    <t>康隆达</t>
  </si>
  <si>
    <t>3727万</t>
  </si>
  <si>
    <t>1989万</t>
  </si>
  <si>
    <t>1928万</t>
  </si>
  <si>
    <t>宏昌电子</t>
  </si>
  <si>
    <t>2393万</t>
  </si>
  <si>
    <t>23.0万</t>
  </si>
  <si>
    <t>2385万</t>
  </si>
  <si>
    <t>1993万</t>
  </si>
  <si>
    <t>594万</t>
  </si>
  <si>
    <t>9967万</t>
  </si>
  <si>
    <t>南京高科</t>
  </si>
  <si>
    <t>3366万</t>
  </si>
  <si>
    <t>浙江广厦</t>
  </si>
  <si>
    <t>2998万</t>
  </si>
  <si>
    <t>2997万</t>
  </si>
  <si>
    <t>4230万</t>
  </si>
  <si>
    <t>澄天伟业</t>
  </si>
  <si>
    <t>6965万</t>
  </si>
  <si>
    <t>1172万</t>
  </si>
  <si>
    <t>1168万</t>
  </si>
  <si>
    <t>7141万</t>
  </si>
  <si>
    <t>6400万</t>
  </si>
  <si>
    <t>广和通</t>
  </si>
  <si>
    <t>16.2万</t>
  </si>
  <si>
    <t>667万</t>
  </si>
  <si>
    <t>567万</t>
  </si>
  <si>
    <t>新宏泽</t>
  </si>
  <si>
    <t>5637万</t>
  </si>
  <si>
    <t>776万</t>
  </si>
  <si>
    <t>7390万</t>
  </si>
  <si>
    <t>7222万</t>
  </si>
  <si>
    <t>3494万</t>
  </si>
  <si>
    <t>金智科技</t>
  </si>
  <si>
    <t>金陵药业</t>
  </si>
  <si>
    <t>7546万</t>
  </si>
  <si>
    <t>1368万</t>
  </si>
  <si>
    <t>4710万</t>
  </si>
  <si>
    <t>2284万</t>
  </si>
  <si>
    <t>四川美丰</t>
  </si>
  <si>
    <t>5770万</t>
  </si>
  <si>
    <t>5768万</t>
  </si>
  <si>
    <t>4769万</t>
  </si>
  <si>
    <t>航天工程</t>
  </si>
  <si>
    <t>5087万</t>
  </si>
  <si>
    <t>4492万</t>
  </si>
  <si>
    <t>7478万</t>
  </si>
  <si>
    <t>百大集团</t>
  </si>
  <si>
    <t>970万</t>
  </si>
  <si>
    <t>3045万</t>
  </si>
  <si>
    <t>8839万</t>
  </si>
  <si>
    <t>刚泰控股</t>
  </si>
  <si>
    <t>联环药业</t>
  </si>
  <si>
    <t>1929万</t>
  </si>
  <si>
    <t>1584万</t>
  </si>
  <si>
    <t>千金药业</t>
  </si>
  <si>
    <t>41.1万</t>
  </si>
  <si>
    <t>5096万</t>
  </si>
  <si>
    <t>3394万</t>
  </si>
  <si>
    <t>维维股份</t>
  </si>
  <si>
    <t>-286万</t>
  </si>
  <si>
    <t>8484万</t>
  </si>
  <si>
    <t>4915万</t>
  </si>
  <si>
    <t>亚星客车</t>
  </si>
  <si>
    <t>-4.32亿</t>
  </si>
  <si>
    <t>双一科技</t>
  </si>
  <si>
    <t>9063万</t>
  </si>
  <si>
    <t>长川科技</t>
  </si>
  <si>
    <t>7803万</t>
  </si>
  <si>
    <t>4554万</t>
  </si>
  <si>
    <t>914万</t>
  </si>
  <si>
    <t>95.9万</t>
  </si>
  <si>
    <t>755万</t>
  </si>
  <si>
    <t>吴通控股</t>
  </si>
  <si>
    <t>4916万</t>
  </si>
  <si>
    <t>良信电器</t>
  </si>
  <si>
    <t>4326万</t>
  </si>
  <si>
    <t>691万</t>
  </si>
  <si>
    <t>4739万</t>
  </si>
  <si>
    <t>4007万</t>
  </si>
  <si>
    <t>广发证券</t>
  </si>
  <si>
    <t>3878亿</t>
  </si>
  <si>
    <t>8.98亿</t>
  </si>
  <si>
    <t>2980亿</t>
  </si>
  <si>
    <t>中色股份</t>
  </si>
  <si>
    <t>9224万</t>
  </si>
  <si>
    <t>熊猫金控</t>
  </si>
  <si>
    <t>6976万</t>
  </si>
  <si>
    <t>1922万</t>
  </si>
  <si>
    <t>1925万</t>
  </si>
  <si>
    <t>1306万</t>
  </si>
  <si>
    <t>5241万</t>
  </si>
  <si>
    <t>860万</t>
  </si>
  <si>
    <t>中信证券</t>
  </si>
  <si>
    <t>6597亿</t>
  </si>
  <si>
    <t>5045亿</t>
  </si>
  <si>
    <t>1517亿</t>
  </si>
  <si>
    <t>史丹利</t>
  </si>
  <si>
    <t>9212万</t>
  </si>
  <si>
    <t>9242万</t>
  </si>
  <si>
    <t>原尚股份</t>
  </si>
  <si>
    <t>8827万</t>
  </si>
  <si>
    <t>7742万</t>
  </si>
  <si>
    <t>7262万</t>
  </si>
  <si>
    <t>480万</t>
  </si>
  <si>
    <t>日播时尚</t>
  </si>
  <si>
    <t>2237万</t>
  </si>
  <si>
    <t>凌云股份</t>
  </si>
  <si>
    <t>1114万</t>
  </si>
  <si>
    <t>新界泵业</t>
  </si>
  <si>
    <t>3049万</t>
  </si>
  <si>
    <t>6315万</t>
  </si>
  <si>
    <t>摩恩电气</t>
  </si>
  <si>
    <t>5.31万</t>
  </si>
  <si>
    <t>1754万</t>
  </si>
  <si>
    <t>营口港</t>
  </si>
  <si>
    <t>4.08万</t>
  </si>
  <si>
    <t>2232万</t>
  </si>
  <si>
    <t>上海洗霸</t>
  </si>
  <si>
    <t>7504万</t>
  </si>
  <si>
    <t>2527万</t>
  </si>
  <si>
    <t>12.7万</t>
  </si>
  <si>
    <t>1287万</t>
  </si>
  <si>
    <t>1440万</t>
  </si>
  <si>
    <t>8176万</t>
  </si>
  <si>
    <t>11.0万</t>
  </si>
  <si>
    <t>志邦股份</t>
  </si>
  <si>
    <t>3488万</t>
  </si>
  <si>
    <t>3492万</t>
  </si>
  <si>
    <t>3015万</t>
  </si>
  <si>
    <t>1903万</t>
  </si>
  <si>
    <t>宁波精达</t>
  </si>
  <si>
    <t>7431万</t>
  </si>
  <si>
    <t>1063万</t>
  </si>
  <si>
    <t>3.38万</t>
  </si>
  <si>
    <t>1070万</t>
  </si>
  <si>
    <t>1057万</t>
  </si>
  <si>
    <t>朗玛信息</t>
  </si>
  <si>
    <t>2213万</t>
  </si>
  <si>
    <t>756万</t>
  </si>
  <si>
    <t>2147万</t>
  </si>
  <si>
    <t>2895万</t>
  </si>
  <si>
    <t>亚太科技</t>
  </si>
  <si>
    <t>9999万</t>
  </si>
  <si>
    <t>2075万</t>
  </si>
  <si>
    <t>1560万</t>
  </si>
  <si>
    <t>美邦服饰</t>
  </si>
  <si>
    <t>4140万</t>
  </si>
  <si>
    <t>-2.91亿</t>
  </si>
  <si>
    <t>64.2亿</t>
  </si>
  <si>
    <t>中青旅</t>
  </si>
  <si>
    <t>-603万</t>
  </si>
  <si>
    <t>9881万</t>
  </si>
  <si>
    <t>曲美家居</t>
  </si>
  <si>
    <t>3524万</t>
  </si>
  <si>
    <t>日月股份</t>
  </si>
  <si>
    <t>9943万</t>
  </si>
  <si>
    <t>5478万</t>
  </si>
  <si>
    <t>5615万</t>
  </si>
  <si>
    <t>5677万</t>
  </si>
  <si>
    <t>联创光电</t>
  </si>
  <si>
    <t>4486万</t>
  </si>
  <si>
    <t>4771万</t>
  </si>
  <si>
    <t>3953万</t>
  </si>
  <si>
    <t>保利地产</t>
  </si>
  <si>
    <t>5.53万</t>
  </si>
  <si>
    <t>732亿</t>
  </si>
  <si>
    <t>7612亿</t>
  </si>
  <si>
    <t>7105亿</t>
  </si>
  <si>
    <t>5971亿</t>
  </si>
  <si>
    <t>3848亿</t>
  </si>
  <si>
    <t>2123亿</t>
  </si>
  <si>
    <t>1094亿</t>
  </si>
  <si>
    <t>炬华科技</t>
  </si>
  <si>
    <t>4334万</t>
  </si>
  <si>
    <t>3634万</t>
  </si>
  <si>
    <t>6294万</t>
  </si>
  <si>
    <t>98.8万</t>
  </si>
  <si>
    <t>长缆科技</t>
  </si>
  <si>
    <t>2850万</t>
  </si>
  <si>
    <t>416万</t>
  </si>
  <si>
    <t>百川股份</t>
  </si>
  <si>
    <t>2807万</t>
  </si>
  <si>
    <t>-37.0万</t>
  </si>
  <si>
    <t>2813万</t>
  </si>
  <si>
    <t>2343万</t>
  </si>
  <si>
    <t>739万</t>
  </si>
  <si>
    <t>大北农</t>
  </si>
  <si>
    <t>2622万</t>
  </si>
  <si>
    <t>83.3亿</t>
  </si>
  <si>
    <t>飞马国际</t>
  </si>
  <si>
    <t>8712万</t>
  </si>
  <si>
    <t>-32.8万</t>
  </si>
  <si>
    <t>7291万</t>
  </si>
  <si>
    <t>经纬纺机</t>
  </si>
  <si>
    <t>374亿</t>
  </si>
  <si>
    <t>天茂集团</t>
  </si>
  <si>
    <t>1648亿</t>
  </si>
  <si>
    <t>1383亿</t>
  </si>
  <si>
    <t>1200亿</t>
  </si>
  <si>
    <t>赣粤高速</t>
  </si>
  <si>
    <t>-326万</t>
  </si>
  <si>
    <t>83.6亿</t>
  </si>
  <si>
    <t>兆丰股份</t>
  </si>
  <si>
    <t>6668万</t>
  </si>
  <si>
    <t>1668万</t>
  </si>
  <si>
    <t>3290万</t>
  </si>
  <si>
    <t>557万</t>
  </si>
  <si>
    <t>东方网力</t>
  </si>
  <si>
    <t>6744万</t>
  </si>
  <si>
    <t>-3.98万</t>
  </si>
  <si>
    <t>6347万</t>
  </si>
  <si>
    <t>金运激光</t>
  </si>
  <si>
    <t>5661万</t>
  </si>
  <si>
    <t>494万</t>
  </si>
  <si>
    <t>427万</t>
  </si>
  <si>
    <t>2626万</t>
  </si>
  <si>
    <t>8989万</t>
  </si>
  <si>
    <t>天顺风能</t>
  </si>
  <si>
    <t>5.07万</t>
  </si>
  <si>
    <t>8973万</t>
  </si>
  <si>
    <t>8193万</t>
  </si>
  <si>
    <t>泰和新材</t>
  </si>
  <si>
    <t>252万</t>
  </si>
  <si>
    <t>4398万</t>
  </si>
  <si>
    <t>3571万</t>
  </si>
  <si>
    <t>沧州明珠</t>
  </si>
  <si>
    <t>7445万</t>
  </si>
  <si>
    <t>5549万</t>
  </si>
  <si>
    <t>9128万</t>
  </si>
  <si>
    <t>哈工智能</t>
  </si>
  <si>
    <t>上海九百</t>
  </si>
  <si>
    <t>1974万</t>
  </si>
  <si>
    <t>2187万</t>
  </si>
  <si>
    <t>2769万</t>
  </si>
  <si>
    <t>2186万</t>
  </si>
  <si>
    <t>6499万</t>
  </si>
  <si>
    <t>6789万</t>
  </si>
  <si>
    <t>晨化股份</t>
  </si>
  <si>
    <t>4974万</t>
  </si>
  <si>
    <t>1471万</t>
  </si>
  <si>
    <t>40.9万</t>
  </si>
  <si>
    <t>7160万</t>
  </si>
  <si>
    <t>9414万</t>
  </si>
  <si>
    <t>赛托生物</t>
  </si>
  <si>
    <t>1058万</t>
  </si>
  <si>
    <t>永贵电器</t>
  </si>
  <si>
    <t>5402万</t>
  </si>
  <si>
    <t>469万</t>
  </si>
  <si>
    <t>5393万</t>
  </si>
  <si>
    <t>3032万</t>
  </si>
  <si>
    <t>乾照光电</t>
  </si>
  <si>
    <t>5650万</t>
  </si>
  <si>
    <t>503万</t>
  </si>
  <si>
    <t>4732万</t>
  </si>
  <si>
    <t>万安科技</t>
  </si>
  <si>
    <t>-605万</t>
  </si>
  <si>
    <t>4067万</t>
  </si>
  <si>
    <t>3195万</t>
  </si>
  <si>
    <t>5810万</t>
  </si>
  <si>
    <t>众业达</t>
  </si>
  <si>
    <t>7699万</t>
  </si>
  <si>
    <t>4.47万</t>
  </si>
  <si>
    <t>7872万</t>
  </si>
  <si>
    <t>6229万</t>
  </si>
  <si>
    <t>1565万</t>
  </si>
  <si>
    <t>胜利精密</t>
  </si>
  <si>
    <t>3.00万</t>
  </si>
  <si>
    <t>1353万</t>
  </si>
  <si>
    <t>96.6亿</t>
  </si>
  <si>
    <t>新 华 都</t>
  </si>
  <si>
    <t>3952万</t>
  </si>
  <si>
    <t>-343万</t>
  </si>
  <si>
    <t>3971万</t>
  </si>
  <si>
    <t>2868万</t>
  </si>
  <si>
    <t>-2.82亿</t>
  </si>
  <si>
    <t>2183万</t>
  </si>
  <si>
    <t>莱茵生物</t>
  </si>
  <si>
    <t>2239万</t>
  </si>
  <si>
    <t>1829万</t>
  </si>
  <si>
    <t>渤海金控</t>
  </si>
  <si>
    <t>-5701万</t>
  </si>
  <si>
    <t>2918亿</t>
  </si>
  <si>
    <t>1705亿</t>
  </si>
  <si>
    <t>2568亿</t>
  </si>
  <si>
    <t>605亿</t>
  </si>
  <si>
    <t>1963亿</t>
  </si>
  <si>
    <t>新城控股</t>
  </si>
  <si>
    <t>1948亿</t>
  </si>
  <si>
    <t>1526亿</t>
  </si>
  <si>
    <t>1680亿</t>
  </si>
  <si>
    <t>1335亿</t>
  </si>
  <si>
    <t>*ST安煤</t>
  </si>
  <si>
    <t>3273万</t>
  </si>
  <si>
    <t>-23.9亿</t>
  </si>
  <si>
    <t>五矿资本</t>
  </si>
  <si>
    <t>1160亿</t>
  </si>
  <si>
    <t>809亿</t>
  </si>
  <si>
    <t>695亿</t>
  </si>
  <si>
    <t>银江股份</t>
  </si>
  <si>
    <t>5999万</t>
  </si>
  <si>
    <t>59.5万</t>
  </si>
  <si>
    <t>5360万</t>
  </si>
  <si>
    <t>盘龙药业</t>
  </si>
  <si>
    <t>8667万</t>
  </si>
  <si>
    <t>9425万</t>
  </si>
  <si>
    <t>1129万</t>
  </si>
  <si>
    <t>华宏科技</t>
  </si>
  <si>
    <t>91.6万</t>
  </si>
  <si>
    <t>3535万</t>
  </si>
  <si>
    <t>2974万</t>
  </si>
  <si>
    <t>2022万</t>
  </si>
  <si>
    <t>山东章鼓</t>
  </si>
  <si>
    <t>1524万</t>
  </si>
  <si>
    <t>2181万</t>
  </si>
  <si>
    <t>旷达科技</t>
  </si>
  <si>
    <t>9225万</t>
  </si>
  <si>
    <t>573万</t>
  </si>
  <si>
    <t>9215万</t>
  </si>
  <si>
    <t>7059万</t>
  </si>
  <si>
    <t>好莱客</t>
  </si>
  <si>
    <t>8900万</t>
  </si>
  <si>
    <t>4555万</t>
  </si>
  <si>
    <t>980万</t>
  </si>
  <si>
    <t>3553万</t>
  </si>
  <si>
    <t>诚邦股份</t>
  </si>
  <si>
    <t>772万</t>
  </si>
  <si>
    <t>三六五网</t>
  </si>
  <si>
    <t>2221万</t>
  </si>
  <si>
    <t>-24.7万</t>
  </si>
  <si>
    <t>2674万</t>
  </si>
  <si>
    <t>976万</t>
  </si>
  <si>
    <t>泰永长征</t>
  </si>
  <si>
    <t>6145万</t>
  </si>
  <si>
    <t>8.36万</t>
  </si>
  <si>
    <t>5720万</t>
  </si>
  <si>
    <t>8766万</t>
  </si>
  <si>
    <t>6972万</t>
  </si>
  <si>
    <t>仙琚制药</t>
  </si>
  <si>
    <t>7134万</t>
  </si>
  <si>
    <t>665万</t>
  </si>
  <si>
    <t>海峡环保</t>
  </si>
  <si>
    <t>8857万</t>
  </si>
  <si>
    <t>3071万</t>
  </si>
  <si>
    <t>-17.7万</t>
  </si>
  <si>
    <t>2849万</t>
  </si>
  <si>
    <t>2429万</t>
  </si>
  <si>
    <t>日盈电子</t>
  </si>
  <si>
    <t>8808万</t>
  </si>
  <si>
    <t>2202万</t>
  </si>
  <si>
    <t>822万</t>
  </si>
  <si>
    <t>67.3万</t>
  </si>
  <si>
    <t>803万</t>
  </si>
  <si>
    <t>726万</t>
  </si>
  <si>
    <t>春风动力</t>
  </si>
  <si>
    <t>3333万</t>
  </si>
  <si>
    <t>1304万</t>
  </si>
  <si>
    <t>1606万</t>
  </si>
  <si>
    <t>1551万</t>
  </si>
  <si>
    <t>816万</t>
  </si>
  <si>
    <t>汇嘉时代</t>
  </si>
  <si>
    <t>5270万</t>
  </si>
  <si>
    <t>4459万</t>
  </si>
  <si>
    <t>813万</t>
  </si>
  <si>
    <t>北特科技</t>
  </si>
  <si>
    <t>2712万</t>
  </si>
  <si>
    <t>184万</t>
  </si>
  <si>
    <t>2324万</t>
  </si>
  <si>
    <t>中远海发</t>
  </si>
  <si>
    <t>1352亿</t>
  </si>
  <si>
    <t>1178亿</t>
  </si>
  <si>
    <t>559亿</t>
  </si>
  <si>
    <t>-1452万</t>
  </si>
  <si>
    <t>大众交通</t>
  </si>
  <si>
    <t>1563万</t>
  </si>
  <si>
    <t>748万</t>
  </si>
  <si>
    <t>特变电工</t>
  </si>
  <si>
    <t>875亿</t>
  </si>
  <si>
    <t>381亿</t>
  </si>
  <si>
    <t>富瀚微</t>
  </si>
  <si>
    <t>4532万</t>
  </si>
  <si>
    <t>1294万</t>
  </si>
  <si>
    <t>8632万</t>
  </si>
  <si>
    <t>50.6万</t>
  </si>
  <si>
    <t>1559万</t>
  </si>
  <si>
    <t>海伦钢琴</t>
  </si>
  <si>
    <t>77.9万</t>
  </si>
  <si>
    <t>钧达股份</t>
  </si>
  <si>
    <t>3810万</t>
  </si>
  <si>
    <t>1750万</t>
  </si>
  <si>
    <t>1741万</t>
  </si>
  <si>
    <t>爱施德</t>
  </si>
  <si>
    <t>8338万</t>
  </si>
  <si>
    <t>778万</t>
  </si>
  <si>
    <t>1543万</t>
  </si>
  <si>
    <t>北讯集团</t>
  </si>
  <si>
    <t>7.72万</t>
  </si>
  <si>
    <t>3.74万</t>
  </si>
  <si>
    <t>通宝能源</t>
  </si>
  <si>
    <t>420万</t>
  </si>
  <si>
    <t>欧亚集团</t>
  </si>
  <si>
    <t>262万</t>
  </si>
  <si>
    <t>5016万</t>
  </si>
  <si>
    <t>广汇物流</t>
  </si>
  <si>
    <t>9916万</t>
  </si>
  <si>
    <t>4315万</t>
  </si>
  <si>
    <t>天房发展</t>
  </si>
  <si>
    <t>-443万</t>
  </si>
  <si>
    <t>7484万</t>
  </si>
  <si>
    <t>9220万</t>
  </si>
  <si>
    <t>西水股份</t>
  </si>
  <si>
    <t>1551亿</t>
  </si>
  <si>
    <t>1258亿</t>
  </si>
  <si>
    <t>依米康</t>
  </si>
  <si>
    <t>1982万</t>
  </si>
  <si>
    <t>万润科技</t>
  </si>
  <si>
    <t>茂化实华</t>
  </si>
  <si>
    <t>2468万</t>
  </si>
  <si>
    <t>4681万</t>
  </si>
  <si>
    <t>迪贝电气</t>
  </si>
  <si>
    <t>1006万</t>
  </si>
  <si>
    <t>澳柯玛</t>
  </si>
  <si>
    <t>333万</t>
  </si>
  <si>
    <t>3754万</t>
  </si>
  <si>
    <t>-1.62亿</t>
  </si>
  <si>
    <t>友讯达</t>
  </si>
  <si>
    <t>9032万</t>
  </si>
  <si>
    <t>1085万</t>
  </si>
  <si>
    <t>1084万</t>
  </si>
  <si>
    <t>824万</t>
  </si>
  <si>
    <t>415万</t>
  </si>
  <si>
    <t>海航基础</t>
  </si>
  <si>
    <t>7.32万</t>
  </si>
  <si>
    <t>946亿</t>
  </si>
  <si>
    <t>509亿</t>
  </si>
  <si>
    <t>傲农生物</t>
  </si>
  <si>
    <t>24.3万</t>
  </si>
  <si>
    <t>1386万</t>
  </si>
  <si>
    <t>保税科技</t>
  </si>
  <si>
    <t>-1289万</t>
  </si>
  <si>
    <t>3483万</t>
  </si>
  <si>
    <t>3021万</t>
  </si>
  <si>
    <t>飞利信</t>
  </si>
  <si>
    <t>8966万</t>
  </si>
  <si>
    <t>汉威科技</t>
  </si>
  <si>
    <t>4163万</t>
  </si>
  <si>
    <t>2347万</t>
  </si>
  <si>
    <t>华西证券</t>
  </si>
  <si>
    <t>580亿</t>
  </si>
  <si>
    <t>水晶光电</t>
  </si>
  <si>
    <t>6666万</t>
  </si>
  <si>
    <t>中材科技</t>
  </si>
  <si>
    <t>-1.47万</t>
  </si>
  <si>
    <t>宁德时代</t>
  </si>
  <si>
    <t>478亿</t>
  </si>
  <si>
    <t>长海股份</t>
  </si>
  <si>
    <t>4723万</t>
  </si>
  <si>
    <t>25.4万</t>
  </si>
  <si>
    <t>4019万</t>
  </si>
  <si>
    <t>双林股份</t>
  </si>
  <si>
    <t>-1448万</t>
  </si>
  <si>
    <t>5788万</t>
  </si>
  <si>
    <t>惠博普</t>
  </si>
  <si>
    <t>3670万</t>
  </si>
  <si>
    <t>1325万</t>
  </si>
  <si>
    <t>4144万</t>
  </si>
  <si>
    <t>海源机械</t>
  </si>
  <si>
    <t>8469万</t>
  </si>
  <si>
    <t>2739万</t>
  </si>
  <si>
    <t>-27.8万</t>
  </si>
  <si>
    <t>2628万</t>
  </si>
  <si>
    <t>深桑达Ａ</t>
  </si>
  <si>
    <t>2873万</t>
  </si>
  <si>
    <t>3140万</t>
  </si>
  <si>
    <t>2550万</t>
  </si>
  <si>
    <t>8296万</t>
  </si>
  <si>
    <t>3249万</t>
  </si>
  <si>
    <t>3438万</t>
  </si>
  <si>
    <t>特 力Ａ</t>
  </si>
  <si>
    <t>9210万</t>
  </si>
  <si>
    <t>1556万</t>
  </si>
  <si>
    <t>1610万</t>
  </si>
  <si>
    <t>5338万</t>
  </si>
  <si>
    <t>茶花股份</t>
  </si>
  <si>
    <t>7486万</t>
  </si>
  <si>
    <t>3013万</t>
  </si>
  <si>
    <t>7502万</t>
  </si>
  <si>
    <t>7126万</t>
  </si>
  <si>
    <t>财通证券</t>
  </si>
  <si>
    <t>第一医药</t>
  </si>
  <si>
    <t>1514万</t>
  </si>
  <si>
    <t>1151万</t>
  </si>
  <si>
    <t>7933万</t>
  </si>
  <si>
    <t>7109万</t>
  </si>
  <si>
    <t>6519万</t>
  </si>
  <si>
    <t>电子城</t>
  </si>
  <si>
    <t>53.0万</t>
  </si>
  <si>
    <t>太龙照明</t>
  </si>
  <si>
    <t>7430万</t>
  </si>
  <si>
    <t>6879万</t>
  </si>
  <si>
    <t>795万</t>
  </si>
  <si>
    <t>890万</t>
  </si>
  <si>
    <t>7522万</t>
  </si>
  <si>
    <t>云意电气</t>
  </si>
  <si>
    <t>2845万</t>
  </si>
  <si>
    <t>2851万</t>
  </si>
  <si>
    <t>3615万</t>
  </si>
  <si>
    <t>同有科技</t>
  </si>
  <si>
    <t>1467万</t>
  </si>
  <si>
    <t>64.1万</t>
  </si>
  <si>
    <t>1275万</t>
  </si>
  <si>
    <t>7578万</t>
  </si>
  <si>
    <t>9513万</t>
  </si>
  <si>
    <t>806万</t>
  </si>
  <si>
    <t>山东矿机</t>
  </si>
  <si>
    <t>4940万</t>
  </si>
  <si>
    <t>64.6万</t>
  </si>
  <si>
    <t>3781万</t>
  </si>
  <si>
    <t>久立特材</t>
  </si>
  <si>
    <t>5843万</t>
  </si>
  <si>
    <t>5916万</t>
  </si>
  <si>
    <t>4821万</t>
  </si>
  <si>
    <t>永安行</t>
  </si>
  <si>
    <t>3360万</t>
  </si>
  <si>
    <t>3561万</t>
  </si>
  <si>
    <t>18.6万</t>
  </si>
  <si>
    <t>1658万</t>
  </si>
  <si>
    <t>纽威股份</t>
  </si>
  <si>
    <t>903万</t>
  </si>
  <si>
    <t>5019万</t>
  </si>
  <si>
    <t>6970万</t>
  </si>
  <si>
    <t>广东明珠</t>
  </si>
  <si>
    <t>5286万</t>
  </si>
  <si>
    <t>地尔汉宇</t>
  </si>
  <si>
    <t>2771万</t>
  </si>
  <si>
    <t>2431万</t>
  </si>
  <si>
    <t>云图控股</t>
  </si>
  <si>
    <t>6304万</t>
  </si>
  <si>
    <t>-57.9万</t>
  </si>
  <si>
    <t>6273万</t>
  </si>
  <si>
    <t>92.6亿</t>
  </si>
  <si>
    <t>双环传动</t>
  </si>
  <si>
    <t>448万</t>
  </si>
  <si>
    <t>5555万</t>
  </si>
  <si>
    <t>森源电气</t>
  </si>
  <si>
    <t>9515万</t>
  </si>
  <si>
    <t>9580万</t>
  </si>
  <si>
    <t>8080万</t>
  </si>
  <si>
    <t>中科新材</t>
  </si>
  <si>
    <t>2562万</t>
  </si>
  <si>
    <t>2488万</t>
  </si>
  <si>
    <t>1998万</t>
  </si>
  <si>
    <t>汇鸿集团</t>
  </si>
  <si>
    <t>华电国际</t>
  </si>
  <si>
    <t>2161亿</t>
  </si>
  <si>
    <t>1381亿</t>
  </si>
  <si>
    <t>1598亿</t>
  </si>
  <si>
    <t>731亿</t>
  </si>
  <si>
    <t>867亿</t>
  </si>
  <si>
    <t>科斯伍德</t>
  </si>
  <si>
    <t>2809万</t>
  </si>
  <si>
    <t>29.5万</t>
  </si>
  <si>
    <t>2864万</t>
  </si>
  <si>
    <t>1161万</t>
  </si>
  <si>
    <t>智云股份</t>
  </si>
  <si>
    <t>3889万</t>
  </si>
  <si>
    <t>3268万</t>
  </si>
  <si>
    <t>朗科科技</t>
  </si>
  <si>
    <t>1786万</t>
  </si>
  <si>
    <t>1489万</t>
  </si>
  <si>
    <t>3272万</t>
  </si>
  <si>
    <t>84.0万</t>
  </si>
  <si>
    <t>奥特佳</t>
  </si>
  <si>
    <t>2.92万</t>
  </si>
  <si>
    <t>9075万</t>
  </si>
  <si>
    <t>1480万</t>
  </si>
  <si>
    <t>9420万</t>
  </si>
  <si>
    <t>8551万</t>
  </si>
  <si>
    <t>汉钟精机</t>
  </si>
  <si>
    <t>765万</t>
  </si>
  <si>
    <t>2909万</t>
  </si>
  <si>
    <t>大亚圣象</t>
  </si>
  <si>
    <t>3.58万</t>
  </si>
  <si>
    <t>8141万</t>
  </si>
  <si>
    <t>8140万</t>
  </si>
  <si>
    <t>我爱我家</t>
  </si>
  <si>
    <t>阿科力</t>
  </si>
  <si>
    <t>8670万</t>
  </si>
  <si>
    <t>9282万</t>
  </si>
  <si>
    <t>26.1万</t>
  </si>
  <si>
    <t>852万</t>
  </si>
  <si>
    <t>江西铜业</t>
  </si>
  <si>
    <t>506亿</t>
  </si>
  <si>
    <t>433亿</t>
  </si>
  <si>
    <t>佛慈制药</t>
  </si>
  <si>
    <t>2642万</t>
  </si>
  <si>
    <t>得邦照明</t>
  </si>
  <si>
    <t>4134万</t>
  </si>
  <si>
    <t>4542万</t>
  </si>
  <si>
    <t>3854万</t>
  </si>
  <si>
    <t>62.0万</t>
  </si>
  <si>
    <t>钱江水利</t>
  </si>
  <si>
    <t>5495万</t>
  </si>
  <si>
    <t>和晶科技</t>
  </si>
  <si>
    <t>3647万</t>
  </si>
  <si>
    <t>-612万</t>
  </si>
  <si>
    <t>3836万</t>
  </si>
  <si>
    <t>2718万</t>
  </si>
  <si>
    <t>9514万</t>
  </si>
  <si>
    <t>金浦钛业</t>
  </si>
  <si>
    <t>4070万</t>
  </si>
  <si>
    <t>-567万</t>
  </si>
  <si>
    <t>3252万</t>
  </si>
  <si>
    <t>-6412万</t>
  </si>
  <si>
    <t>ST云维</t>
  </si>
  <si>
    <t>59.9万</t>
  </si>
  <si>
    <t>450万</t>
  </si>
  <si>
    <t>-28.6亿</t>
  </si>
  <si>
    <t>60.8万</t>
  </si>
  <si>
    <t>开开实业</t>
  </si>
  <si>
    <t>33.8万</t>
  </si>
  <si>
    <t>1545万</t>
  </si>
  <si>
    <t>华能国际</t>
  </si>
  <si>
    <t>3826亿</t>
  </si>
  <si>
    <t>2430亿</t>
  </si>
  <si>
    <t>2882亿</t>
  </si>
  <si>
    <t>1503亿</t>
  </si>
  <si>
    <t>1380亿</t>
  </si>
  <si>
    <t>767亿</t>
  </si>
  <si>
    <t>三雄极光</t>
  </si>
  <si>
    <t>9119万</t>
  </si>
  <si>
    <t>3644万</t>
  </si>
  <si>
    <t>名臣健康</t>
  </si>
  <si>
    <t>8142万</t>
  </si>
  <si>
    <t>1098万</t>
  </si>
  <si>
    <t>1017万</t>
  </si>
  <si>
    <t>870万</t>
  </si>
  <si>
    <t>4753万</t>
  </si>
  <si>
    <t>富春环保</t>
  </si>
  <si>
    <t>6382万</t>
  </si>
  <si>
    <t>6775万</t>
  </si>
  <si>
    <t>4680万</t>
  </si>
  <si>
    <t>新野纺织</t>
  </si>
  <si>
    <t>5860万</t>
  </si>
  <si>
    <t>5243万</t>
  </si>
  <si>
    <t>达安基因</t>
  </si>
  <si>
    <t>3898万</t>
  </si>
  <si>
    <t>3887万</t>
  </si>
  <si>
    <t>2780万</t>
  </si>
  <si>
    <t>长源电力</t>
  </si>
  <si>
    <t>2.02万</t>
  </si>
  <si>
    <t>23.4万</t>
  </si>
  <si>
    <t>8531万</t>
  </si>
  <si>
    <t>5247万</t>
  </si>
  <si>
    <t>94.6亿</t>
  </si>
  <si>
    <t>中航善达</t>
  </si>
  <si>
    <t>6758万</t>
  </si>
  <si>
    <t>94.7亿</t>
  </si>
  <si>
    <t>武进不锈</t>
  </si>
  <si>
    <t>566万</t>
  </si>
  <si>
    <t>3236万</t>
  </si>
  <si>
    <t>3534万</t>
  </si>
  <si>
    <t>花王股份</t>
  </si>
  <si>
    <t>1781万</t>
  </si>
  <si>
    <t>42.0万</t>
  </si>
  <si>
    <t>1862万</t>
  </si>
  <si>
    <t>6561万</t>
  </si>
  <si>
    <t>日照港</t>
  </si>
  <si>
    <t>博腾股份</t>
  </si>
  <si>
    <t>2206万</t>
  </si>
  <si>
    <t>沃特股份</t>
  </si>
  <si>
    <t>1160万</t>
  </si>
  <si>
    <t>黄山胶囊</t>
  </si>
  <si>
    <t>7530万</t>
  </si>
  <si>
    <t>80.6万</t>
  </si>
  <si>
    <t>1066万</t>
  </si>
  <si>
    <t>8435万</t>
  </si>
  <si>
    <t>6257万</t>
  </si>
  <si>
    <t>海欣食品</t>
  </si>
  <si>
    <t>1576万</t>
  </si>
  <si>
    <t>合众思壮</t>
  </si>
  <si>
    <t>5609万</t>
  </si>
  <si>
    <t>978万</t>
  </si>
  <si>
    <t>5619万</t>
  </si>
  <si>
    <t>5378万</t>
  </si>
  <si>
    <t>锡业股份</t>
  </si>
  <si>
    <t>吉林敖东</t>
  </si>
  <si>
    <t>博敏电子</t>
  </si>
  <si>
    <t>5610万</t>
  </si>
  <si>
    <t>1283万</t>
  </si>
  <si>
    <t>7.20万</t>
  </si>
  <si>
    <t>苏博特</t>
  </si>
  <si>
    <t>7600万</t>
  </si>
  <si>
    <t>3705万</t>
  </si>
  <si>
    <t>3618万</t>
  </si>
  <si>
    <t>2978万</t>
  </si>
  <si>
    <t>新澳股份</t>
  </si>
  <si>
    <t>4344万</t>
  </si>
  <si>
    <t>-36.7万</t>
  </si>
  <si>
    <t>4372万</t>
  </si>
  <si>
    <t>正平股份</t>
  </si>
  <si>
    <t>3192万</t>
  </si>
  <si>
    <t>8.17万</t>
  </si>
  <si>
    <t>3239万</t>
  </si>
  <si>
    <t>2032万</t>
  </si>
  <si>
    <t>武汉控股</t>
  </si>
  <si>
    <t>永鼎股份</t>
  </si>
  <si>
    <t>3938万</t>
  </si>
  <si>
    <t>7392万</t>
  </si>
  <si>
    <t>5589万</t>
  </si>
  <si>
    <t>4217万</t>
  </si>
  <si>
    <t>鹏翎股份</t>
  </si>
  <si>
    <t>3023万</t>
  </si>
  <si>
    <t>东软载波</t>
  </si>
  <si>
    <t>4995万</t>
  </si>
  <si>
    <t>2010万</t>
  </si>
  <si>
    <t>5003万</t>
  </si>
  <si>
    <t>2876万</t>
  </si>
  <si>
    <t>中航电测</t>
  </si>
  <si>
    <t>3.47万</t>
  </si>
  <si>
    <t>3171万</t>
  </si>
  <si>
    <t>2318万</t>
  </si>
  <si>
    <t>2332万</t>
  </si>
  <si>
    <t>豫金刚石</t>
  </si>
  <si>
    <t>7861万</t>
  </si>
  <si>
    <t>2145万</t>
  </si>
  <si>
    <t>92.2亿</t>
  </si>
  <si>
    <t>凯撒文化</t>
  </si>
  <si>
    <t>6065万</t>
  </si>
  <si>
    <t>6122万</t>
  </si>
  <si>
    <t>5829万</t>
  </si>
  <si>
    <t>宗申动力</t>
  </si>
  <si>
    <t>8111万</t>
  </si>
  <si>
    <t>5991万</t>
  </si>
  <si>
    <t>国农科技</t>
  </si>
  <si>
    <t>8301万</t>
  </si>
  <si>
    <t>9.22万</t>
  </si>
  <si>
    <t>206万</t>
  </si>
  <si>
    <t>3574万</t>
  </si>
  <si>
    <t>3061万</t>
  </si>
  <si>
    <t>8683万</t>
  </si>
  <si>
    <t>1502万</t>
  </si>
  <si>
    <t>93.9万</t>
  </si>
  <si>
    <t>东方明珠</t>
  </si>
  <si>
    <t>健盛集团</t>
  </si>
  <si>
    <t>5140万</t>
  </si>
  <si>
    <t>4383万</t>
  </si>
  <si>
    <t>5191万</t>
  </si>
  <si>
    <t>中煤能源</t>
  </si>
  <si>
    <t>2494亿</t>
  </si>
  <si>
    <t>884亿</t>
  </si>
  <si>
    <t>1407亿</t>
  </si>
  <si>
    <t>908亿</t>
  </si>
  <si>
    <t>382亿</t>
  </si>
  <si>
    <t>天宇股份</t>
  </si>
  <si>
    <t>4475万</t>
  </si>
  <si>
    <t>2637万</t>
  </si>
  <si>
    <t>2616万</t>
  </si>
  <si>
    <t>蓝盾股份</t>
  </si>
  <si>
    <t>7786万</t>
  </si>
  <si>
    <t>-76.3万</t>
  </si>
  <si>
    <t>6380万</t>
  </si>
  <si>
    <t>今飞凯达</t>
  </si>
  <si>
    <t>6.91万</t>
  </si>
  <si>
    <t>1639万</t>
  </si>
  <si>
    <t>摩登大道</t>
  </si>
  <si>
    <t>4129万</t>
  </si>
  <si>
    <t>9.09万</t>
  </si>
  <si>
    <t>3741万</t>
  </si>
  <si>
    <t>万润股份</t>
  </si>
  <si>
    <t>7667万</t>
  </si>
  <si>
    <t>6412万</t>
  </si>
  <si>
    <t>5023万</t>
  </si>
  <si>
    <t>省广集团</t>
  </si>
  <si>
    <t>9863万</t>
  </si>
  <si>
    <t>7927万</t>
  </si>
  <si>
    <t>国创高新</t>
  </si>
  <si>
    <t>7953万</t>
  </si>
  <si>
    <t>17.8万</t>
  </si>
  <si>
    <t>7931万</t>
  </si>
  <si>
    <t>7576万</t>
  </si>
  <si>
    <t>海宁皮城</t>
  </si>
  <si>
    <t>中山公用</t>
  </si>
  <si>
    <t>2.63万</t>
  </si>
  <si>
    <t>步长制药</t>
  </si>
  <si>
    <t>956万</t>
  </si>
  <si>
    <t>昭衍新药</t>
  </si>
  <si>
    <t>1038万</t>
  </si>
  <si>
    <t>1088万</t>
  </si>
  <si>
    <t>877万</t>
  </si>
  <si>
    <t>7005万</t>
  </si>
  <si>
    <t>中国银河</t>
  </si>
  <si>
    <t>-2.69亿</t>
  </si>
  <si>
    <t>2711亿</t>
  </si>
  <si>
    <t>2051亿</t>
  </si>
  <si>
    <t>656亿</t>
  </si>
  <si>
    <t>林洋能源</t>
  </si>
  <si>
    <t>云赛智联</t>
  </si>
  <si>
    <t>6163万</t>
  </si>
  <si>
    <t>1379万</t>
  </si>
  <si>
    <t>6407万</t>
  </si>
  <si>
    <t>福日电子</t>
  </si>
  <si>
    <t>4471万</t>
  </si>
  <si>
    <t>5188万</t>
  </si>
  <si>
    <t>4483万</t>
  </si>
  <si>
    <t>-5502万</t>
  </si>
  <si>
    <t>7635万</t>
  </si>
  <si>
    <t>山东赫达</t>
  </si>
  <si>
    <t>4.91万</t>
  </si>
  <si>
    <t>卫星石化</t>
  </si>
  <si>
    <t>-1116万</t>
  </si>
  <si>
    <t>生 意 宝</t>
  </si>
  <si>
    <t>7710万</t>
  </si>
  <si>
    <t>1657万</t>
  </si>
  <si>
    <t>256万</t>
  </si>
  <si>
    <t>云南能投</t>
  </si>
  <si>
    <t>5362万</t>
  </si>
  <si>
    <t>5121万</t>
  </si>
  <si>
    <t>3721万</t>
  </si>
  <si>
    <t>湖北广电</t>
  </si>
  <si>
    <t>9178万</t>
  </si>
  <si>
    <t>933万</t>
  </si>
  <si>
    <t>9363万</t>
  </si>
  <si>
    <t>9259万</t>
  </si>
  <si>
    <t>8628万</t>
  </si>
  <si>
    <t>天夏智慧</t>
  </si>
  <si>
    <t>46.5万</t>
  </si>
  <si>
    <t>1579万</t>
  </si>
  <si>
    <t>申万宏源</t>
  </si>
  <si>
    <t>6.55万</t>
  </si>
  <si>
    <t>3262亿</t>
  </si>
  <si>
    <t>2564亿</t>
  </si>
  <si>
    <t>680亿</t>
  </si>
  <si>
    <t>深天马Ａ</t>
  </si>
  <si>
    <t>-40.8万</t>
  </si>
  <si>
    <t>304亿</t>
  </si>
  <si>
    <t>广深铁路</t>
  </si>
  <si>
    <t>340亿</t>
  </si>
  <si>
    <t>红阳能源</t>
  </si>
  <si>
    <t>卫宁健康</t>
  </si>
  <si>
    <t>-177万</t>
  </si>
  <si>
    <t>3042万</t>
  </si>
  <si>
    <t>4045万</t>
  </si>
  <si>
    <t>视觉中国</t>
  </si>
  <si>
    <t>5130万</t>
  </si>
  <si>
    <t>523万</t>
  </si>
  <si>
    <t>广电网络</t>
  </si>
  <si>
    <t>4368万</t>
  </si>
  <si>
    <t>英飞特</t>
  </si>
  <si>
    <t>1693万</t>
  </si>
  <si>
    <t>1701万</t>
  </si>
  <si>
    <t>1462万</t>
  </si>
  <si>
    <t>1112万</t>
  </si>
  <si>
    <t>维宏股份</t>
  </si>
  <si>
    <t>9091万</t>
  </si>
  <si>
    <t>1132万</t>
  </si>
  <si>
    <t>785万</t>
  </si>
  <si>
    <t>2578万</t>
  </si>
  <si>
    <t>920万</t>
  </si>
  <si>
    <t>掌趣科技</t>
  </si>
  <si>
    <t>3830万</t>
  </si>
  <si>
    <t>洪涛股份</t>
  </si>
  <si>
    <t>7692万</t>
  </si>
  <si>
    <t>7678万</t>
  </si>
  <si>
    <t>海大集团</t>
  </si>
  <si>
    <t>2299万</t>
  </si>
  <si>
    <t>汇通能源</t>
  </si>
  <si>
    <t>1120万</t>
  </si>
  <si>
    <t>-35.3万</t>
  </si>
  <si>
    <t>中广天择</t>
  </si>
  <si>
    <t>7295万</t>
  </si>
  <si>
    <t>659万</t>
  </si>
  <si>
    <t>迪马股份</t>
  </si>
  <si>
    <t>3004万</t>
  </si>
  <si>
    <t>92.5亿</t>
  </si>
  <si>
    <t>鹏欣资源</t>
  </si>
  <si>
    <t>9337万</t>
  </si>
  <si>
    <t>8621万</t>
  </si>
  <si>
    <t>青山纸业</t>
  </si>
  <si>
    <t>946万</t>
  </si>
  <si>
    <t>5070万</t>
  </si>
  <si>
    <t>力星股份</t>
  </si>
  <si>
    <t>2130万</t>
  </si>
  <si>
    <t>3144万</t>
  </si>
  <si>
    <t>富春股份</t>
  </si>
  <si>
    <t>2218万</t>
  </si>
  <si>
    <t>-205万</t>
  </si>
  <si>
    <t>2256万</t>
  </si>
  <si>
    <t>1926万</t>
  </si>
  <si>
    <t>3882万</t>
  </si>
  <si>
    <t>方直科技</t>
  </si>
  <si>
    <t>3631万</t>
  </si>
  <si>
    <t>959万</t>
  </si>
  <si>
    <t>1047万</t>
  </si>
  <si>
    <t>895万</t>
  </si>
  <si>
    <t>3515万</t>
  </si>
  <si>
    <t>意华股份</t>
  </si>
  <si>
    <t>4267万</t>
  </si>
  <si>
    <t>2242万</t>
  </si>
  <si>
    <t>2229万</t>
  </si>
  <si>
    <t>新纶科技</t>
  </si>
  <si>
    <t>4721万</t>
  </si>
  <si>
    <t>-79.1万</t>
  </si>
  <si>
    <t>5560万</t>
  </si>
  <si>
    <t>5124万</t>
  </si>
  <si>
    <t>陕国投Ａ</t>
  </si>
  <si>
    <t>7416万</t>
  </si>
  <si>
    <t>932万</t>
  </si>
  <si>
    <t>振静股份</t>
  </si>
  <si>
    <t>美思德</t>
  </si>
  <si>
    <t>4653万</t>
  </si>
  <si>
    <t>394万</t>
  </si>
  <si>
    <t>6856万</t>
  </si>
  <si>
    <t>丰林集团</t>
  </si>
  <si>
    <t>3012万</t>
  </si>
  <si>
    <t>2879万</t>
  </si>
  <si>
    <t>万邦达</t>
  </si>
  <si>
    <t>8867万</t>
  </si>
  <si>
    <t>创新股份</t>
  </si>
  <si>
    <t>2822万</t>
  </si>
  <si>
    <t>2826万</t>
  </si>
  <si>
    <t>2420万</t>
  </si>
  <si>
    <t>七 匹 狼</t>
  </si>
  <si>
    <t>8373万</t>
  </si>
  <si>
    <t>4714万</t>
  </si>
  <si>
    <t>合力科技</t>
  </si>
  <si>
    <t>3920万</t>
  </si>
  <si>
    <t>18.2万</t>
  </si>
  <si>
    <t>9040万</t>
  </si>
  <si>
    <t>安记食品</t>
  </si>
  <si>
    <t>4830万</t>
  </si>
  <si>
    <t>1284万</t>
  </si>
  <si>
    <t>1093万</t>
  </si>
  <si>
    <t>6825万</t>
  </si>
  <si>
    <t>3257万</t>
  </si>
  <si>
    <t>泰禾光电</t>
  </si>
  <si>
    <t>6333万</t>
  </si>
  <si>
    <t>9082万</t>
  </si>
  <si>
    <t>8982万</t>
  </si>
  <si>
    <t>8295万</t>
  </si>
  <si>
    <t>翠微股份</t>
  </si>
  <si>
    <t>6399万</t>
  </si>
  <si>
    <t>6410万</t>
  </si>
  <si>
    <t>4577万</t>
  </si>
  <si>
    <t>申达股份</t>
  </si>
  <si>
    <t>6357万</t>
  </si>
  <si>
    <t>3779万</t>
  </si>
  <si>
    <t>73.6亿</t>
  </si>
  <si>
    <t>华测导航</t>
  </si>
  <si>
    <t>1392万</t>
  </si>
  <si>
    <t>4362万</t>
  </si>
  <si>
    <t>三利谱</t>
  </si>
  <si>
    <t>1655万</t>
  </si>
  <si>
    <t>精艺股份</t>
  </si>
  <si>
    <t>2173万</t>
  </si>
  <si>
    <t>2165万</t>
  </si>
  <si>
    <t>华天科技</t>
  </si>
  <si>
    <t>8130万</t>
  </si>
  <si>
    <t>美达股份</t>
  </si>
  <si>
    <t>1900万</t>
  </si>
  <si>
    <t>1960万</t>
  </si>
  <si>
    <t>-1422万</t>
  </si>
  <si>
    <t>海南海药</t>
  </si>
  <si>
    <t>3.27万</t>
  </si>
  <si>
    <t>8948万</t>
  </si>
  <si>
    <t>-491万</t>
  </si>
  <si>
    <t>江淮汽车</t>
  </si>
  <si>
    <t>3443万</t>
  </si>
  <si>
    <t>518亿</t>
  </si>
  <si>
    <t>305亿</t>
  </si>
  <si>
    <t>中潜股份</t>
  </si>
  <si>
    <t>5981万</t>
  </si>
  <si>
    <t>987万</t>
  </si>
  <si>
    <t>斯莱克</t>
  </si>
  <si>
    <t>43.4万</t>
  </si>
  <si>
    <t>1858万</t>
  </si>
  <si>
    <t>世纪瑞尔</t>
  </si>
  <si>
    <t>5925万</t>
  </si>
  <si>
    <t>6183万</t>
  </si>
  <si>
    <t>3310万</t>
  </si>
  <si>
    <t>2950万</t>
  </si>
  <si>
    <t>9325万</t>
  </si>
  <si>
    <t>索菱股份</t>
  </si>
  <si>
    <t>3417万</t>
  </si>
  <si>
    <t>-47.6万</t>
  </si>
  <si>
    <t>3442万</t>
  </si>
  <si>
    <t>2839万</t>
  </si>
  <si>
    <t>杰赛科技</t>
  </si>
  <si>
    <t>3807万</t>
  </si>
  <si>
    <t>5.89万</t>
  </si>
  <si>
    <t>3312万</t>
  </si>
  <si>
    <t>神州易桥</t>
  </si>
  <si>
    <t>5065万</t>
  </si>
  <si>
    <t>5101万</t>
  </si>
  <si>
    <t>4137万</t>
  </si>
  <si>
    <t>-1.02亿</t>
  </si>
  <si>
    <t>4341万</t>
  </si>
  <si>
    <t>光大证券</t>
  </si>
  <si>
    <t>4.30万</t>
  </si>
  <si>
    <t>9733万</t>
  </si>
  <si>
    <t>2041亿</t>
  </si>
  <si>
    <t>1532亿</t>
  </si>
  <si>
    <t>贵州燃气</t>
  </si>
  <si>
    <t>1519万</t>
  </si>
  <si>
    <t>三丰智能</t>
  </si>
  <si>
    <t>21.0万</t>
  </si>
  <si>
    <t>3956万</t>
  </si>
  <si>
    <t>6373万</t>
  </si>
  <si>
    <t>天舟文化</t>
  </si>
  <si>
    <t>5071万</t>
  </si>
  <si>
    <t>2296万</t>
  </si>
  <si>
    <t>星普医科</t>
  </si>
  <si>
    <t>5505万</t>
  </si>
  <si>
    <t>43.7万</t>
  </si>
  <si>
    <t>3569万</t>
  </si>
  <si>
    <t>-1.35亿</t>
  </si>
  <si>
    <t>1936万</t>
  </si>
  <si>
    <t>数码科技</t>
  </si>
  <si>
    <t>5017万</t>
  </si>
  <si>
    <t>5239万</t>
  </si>
  <si>
    <t>钢研高纳</t>
  </si>
  <si>
    <t>-49.0万</t>
  </si>
  <si>
    <t>东诚药业</t>
  </si>
  <si>
    <t>7602万</t>
  </si>
  <si>
    <t>7616万</t>
  </si>
  <si>
    <t>4340万</t>
  </si>
  <si>
    <t>宁波东力</t>
  </si>
  <si>
    <t>5849万</t>
  </si>
  <si>
    <t>-7909万</t>
  </si>
  <si>
    <t>岭南控股</t>
  </si>
  <si>
    <t>5382万</t>
  </si>
  <si>
    <t>-4.19万</t>
  </si>
  <si>
    <t>胜利股份</t>
  </si>
  <si>
    <t>7790万</t>
  </si>
  <si>
    <t>7801万</t>
  </si>
  <si>
    <t>华数传媒</t>
  </si>
  <si>
    <t>华荣股份</t>
  </si>
  <si>
    <t>2495万</t>
  </si>
  <si>
    <t>2116万</t>
  </si>
  <si>
    <t>惠达卫浴</t>
  </si>
  <si>
    <t>5776万</t>
  </si>
  <si>
    <t>5775万</t>
  </si>
  <si>
    <t>4466万</t>
  </si>
  <si>
    <t>紫江企业</t>
  </si>
  <si>
    <t>560万</t>
  </si>
  <si>
    <t>9115万</t>
  </si>
  <si>
    <t>6340万</t>
  </si>
  <si>
    <t>南华仪器</t>
  </si>
  <si>
    <t>8160万</t>
  </si>
  <si>
    <t>2866万</t>
  </si>
  <si>
    <t>3255万</t>
  </si>
  <si>
    <t>675万</t>
  </si>
  <si>
    <t>高盟新材</t>
  </si>
  <si>
    <t>2746万</t>
  </si>
  <si>
    <t>40.6万</t>
  </si>
  <si>
    <t>中装建设</t>
  </si>
  <si>
    <t>3025万</t>
  </si>
  <si>
    <t>博彦科技</t>
  </si>
  <si>
    <t>3609万</t>
  </si>
  <si>
    <t>3139万</t>
  </si>
  <si>
    <t>永创智能</t>
  </si>
  <si>
    <t>1648万</t>
  </si>
  <si>
    <t>浙商证券</t>
  </si>
  <si>
    <t>533亿</t>
  </si>
  <si>
    <t>惠而浦</t>
  </si>
  <si>
    <t>5924万</t>
  </si>
  <si>
    <t>3106万</t>
  </si>
  <si>
    <t>5911万</t>
  </si>
  <si>
    <t>79.6亿</t>
  </si>
  <si>
    <t>9650万</t>
  </si>
  <si>
    <t>海通证券</t>
  </si>
  <si>
    <t>80.9亿</t>
  </si>
  <si>
    <t>3.17万</t>
  </si>
  <si>
    <t>5730亿</t>
  </si>
  <si>
    <t>4423亿</t>
  </si>
  <si>
    <t>1191亿</t>
  </si>
  <si>
    <t>564亿</t>
  </si>
  <si>
    <t>天津港</t>
  </si>
  <si>
    <t>广信材料</t>
  </si>
  <si>
    <t>6920万</t>
  </si>
  <si>
    <t>2110万</t>
  </si>
  <si>
    <t>2795万</t>
  </si>
  <si>
    <t>正业科技</t>
  </si>
  <si>
    <t>3398万</t>
  </si>
  <si>
    <t>3410万</t>
  </si>
  <si>
    <t>4711万</t>
  </si>
  <si>
    <t>科力尔</t>
  </si>
  <si>
    <t>931万</t>
  </si>
  <si>
    <t>弘宇股份</t>
  </si>
  <si>
    <t>1667万</t>
  </si>
  <si>
    <t>854万</t>
  </si>
  <si>
    <t>亚泰国际</t>
  </si>
  <si>
    <t>2362万</t>
  </si>
  <si>
    <t>82.0万</t>
  </si>
  <si>
    <t>安洁科技</t>
  </si>
  <si>
    <t>8653万</t>
  </si>
  <si>
    <t>哈尔斯</t>
  </si>
  <si>
    <t>1492万</t>
  </si>
  <si>
    <t>-69.9万</t>
  </si>
  <si>
    <t>1469万</t>
  </si>
  <si>
    <t>中京电子</t>
  </si>
  <si>
    <t>-67.4万</t>
  </si>
  <si>
    <t>1910万</t>
  </si>
  <si>
    <t>长江润发</t>
  </si>
  <si>
    <t>9198万</t>
  </si>
  <si>
    <t>586万</t>
  </si>
  <si>
    <t>9206万</t>
  </si>
  <si>
    <t>7891万</t>
  </si>
  <si>
    <t>澳洋科技</t>
  </si>
  <si>
    <t>-882万</t>
  </si>
  <si>
    <t>1702万</t>
  </si>
  <si>
    <t>2211万</t>
  </si>
  <si>
    <t>-6910万</t>
  </si>
  <si>
    <t>冀中能源</t>
  </si>
  <si>
    <t>1899万</t>
  </si>
  <si>
    <t>452亿</t>
  </si>
  <si>
    <t>泰禾集团</t>
  </si>
  <si>
    <t>2.27万</t>
  </si>
  <si>
    <t>-2344万</t>
  </si>
  <si>
    <t>2272亿</t>
  </si>
  <si>
    <t>2010亿</t>
  </si>
  <si>
    <t>1010亿</t>
  </si>
  <si>
    <t>京粮控股</t>
  </si>
  <si>
    <t>5014万</t>
  </si>
  <si>
    <t>-2.68亿</t>
  </si>
  <si>
    <t>6498万</t>
  </si>
  <si>
    <t>沈阳机床</t>
  </si>
  <si>
    <t>26.9万</t>
  </si>
  <si>
    <t>井神股份</t>
  </si>
  <si>
    <t>58.6万</t>
  </si>
  <si>
    <t>3801万</t>
  </si>
  <si>
    <t>3096万</t>
  </si>
  <si>
    <t>香飘飘</t>
  </si>
  <si>
    <t>2004万</t>
  </si>
  <si>
    <t>53.5万</t>
  </si>
  <si>
    <t>4449万</t>
  </si>
  <si>
    <t>交运股份</t>
  </si>
  <si>
    <t>1251万</t>
  </si>
  <si>
    <t>*ST富控</t>
  </si>
  <si>
    <t>6615万</t>
  </si>
  <si>
    <t>6635万</t>
  </si>
  <si>
    <t>2933万</t>
  </si>
  <si>
    <t>重庆路桥</t>
  </si>
  <si>
    <t>5957万</t>
  </si>
  <si>
    <t>4270万</t>
  </si>
  <si>
    <t>5429万</t>
  </si>
  <si>
    <t>东杰智能</t>
  </si>
  <si>
    <t>8958万</t>
  </si>
  <si>
    <t>天瑞仪器</t>
  </si>
  <si>
    <t>43.6万</t>
  </si>
  <si>
    <t>2372万</t>
  </si>
  <si>
    <t>联络互动</t>
  </si>
  <si>
    <t>东方雨虹</t>
  </si>
  <si>
    <t>旺能环境</t>
  </si>
  <si>
    <t>9017万</t>
  </si>
  <si>
    <t>5004万</t>
  </si>
  <si>
    <t>凯迪生态</t>
  </si>
  <si>
    <t>-3973万</t>
  </si>
  <si>
    <t>419万</t>
  </si>
  <si>
    <t>航天发展</t>
  </si>
  <si>
    <t>9674万</t>
  </si>
  <si>
    <t>9676万</t>
  </si>
  <si>
    <t>鹏起科技</t>
  </si>
  <si>
    <t>9170万</t>
  </si>
  <si>
    <t>-111万</t>
  </si>
  <si>
    <t>9343万</t>
  </si>
  <si>
    <t>7207万</t>
  </si>
  <si>
    <t>海汽集团</t>
  </si>
  <si>
    <t>2258万</t>
  </si>
  <si>
    <t>219万</t>
  </si>
  <si>
    <t>1566万</t>
  </si>
  <si>
    <t>音飞储存</t>
  </si>
  <si>
    <t>9921万</t>
  </si>
  <si>
    <t>1509万</t>
  </si>
  <si>
    <t>烽火通信</t>
  </si>
  <si>
    <t>-1261万</t>
  </si>
  <si>
    <t>易华录</t>
  </si>
  <si>
    <t>5757万</t>
  </si>
  <si>
    <t>234万</t>
  </si>
  <si>
    <t>5783万</t>
  </si>
  <si>
    <t>3988万</t>
  </si>
  <si>
    <t>红墙股份</t>
  </si>
  <si>
    <t>8327万</t>
  </si>
  <si>
    <t>昇兴股份</t>
  </si>
  <si>
    <t>3271万</t>
  </si>
  <si>
    <t>2620万</t>
  </si>
  <si>
    <t>瑞泰科技</t>
  </si>
  <si>
    <t>2401万</t>
  </si>
  <si>
    <t>595万</t>
  </si>
  <si>
    <t>-171万</t>
  </si>
  <si>
    <t>银泰资源</t>
  </si>
  <si>
    <t>3.63万</t>
  </si>
  <si>
    <t>985万</t>
  </si>
  <si>
    <t>深科技</t>
  </si>
  <si>
    <t>8543万</t>
  </si>
  <si>
    <t>深中华A</t>
  </si>
  <si>
    <t>30.8万</t>
  </si>
  <si>
    <t>23.2万</t>
  </si>
  <si>
    <t>-12.0亿</t>
  </si>
  <si>
    <t>8339万</t>
  </si>
  <si>
    <t>7633万</t>
  </si>
  <si>
    <t>385万</t>
  </si>
  <si>
    <t>6433万</t>
  </si>
  <si>
    <t>至正股份</t>
  </si>
  <si>
    <t>7453万</t>
  </si>
  <si>
    <t>4108万</t>
  </si>
  <si>
    <t>9860万</t>
  </si>
  <si>
    <t>791万</t>
  </si>
  <si>
    <t>786万</t>
  </si>
  <si>
    <t>2097万</t>
  </si>
  <si>
    <t>瑞斯康达</t>
  </si>
  <si>
    <t>3769万</t>
  </si>
  <si>
    <t>5.78万</t>
  </si>
  <si>
    <t>电魂网络</t>
  </si>
  <si>
    <t>6679万</t>
  </si>
  <si>
    <t>2657万</t>
  </si>
  <si>
    <t>177万</t>
  </si>
  <si>
    <t>科达股份</t>
  </si>
  <si>
    <t>8753万</t>
  </si>
  <si>
    <t>6191万</t>
  </si>
  <si>
    <t>申通地铁</t>
  </si>
  <si>
    <t>2432万</t>
  </si>
  <si>
    <t>1477万</t>
  </si>
  <si>
    <t>7974万</t>
  </si>
  <si>
    <t>国金证券</t>
  </si>
  <si>
    <t>455亿</t>
  </si>
  <si>
    <t>海特生物</t>
  </si>
  <si>
    <t>2584万</t>
  </si>
  <si>
    <t>2770万</t>
  </si>
  <si>
    <t>285万</t>
  </si>
  <si>
    <t>2747万</t>
  </si>
  <si>
    <t>2374万</t>
  </si>
  <si>
    <t>9628万</t>
  </si>
  <si>
    <t>975万</t>
  </si>
  <si>
    <t>沃施股份</t>
  </si>
  <si>
    <t>1180万</t>
  </si>
  <si>
    <t>2.01万</t>
  </si>
  <si>
    <t>英联股份</t>
  </si>
  <si>
    <t>5040万</t>
  </si>
  <si>
    <t>943万</t>
  </si>
  <si>
    <t>764万</t>
  </si>
  <si>
    <t>仙坛股份</t>
  </si>
  <si>
    <t>1239万</t>
  </si>
  <si>
    <t>3156万</t>
  </si>
  <si>
    <t>431万</t>
  </si>
  <si>
    <t>联发股份</t>
  </si>
  <si>
    <t>5962万</t>
  </si>
  <si>
    <t>1226万</t>
  </si>
  <si>
    <t>5886万</t>
  </si>
  <si>
    <t>利欧股份</t>
  </si>
  <si>
    <t>447万</t>
  </si>
  <si>
    <t>徕木股份</t>
  </si>
  <si>
    <t>1145万</t>
  </si>
  <si>
    <t>1147万</t>
  </si>
  <si>
    <t>1012万</t>
  </si>
  <si>
    <t>祥和实业</t>
  </si>
  <si>
    <t>3150万</t>
  </si>
  <si>
    <t>6084万</t>
  </si>
  <si>
    <t>1327万</t>
  </si>
  <si>
    <t>6054万</t>
  </si>
  <si>
    <t>5764万</t>
  </si>
  <si>
    <t>东兴证券</t>
  </si>
  <si>
    <t>674亿</t>
  </si>
  <si>
    <t>97.6亿</t>
  </si>
  <si>
    <t>金奥博</t>
  </si>
  <si>
    <t>1135万</t>
  </si>
  <si>
    <t>869万</t>
  </si>
  <si>
    <t>1417万</t>
  </si>
  <si>
    <t>东华软件</t>
  </si>
  <si>
    <t>-26.5万</t>
  </si>
  <si>
    <t>7868万</t>
  </si>
  <si>
    <t>鼎信通讯</t>
  </si>
  <si>
    <t>3266万</t>
  </si>
  <si>
    <t>3309万</t>
  </si>
  <si>
    <t>北辰实业</t>
  </si>
  <si>
    <t>-362万</t>
  </si>
  <si>
    <t>700亿</t>
  </si>
  <si>
    <t>660亿</t>
  </si>
  <si>
    <t>金晶科技</t>
  </si>
  <si>
    <t>8230万</t>
  </si>
  <si>
    <t>-1322万</t>
  </si>
  <si>
    <t>8312万</t>
  </si>
  <si>
    <t>宜通世纪</t>
  </si>
  <si>
    <t>5636万</t>
  </si>
  <si>
    <t>66.5万</t>
  </si>
  <si>
    <t>5660万</t>
  </si>
  <si>
    <t>1175万</t>
  </si>
  <si>
    <t>光韵达</t>
  </si>
  <si>
    <t>1169万</t>
  </si>
  <si>
    <t>1191万</t>
  </si>
  <si>
    <t>1008万</t>
  </si>
  <si>
    <t>4247万</t>
  </si>
  <si>
    <t>皮阿诺</t>
  </si>
  <si>
    <t>5803万</t>
  </si>
  <si>
    <t>1580万</t>
  </si>
  <si>
    <t>4373万</t>
  </si>
  <si>
    <t>报 喜 鸟</t>
  </si>
  <si>
    <t>5.88万</t>
  </si>
  <si>
    <t>5320万</t>
  </si>
  <si>
    <t>3519万</t>
  </si>
  <si>
    <t>海鸥股份</t>
  </si>
  <si>
    <t>9147万</t>
  </si>
  <si>
    <t>58.2万</t>
  </si>
  <si>
    <t>1078万</t>
  </si>
  <si>
    <t>892万</t>
  </si>
  <si>
    <t>2475万</t>
  </si>
  <si>
    <t>郑煤机</t>
  </si>
  <si>
    <t>1276万</t>
  </si>
  <si>
    <t>游久游戏</t>
  </si>
  <si>
    <t>3094万</t>
  </si>
  <si>
    <t>2465万</t>
  </si>
  <si>
    <t>-2437万</t>
  </si>
  <si>
    <t>2665万</t>
  </si>
  <si>
    <t>国信证券</t>
  </si>
  <si>
    <t>7.04万</t>
  </si>
  <si>
    <t>2048亿</t>
  </si>
  <si>
    <t>1519亿</t>
  </si>
  <si>
    <t>锌业股份</t>
  </si>
  <si>
    <t>-41.0万</t>
  </si>
  <si>
    <t>3380万</t>
  </si>
  <si>
    <t>-6.77亿</t>
  </si>
  <si>
    <t>9751万</t>
  </si>
  <si>
    <t>高能环境</t>
  </si>
  <si>
    <t>4437万</t>
  </si>
  <si>
    <t>645万</t>
  </si>
  <si>
    <t>4402万</t>
  </si>
  <si>
    <t>华铁科技</t>
  </si>
  <si>
    <t>4557万</t>
  </si>
  <si>
    <t>4873万</t>
  </si>
  <si>
    <t>1609万</t>
  </si>
  <si>
    <t>济民制药</t>
  </si>
  <si>
    <t>1121万</t>
  </si>
  <si>
    <t>三维股份</t>
  </si>
  <si>
    <t>中国化学</t>
  </si>
  <si>
    <t>84.0亿</t>
  </si>
  <si>
    <t>562亿</t>
  </si>
  <si>
    <t>陕西黑猫</t>
  </si>
  <si>
    <t>578万</t>
  </si>
  <si>
    <t>7621万</t>
  </si>
  <si>
    <t>瀚叶股份</t>
  </si>
  <si>
    <t>5982万</t>
  </si>
  <si>
    <t>5920万</t>
  </si>
  <si>
    <t>云天化</t>
  </si>
  <si>
    <t>-31.3亿</t>
  </si>
  <si>
    <t>659亿</t>
  </si>
  <si>
    <t>342亿</t>
  </si>
  <si>
    <t>607亿</t>
  </si>
  <si>
    <t>透景生命</t>
  </si>
  <si>
    <t>9084万</t>
  </si>
  <si>
    <t>5343万</t>
  </si>
  <si>
    <t>39.6万</t>
  </si>
  <si>
    <t>1293万</t>
  </si>
  <si>
    <t>741万</t>
  </si>
  <si>
    <t>景嘉微</t>
  </si>
  <si>
    <t>6700万</t>
  </si>
  <si>
    <t>6133万</t>
  </si>
  <si>
    <t>1460万</t>
  </si>
  <si>
    <t>2711万</t>
  </si>
  <si>
    <t>美盛文化</t>
  </si>
  <si>
    <t>4054万</t>
  </si>
  <si>
    <t>5710万</t>
  </si>
  <si>
    <t>4902万</t>
  </si>
  <si>
    <t>三全食品</t>
  </si>
  <si>
    <t>4146万</t>
  </si>
  <si>
    <t>69.9万</t>
  </si>
  <si>
    <t>4352万</t>
  </si>
  <si>
    <t>2825万</t>
  </si>
  <si>
    <t>岳阳兴长</t>
  </si>
  <si>
    <t>深圳机场</t>
  </si>
  <si>
    <t>461万</t>
  </si>
  <si>
    <t>江河集团</t>
  </si>
  <si>
    <t>4.31万</t>
  </si>
  <si>
    <t>2138万</t>
  </si>
  <si>
    <t>9541万</t>
  </si>
  <si>
    <t>新余国科</t>
  </si>
  <si>
    <t>3961万</t>
  </si>
  <si>
    <t>630万</t>
  </si>
  <si>
    <t>47.3万</t>
  </si>
  <si>
    <t>636万</t>
  </si>
  <si>
    <t>539万</t>
  </si>
  <si>
    <t>8626万</t>
  </si>
  <si>
    <t>4343万</t>
  </si>
  <si>
    <t>利德曼</t>
  </si>
  <si>
    <t>1835万</t>
  </si>
  <si>
    <t>3214万</t>
  </si>
  <si>
    <t>森远股份</t>
  </si>
  <si>
    <t>9789万</t>
  </si>
  <si>
    <t>1941万</t>
  </si>
  <si>
    <t>1811万</t>
  </si>
  <si>
    <t>9123万</t>
  </si>
  <si>
    <t>北纬科技</t>
  </si>
  <si>
    <t>6457万</t>
  </si>
  <si>
    <t>1792万</t>
  </si>
  <si>
    <t>872万</t>
  </si>
  <si>
    <t>1787万</t>
  </si>
  <si>
    <t>爱普股份</t>
  </si>
  <si>
    <t>2632万</t>
  </si>
  <si>
    <t>中国核建</t>
  </si>
  <si>
    <t>88.8亿</t>
  </si>
  <si>
    <t>654亿</t>
  </si>
  <si>
    <t>招商证券</t>
  </si>
  <si>
    <t>2907亿</t>
  </si>
  <si>
    <t>2105亿</t>
  </si>
  <si>
    <t>801亿</t>
  </si>
  <si>
    <t>中航高科</t>
  </si>
  <si>
    <t>6686万</t>
  </si>
  <si>
    <t>4870万</t>
  </si>
  <si>
    <t>汉商集团</t>
  </si>
  <si>
    <t>958万</t>
  </si>
  <si>
    <t>50.5万</t>
  </si>
  <si>
    <t>811万</t>
  </si>
  <si>
    <t>汇金科技</t>
  </si>
  <si>
    <t>5206万</t>
  </si>
  <si>
    <t>950万</t>
  </si>
  <si>
    <t>6534万</t>
  </si>
  <si>
    <t>5824万</t>
  </si>
  <si>
    <t>四方精创</t>
  </si>
  <si>
    <t>1351万</t>
  </si>
  <si>
    <t>1822万</t>
  </si>
  <si>
    <t>巴安水务</t>
  </si>
  <si>
    <t>3896万</t>
  </si>
  <si>
    <t>百润股份</t>
  </si>
  <si>
    <t>3217万</t>
  </si>
  <si>
    <t>4864万</t>
  </si>
  <si>
    <t>5383万</t>
  </si>
  <si>
    <t>杉杉股份</t>
  </si>
  <si>
    <t>4148万</t>
  </si>
  <si>
    <t>新疆众和</t>
  </si>
  <si>
    <t>1714万</t>
  </si>
  <si>
    <t>4802万</t>
  </si>
  <si>
    <t>4504万</t>
  </si>
  <si>
    <t>安徽水利</t>
  </si>
  <si>
    <t>黄河旋风</t>
  </si>
  <si>
    <t>7858万</t>
  </si>
  <si>
    <t>-24.2万</t>
  </si>
  <si>
    <t>7728万</t>
  </si>
  <si>
    <t>国投资本</t>
  </si>
  <si>
    <t>7.98万</t>
  </si>
  <si>
    <t>1628亿</t>
  </si>
  <si>
    <t>1229亿</t>
  </si>
  <si>
    <t>991亿</t>
  </si>
  <si>
    <t>启迪设计</t>
  </si>
  <si>
    <t>1652万</t>
  </si>
  <si>
    <t>东南网架</t>
  </si>
  <si>
    <t>6647万</t>
  </si>
  <si>
    <t>6989万</t>
  </si>
  <si>
    <t>得润电子</t>
  </si>
  <si>
    <t>1243万</t>
  </si>
  <si>
    <t>3299万</t>
  </si>
  <si>
    <t>凯撒旅游</t>
  </si>
  <si>
    <t>5330万</t>
  </si>
  <si>
    <t>5690万</t>
  </si>
  <si>
    <t>2789万</t>
  </si>
  <si>
    <t>江南水务</t>
  </si>
  <si>
    <t>4989万</t>
  </si>
  <si>
    <t>4970万</t>
  </si>
  <si>
    <t>3691万</t>
  </si>
  <si>
    <t>海川智能</t>
  </si>
  <si>
    <t>96.8万</t>
  </si>
  <si>
    <t>583万</t>
  </si>
  <si>
    <t>9549万</t>
  </si>
  <si>
    <t>3537万</t>
  </si>
  <si>
    <t>华宇软件</t>
  </si>
  <si>
    <t>-112万</t>
  </si>
  <si>
    <t>4833万</t>
  </si>
  <si>
    <t>兆新股份</t>
  </si>
  <si>
    <t>3168万</t>
  </si>
  <si>
    <t>东旭光电</t>
  </si>
  <si>
    <t>2381万</t>
  </si>
  <si>
    <t>688亿</t>
  </si>
  <si>
    <t>363亿</t>
  </si>
  <si>
    <t>中集集团</t>
  </si>
  <si>
    <t>1366亿</t>
  </si>
  <si>
    <t>647亿</t>
  </si>
  <si>
    <t>928亿</t>
  </si>
  <si>
    <t>329亿</t>
  </si>
  <si>
    <t>东百集团</t>
  </si>
  <si>
    <t>3.29万</t>
  </si>
  <si>
    <t>7467万</t>
  </si>
  <si>
    <t>-21.3万</t>
  </si>
  <si>
    <t>7551万</t>
  </si>
  <si>
    <t>盛和资源</t>
  </si>
  <si>
    <t>9931万</t>
  </si>
  <si>
    <t>7685万</t>
  </si>
  <si>
    <t>西南证券</t>
  </si>
  <si>
    <t>473亿</t>
  </si>
  <si>
    <t>正丹股份</t>
  </si>
  <si>
    <t>468万</t>
  </si>
  <si>
    <t>2096万</t>
  </si>
  <si>
    <t>1782万</t>
  </si>
  <si>
    <t>中光防雷</t>
  </si>
  <si>
    <t>8780万</t>
  </si>
  <si>
    <t>1095万</t>
  </si>
  <si>
    <t>鼎龙股份</t>
  </si>
  <si>
    <t>3.44万</t>
  </si>
  <si>
    <t>5297万</t>
  </si>
  <si>
    <t>504万</t>
  </si>
  <si>
    <t>4872万</t>
  </si>
  <si>
    <t>3121万</t>
  </si>
  <si>
    <t>庄园牧场</t>
  </si>
  <si>
    <t>4684万</t>
  </si>
  <si>
    <t>1798万</t>
  </si>
  <si>
    <t>7002万</t>
  </si>
  <si>
    <t>3513万</t>
  </si>
  <si>
    <t>环球印务</t>
  </si>
  <si>
    <t>7688万</t>
  </si>
  <si>
    <t>216万</t>
  </si>
  <si>
    <t>海联金汇</t>
  </si>
  <si>
    <t>7.47万</t>
  </si>
  <si>
    <t>9453万</t>
  </si>
  <si>
    <t>紫光国微</t>
  </si>
  <si>
    <t>5294万</t>
  </si>
  <si>
    <t>5326万</t>
  </si>
  <si>
    <t>威龙股份</t>
  </si>
  <si>
    <t>9261万</t>
  </si>
  <si>
    <t>2986万</t>
  </si>
  <si>
    <t>2989万</t>
  </si>
  <si>
    <t>豫光金铅</t>
  </si>
  <si>
    <t>-1318万</t>
  </si>
  <si>
    <t>人福医药</t>
  </si>
  <si>
    <t>歌华有线</t>
  </si>
  <si>
    <t>95.2亿</t>
  </si>
  <si>
    <t>海鸥住工</t>
  </si>
  <si>
    <t>春兰股份</t>
  </si>
  <si>
    <t>4524万</t>
  </si>
  <si>
    <t>-59.6万</t>
  </si>
  <si>
    <t>4519万</t>
  </si>
  <si>
    <t>-5.96亿</t>
  </si>
  <si>
    <t>鸣志电器</t>
  </si>
  <si>
    <t>2264万</t>
  </si>
  <si>
    <t>川仪股份</t>
  </si>
  <si>
    <t>3135万</t>
  </si>
  <si>
    <t>飞力达</t>
  </si>
  <si>
    <t>-71.5万</t>
  </si>
  <si>
    <t>1857万</t>
  </si>
  <si>
    <t>1426万</t>
  </si>
  <si>
    <t>量子生物</t>
  </si>
  <si>
    <t>7896万</t>
  </si>
  <si>
    <t>1309万</t>
  </si>
  <si>
    <t>8802万</t>
  </si>
  <si>
    <t>英威腾</t>
  </si>
  <si>
    <t>1884万</t>
  </si>
  <si>
    <t>东华科技</t>
  </si>
  <si>
    <t>五矿稀土</t>
  </si>
  <si>
    <t>7674万</t>
  </si>
  <si>
    <t>7286万</t>
  </si>
  <si>
    <t>中兴商业</t>
  </si>
  <si>
    <t>2334万</t>
  </si>
  <si>
    <t>1707万</t>
  </si>
  <si>
    <t>东方材料</t>
  </si>
  <si>
    <t>979万</t>
  </si>
  <si>
    <t>828万</t>
  </si>
  <si>
    <t>9262万</t>
  </si>
  <si>
    <t>8818万</t>
  </si>
  <si>
    <t>皖江物流</t>
  </si>
  <si>
    <t>9.02万</t>
  </si>
  <si>
    <t>-6.59亿</t>
  </si>
  <si>
    <t>84.1亿</t>
  </si>
  <si>
    <t>浦东建设</t>
  </si>
  <si>
    <t>8486万</t>
  </si>
  <si>
    <t>6032万</t>
  </si>
  <si>
    <t>7324万</t>
  </si>
  <si>
    <t>佳创视讯</t>
  </si>
  <si>
    <t>8769万</t>
  </si>
  <si>
    <t>707万</t>
  </si>
  <si>
    <t>888万</t>
  </si>
  <si>
    <t>四方达</t>
  </si>
  <si>
    <t>111万</t>
  </si>
  <si>
    <t>九洲电气</t>
  </si>
  <si>
    <t>2396万</t>
  </si>
  <si>
    <t>华通医药</t>
  </si>
  <si>
    <t>882万</t>
  </si>
  <si>
    <t>879万</t>
  </si>
  <si>
    <t>1110万</t>
  </si>
  <si>
    <t>亚威股份</t>
  </si>
  <si>
    <t>-5.22万</t>
  </si>
  <si>
    <t>2139万</t>
  </si>
  <si>
    <t>7294万</t>
  </si>
  <si>
    <t>力生制药</t>
  </si>
  <si>
    <t>83.6万</t>
  </si>
  <si>
    <t>4842万</t>
  </si>
  <si>
    <t>4093万</t>
  </si>
  <si>
    <t>智慧能源</t>
  </si>
  <si>
    <t>7036万</t>
  </si>
  <si>
    <t>上实发展</t>
  </si>
  <si>
    <t>3.46万</t>
  </si>
  <si>
    <t>-351万</t>
  </si>
  <si>
    <t>344亿</t>
  </si>
  <si>
    <t>9592万</t>
  </si>
  <si>
    <t>申能股份</t>
  </si>
  <si>
    <t>98.5亿</t>
  </si>
  <si>
    <t>560亿</t>
  </si>
  <si>
    <t>维尔利</t>
  </si>
  <si>
    <t>5341万</t>
  </si>
  <si>
    <t>5418万</t>
  </si>
  <si>
    <t>4751万</t>
  </si>
  <si>
    <t>宁波华翔</t>
  </si>
  <si>
    <t>潍柴重机</t>
  </si>
  <si>
    <t>1819万</t>
  </si>
  <si>
    <t>1109万</t>
  </si>
  <si>
    <t>通化金马</t>
  </si>
  <si>
    <t>6735万</t>
  </si>
  <si>
    <t>6737万</t>
  </si>
  <si>
    <t>5846万</t>
  </si>
  <si>
    <t>-2.78亿</t>
  </si>
  <si>
    <t>万林股份</t>
  </si>
  <si>
    <t>大唐发电</t>
  </si>
  <si>
    <t>2515亿</t>
  </si>
  <si>
    <t>1774亿</t>
  </si>
  <si>
    <t>1120亿</t>
  </si>
  <si>
    <t>三星医疗</t>
  </si>
  <si>
    <t>4.50万</t>
  </si>
  <si>
    <t>1504万</t>
  </si>
  <si>
    <t>陕鼓动力</t>
  </si>
  <si>
    <t>5.23万</t>
  </si>
  <si>
    <t>9406万</t>
  </si>
  <si>
    <t>7970万</t>
  </si>
  <si>
    <t>贵广网络</t>
  </si>
  <si>
    <t>5493万</t>
  </si>
  <si>
    <t>5515万</t>
  </si>
  <si>
    <t>龙溪股份</t>
  </si>
  <si>
    <t>2740万</t>
  </si>
  <si>
    <t>2459万</t>
  </si>
  <si>
    <t>明星电力</t>
  </si>
  <si>
    <t>3098万</t>
  </si>
  <si>
    <t>创力集团</t>
  </si>
  <si>
    <t>372万</t>
  </si>
  <si>
    <t>广安爱众</t>
  </si>
  <si>
    <t>5968万</t>
  </si>
  <si>
    <t>4564万</t>
  </si>
  <si>
    <t>华安证券</t>
  </si>
  <si>
    <t>中华企业</t>
  </si>
  <si>
    <t>8297万</t>
  </si>
  <si>
    <t>7261万</t>
  </si>
  <si>
    <t>8308万</t>
  </si>
  <si>
    <t>太极实业</t>
  </si>
  <si>
    <t>441万</t>
  </si>
  <si>
    <t>7965万</t>
  </si>
  <si>
    <t>乐山电力</t>
  </si>
  <si>
    <t>2278万</t>
  </si>
  <si>
    <t>1653万</t>
  </si>
  <si>
    <t>-7.32亿</t>
  </si>
  <si>
    <t>龙头股份</t>
  </si>
  <si>
    <t>2821万</t>
  </si>
  <si>
    <t>爱乐达</t>
  </si>
  <si>
    <t>1891万</t>
  </si>
  <si>
    <t>909万</t>
  </si>
  <si>
    <t>6327万</t>
  </si>
  <si>
    <t>2140万</t>
  </si>
  <si>
    <t>4187万</t>
  </si>
  <si>
    <t>三德科技</t>
  </si>
  <si>
    <t>9121万</t>
  </si>
  <si>
    <t>3362万</t>
  </si>
  <si>
    <t>9499万</t>
  </si>
  <si>
    <t>8537万</t>
  </si>
  <si>
    <t>联建光电</t>
  </si>
  <si>
    <t>2082万</t>
  </si>
  <si>
    <t>2263万</t>
  </si>
  <si>
    <t>亿利达</t>
  </si>
  <si>
    <t>江苏神通</t>
  </si>
  <si>
    <t>2643万</t>
  </si>
  <si>
    <t>南方汇通</t>
  </si>
  <si>
    <t>1973万</t>
  </si>
  <si>
    <t>1972万</t>
  </si>
  <si>
    <t>海南高速</t>
  </si>
  <si>
    <t>1485万</t>
  </si>
  <si>
    <t>4596万</t>
  </si>
  <si>
    <t>瑞尔特</t>
  </si>
  <si>
    <t>2157万</t>
  </si>
  <si>
    <t>107万</t>
  </si>
  <si>
    <t>2209万</t>
  </si>
  <si>
    <t>1872万</t>
  </si>
  <si>
    <t>574万</t>
  </si>
  <si>
    <t>唐人神</t>
  </si>
  <si>
    <t>7321万</t>
  </si>
  <si>
    <t>4439万</t>
  </si>
  <si>
    <t>鸿路钢构</t>
  </si>
  <si>
    <t>-196万</t>
  </si>
  <si>
    <t>6917万</t>
  </si>
  <si>
    <t>5197万</t>
  </si>
  <si>
    <t>天汽模</t>
  </si>
  <si>
    <t>3040万</t>
  </si>
  <si>
    <t>2613万</t>
  </si>
  <si>
    <t>藏格控股</t>
  </si>
  <si>
    <t>8407万</t>
  </si>
  <si>
    <t>5179万</t>
  </si>
  <si>
    <t>东方电缆</t>
  </si>
  <si>
    <t>2437万</t>
  </si>
  <si>
    <t>-8.22万</t>
  </si>
  <si>
    <t>2342万</t>
  </si>
  <si>
    <t>3169万</t>
  </si>
  <si>
    <t>祥源文化</t>
  </si>
  <si>
    <t>2508万</t>
  </si>
  <si>
    <t>7252万</t>
  </si>
  <si>
    <t>美克家居</t>
  </si>
  <si>
    <t>5.85万</t>
  </si>
  <si>
    <t>7820万</t>
  </si>
  <si>
    <t>33.2万</t>
  </si>
  <si>
    <t>7776万</t>
  </si>
  <si>
    <t>6301万</t>
  </si>
  <si>
    <t>酒钢宏兴</t>
  </si>
  <si>
    <t>-47.9亿</t>
  </si>
  <si>
    <t>包钢股份</t>
  </si>
  <si>
    <t>317亿</t>
  </si>
  <si>
    <t>3503万</t>
  </si>
  <si>
    <t>1465亿</t>
  </si>
  <si>
    <t>417亿</t>
  </si>
  <si>
    <t>500亿</t>
  </si>
  <si>
    <t>凯普生物</t>
  </si>
  <si>
    <t>9002万</t>
  </si>
  <si>
    <t>57.2万</t>
  </si>
  <si>
    <t>8726万</t>
  </si>
  <si>
    <t>7369万</t>
  </si>
  <si>
    <t>1357万</t>
  </si>
  <si>
    <t>科大智能</t>
  </si>
  <si>
    <t>5965万</t>
  </si>
  <si>
    <t>5256万</t>
  </si>
  <si>
    <t>久远银海</t>
  </si>
  <si>
    <t>6004万</t>
  </si>
  <si>
    <t>833万</t>
  </si>
  <si>
    <t>9844万</t>
  </si>
  <si>
    <t>利源精制</t>
  </si>
  <si>
    <t>赫美集团</t>
  </si>
  <si>
    <t>5052万</t>
  </si>
  <si>
    <t>2302万</t>
  </si>
  <si>
    <t>华明装备</t>
  </si>
  <si>
    <t>2133万</t>
  </si>
  <si>
    <t>2790万</t>
  </si>
  <si>
    <t>2109万</t>
  </si>
  <si>
    <t>石基信息</t>
  </si>
  <si>
    <t>7479万</t>
  </si>
  <si>
    <t>6692万</t>
  </si>
  <si>
    <t>宏达高科</t>
  </si>
  <si>
    <t>2243万</t>
  </si>
  <si>
    <t>1654万</t>
  </si>
  <si>
    <t>2126万</t>
  </si>
  <si>
    <t>5265万</t>
  </si>
  <si>
    <t>建研院</t>
  </si>
  <si>
    <t>3080万</t>
  </si>
  <si>
    <t>799万</t>
  </si>
  <si>
    <t>9730万</t>
  </si>
  <si>
    <t>鹏博士</t>
  </si>
  <si>
    <t>-10.1万</t>
  </si>
  <si>
    <t>9104万</t>
  </si>
  <si>
    <t>莫高股份</t>
  </si>
  <si>
    <t>2932万</t>
  </si>
  <si>
    <t>美力科技</t>
  </si>
  <si>
    <t>857万</t>
  </si>
  <si>
    <t>海南瑞泽</t>
  </si>
  <si>
    <t>3977万</t>
  </si>
  <si>
    <t>239万</t>
  </si>
  <si>
    <t>2949万</t>
  </si>
  <si>
    <t>常宝股份</t>
  </si>
  <si>
    <t>7125万</t>
  </si>
  <si>
    <t>4715万</t>
  </si>
  <si>
    <t>7574万</t>
  </si>
  <si>
    <t>松芝股份</t>
  </si>
  <si>
    <t>5131万</t>
  </si>
  <si>
    <t>5122万</t>
  </si>
  <si>
    <t>3940万</t>
  </si>
  <si>
    <t>山推股份</t>
  </si>
  <si>
    <t>4608万</t>
  </si>
  <si>
    <t>4205万</t>
  </si>
  <si>
    <t>长荣股份</t>
  </si>
  <si>
    <t>5487万</t>
  </si>
  <si>
    <t>1493万</t>
  </si>
  <si>
    <t>4738万</t>
  </si>
  <si>
    <t>中海达</t>
  </si>
  <si>
    <t>中化岩土</t>
  </si>
  <si>
    <t>5007万</t>
  </si>
  <si>
    <t>225万</t>
  </si>
  <si>
    <t>4369万</t>
  </si>
  <si>
    <t>东方锆业</t>
  </si>
  <si>
    <t>1164万</t>
  </si>
  <si>
    <t>-206万</t>
  </si>
  <si>
    <t>1303万</t>
  </si>
  <si>
    <t>-1.29亿</t>
  </si>
  <si>
    <t>广东鸿图</t>
  </si>
  <si>
    <t>7738万</t>
  </si>
  <si>
    <t>-6.00万</t>
  </si>
  <si>
    <t>8009万</t>
  </si>
  <si>
    <t>中马传动</t>
  </si>
  <si>
    <t>9474万</t>
  </si>
  <si>
    <t>2043万</t>
  </si>
  <si>
    <t>488万</t>
  </si>
  <si>
    <t>2014万</t>
  </si>
  <si>
    <t>1767万</t>
  </si>
  <si>
    <t>4754万</t>
  </si>
  <si>
    <t>通用股份</t>
  </si>
  <si>
    <t>3463万</t>
  </si>
  <si>
    <t>379万</t>
  </si>
  <si>
    <t>同达创业</t>
  </si>
  <si>
    <t>16.5万</t>
  </si>
  <si>
    <t>68.1万</t>
  </si>
  <si>
    <t>东方创业</t>
  </si>
  <si>
    <t>7676万</t>
  </si>
  <si>
    <t>5056万</t>
  </si>
  <si>
    <t>全柴动力</t>
  </si>
  <si>
    <t>2889万</t>
  </si>
  <si>
    <t>2398万</t>
  </si>
  <si>
    <t>6051万</t>
  </si>
  <si>
    <t>川金诺</t>
  </si>
  <si>
    <t>9336万</t>
  </si>
  <si>
    <t>6961万</t>
  </si>
  <si>
    <t>蓝英装备</t>
  </si>
  <si>
    <t>33.9万</t>
  </si>
  <si>
    <t>922万</t>
  </si>
  <si>
    <t>王子新材</t>
  </si>
  <si>
    <t>8422万</t>
  </si>
  <si>
    <t>4195万</t>
  </si>
  <si>
    <t>1052万</t>
  </si>
  <si>
    <t>9914万</t>
  </si>
  <si>
    <t>漫步者</t>
  </si>
  <si>
    <t>2667万</t>
  </si>
  <si>
    <t>2660万</t>
  </si>
  <si>
    <t>1208万</t>
  </si>
  <si>
    <t>北大医药</t>
  </si>
  <si>
    <t>漳州发展</t>
  </si>
  <si>
    <t>1013万</t>
  </si>
  <si>
    <t>三角轮胎</t>
  </si>
  <si>
    <t>郑州煤电</t>
  </si>
  <si>
    <t>19.4万</t>
  </si>
  <si>
    <t>北方稀土</t>
  </si>
  <si>
    <t>华伍股份</t>
  </si>
  <si>
    <t>2546万</t>
  </si>
  <si>
    <t>-84.0万</t>
  </si>
  <si>
    <t>2577万</t>
  </si>
  <si>
    <t>1958万</t>
  </si>
  <si>
    <t>德生科技</t>
  </si>
  <si>
    <t>7720万</t>
  </si>
  <si>
    <t>1832万</t>
  </si>
  <si>
    <t>司尔特</t>
  </si>
  <si>
    <t>-244万</t>
  </si>
  <si>
    <t>4869万</t>
  </si>
  <si>
    <t>4131万</t>
  </si>
  <si>
    <t>金字火腿</t>
  </si>
  <si>
    <t>443万</t>
  </si>
  <si>
    <t>1547万</t>
  </si>
  <si>
    <t>1888万</t>
  </si>
  <si>
    <t>8979万</t>
  </si>
  <si>
    <t>歌尔股份</t>
  </si>
  <si>
    <t>中成股份</t>
  </si>
  <si>
    <t>上柴股份</t>
  </si>
  <si>
    <t>4234万</t>
  </si>
  <si>
    <t>文投控股</t>
  </si>
  <si>
    <t>2368万</t>
  </si>
  <si>
    <t>8826万</t>
  </si>
  <si>
    <t>神奇制药</t>
  </si>
  <si>
    <t>3092万</t>
  </si>
  <si>
    <t>3017万</t>
  </si>
  <si>
    <t>5475万</t>
  </si>
  <si>
    <t>冰川网络</t>
  </si>
  <si>
    <t>3587万</t>
  </si>
  <si>
    <t>2065万</t>
  </si>
  <si>
    <t>-27.4万</t>
  </si>
  <si>
    <t>1868万</t>
  </si>
  <si>
    <t>中电环保</t>
  </si>
  <si>
    <t>1604万</t>
  </si>
  <si>
    <t>经纬电材</t>
  </si>
  <si>
    <t>2685万</t>
  </si>
  <si>
    <t>2295万</t>
  </si>
  <si>
    <t>9968万</t>
  </si>
  <si>
    <t>丰元股份</t>
  </si>
  <si>
    <t>9691万</t>
  </si>
  <si>
    <t>5339万</t>
  </si>
  <si>
    <t>7177万</t>
  </si>
  <si>
    <t>永和智控</t>
  </si>
  <si>
    <t>6375万</t>
  </si>
  <si>
    <t>915万</t>
  </si>
  <si>
    <t>760万</t>
  </si>
  <si>
    <t>6948万</t>
  </si>
  <si>
    <t>9464万</t>
  </si>
  <si>
    <t>金轮股份</t>
  </si>
  <si>
    <t>-152万</t>
  </si>
  <si>
    <t>2118万</t>
  </si>
  <si>
    <t>1553万</t>
  </si>
  <si>
    <t>鞍重股份</t>
  </si>
  <si>
    <t>4661万</t>
  </si>
  <si>
    <t>齐心集团</t>
  </si>
  <si>
    <t>454万</t>
  </si>
  <si>
    <t>2985万</t>
  </si>
  <si>
    <t>恒康医疗</t>
  </si>
  <si>
    <t>9732万</t>
  </si>
  <si>
    <t>9871万</t>
  </si>
  <si>
    <t>5136万</t>
  </si>
  <si>
    <t>百隆东方</t>
  </si>
  <si>
    <t>3256万</t>
  </si>
  <si>
    <t>8781万</t>
  </si>
  <si>
    <t>泰豪科技</t>
  </si>
  <si>
    <t>5290万</t>
  </si>
  <si>
    <t>达威股份</t>
  </si>
  <si>
    <t>807万</t>
  </si>
  <si>
    <t>5671万</t>
  </si>
  <si>
    <t>5108万</t>
  </si>
  <si>
    <t>恒通科技</t>
  </si>
  <si>
    <t>2382万</t>
  </si>
  <si>
    <t>1745万</t>
  </si>
  <si>
    <t>麦捷科技</t>
  </si>
  <si>
    <t>2936万</t>
  </si>
  <si>
    <t>2297万</t>
  </si>
  <si>
    <t>-6191万</t>
  </si>
  <si>
    <t>上海新阳</t>
  </si>
  <si>
    <t>1893万</t>
  </si>
  <si>
    <t>-181万</t>
  </si>
  <si>
    <t>1594万</t>
  </si>
  <si>
    <t>易世达</t>
  </si>
  <si>
    <t>3815万</t>
  </si>
  <si>
    <t>364万</t>
  </si>
  <si>
    <t>-1.75亿</t>
  </si>
  <si>
    <t>科迪乳业</t>
  </si>
  <si>
    <t>2969万</t>
  </si>
  <si>
    <t>2340万</t>
  </si>
  <si>
    <t>2586万</t>
  </si>
  <si>
    <t>利达光电</t>
  </si>
  <si>
    <t>750万</t>
  </si>
  <si>
    <t>1506万</t>
  </si>
  <si>
    <t>长江证券</t>
  </si>
  <si>
    <t>1179亿</t>
  </si>
  <si>
    <t>江铃汽车</t>
  </si>
  <si>
    <t>-291万</t>
  </si>
  <si>
    <t>世纪星源</t>
  </si>
  <si>
    <t>1615万</t>
  </si>
  <si>
    <t>-4.30亿</t>
  </si>
  <si>
    <t>嘉澳环保</t>
  </si>
  <si>
    <t>13.1万</t>
  </si>
  <si>
    <t>873万</t>
  </si>
  <si>
    <t>九州通</t>
  </si>
  <si>
    <t>1500万</t>
  </si>
  <si>
    <t>601亿</t>
  </si>
  <si>
    <t>514亿</t>
  </si>
  <si>
    <t>383亿</t>
  </si>
  <si>
    <t>新农开发</t>
  </si>
  <si>
    <t>-935万</t>
  </si>
  <si>
    <t>46.7万</t>
  </si>
  <si>
    <t>-924万</t>
  </si>
  <si>
    <t>-829万</t>
  </si>
  <si>
    <t>-6.93亿</t>
  </si>
  <si>
    <t>新元科技</t>
  </si>
  <si>
    <t>7158万</t>
  </si>
  <si>
    <t>1308万</t>
  </si>
  <si>
    <t>994万</t>
  </si>
  <si>
    <t>博济医药</t>
  </si>
  <si>
    <t>429万</t>
  </si>
  <si>
    <t>509万</t>
  </si>
  <si>
    <t>908万</t>
  </si>
  <si>
    <t>东方电热</t>
  </si>
  <si>
    <t>3134万</t>
  </si>
  <si>
    <t>7857万</t>
  </si>
  <si>
    <t>梅泰诺</t>
  </si>
  <si>
    <t>华源控股</t>
  </si>
  <si>
    <t>-35.6万</t>
  </si>
  <si>
    <t>1217万</t>
  </si>
  <si>
    <t>兴民智通</t>
  </si>
  <si>
    <t>4242万</t>
  </si>
  <si>
    <t>23.3万</t>
  </si>
  <si>
    <t>中持股份</t>
  </si>
  <si>
    <t>9035万</t>
  </si>
  <si>
    <t>859万</t>
  </si>
  <si>
    <t>314万</t>
  </si>
  <si>
    <t>中衡设计</t>
  </si>
  <si>
    <t>2741万</t>
  </si>
  <si>
    <t>459万</t>
  </si>
  <si>
    <t>2819万</t>
  </si>
  <si>
    <t>创业黑马</t>
  </si>
  <si>
    <t>49.2万</t>
  </si>
  <si>
    <t>635万</t>
  </si>
  <si>
    <t>9141万</t>
  </si>
  <si>
    <t>6462万</t>
  </si>
  <si>
    <t>6245万</t>
  </si>
  <si>
    <t>奥普光电</t>
  </si>
  <si>
    <t>8125万</t>
  </si>
  <si>
    <t>104万</t>
  </si>
  <si>
    <t>937万</t>
  </si>
  <si>
    <t>6420万</t>
  </si>
  <si>
    <t>3856万</t>
  </si>
  <si>
    <t>华讯方舟</t>
  </si>
  <si>
    <t>1768万</t>
  </si>
  <si>
    <t>龙韵股份</t>
  </si>
  <si>
    <t>7003万</t>
  </si>
  <si>
    <t>海天精工</t>
  </si>
  <si>
    <t>1917万</t>
  </si>
  <si>
    <t>1801万</t>
  </si>
  <si>
    <t>上海电气</t>
  </si>
  <si>
    <t>1989亿</t>
  </si>
  <si>
    <t>1432亿</t>
  </si>
  <si>
    <t>1268亿</t>
  </si>
  <si>
    <t>沪宁股份</t>
  </si>
  <si>
    <t>8420万</t>
  </si>
  <si>
    <t>4511万</t>
  </si>
  <si>
    <t>568万</t>
  </si>
  <si>
    <t>593万</t>
  </si>
  <si>
    <t>524万</t>
  </si>
  <si>
    <t>5085万</t>
  </si>
  <si>
    <t>3812万</t>
  </si>
  <si>
    <t>安妮股份</t>
  </si>
  <si>
    <t>2648万</t>
  </si>
  <si>
    <t>847万</t>
  </si>
  <si>
    <t>2672万</t>
  </si>
  <si>
    <t>2623万</t>
  </si>
  <si>
    <t>-3.48亿</t>
  </si>
  <si>
    <t>三维通信</t>
  </si>
  <si>
    <t>2874万</t>
  </si>
  <si>
    <t>2175万</t>
  </si>
  <si>
    <t>联创电子</t>
  </si>
  <si>
    <t>精功科技</t>
  </si>
  <si>
    <t>-42.8万</t>
  </si>
  <si>
    <t>405万</t>
  </si>
  <si>
    <t>鑫茂科技</t>
  </si>
  <si>
    <t>4222万</t>
  </si>
  <si>
    <t>599万</t>
  </si>
  <si>
    <t>4209万</t>
  </si>
  <si>
    <t>贵糖股份</t>
  </si>
  <si>
    <t>4098万</t>
  </si>
  <si>
    <t>4105万</t>
  </si>
  <si>
    <t>欧派家居</t>
  </si>
  <si>
    <t>8951万</t>
  </si>
  <si>
    <t>9140万</t>
  </si>
  <si>
    <t>8971万</t>
  </si>
  <si>
    <t>苏大维格</t>
  </si>
  <si>
    <t>1985万</t>
  </si>
  <si>
    <t>12.3万</t>
  </si>
  <si>
    <t>1880万</t>
  </si>
  <si>
    <t>先河环保</t>
  </si>
  <si>
    <t>2486万</t>
  </si>
  <si>
    <t>1940万</t>
  </si>
  <si>
    <t>埃斯顿</t>
  </si>
  <si>
    <t>1808万</t>
  </si>
  <si>
    <t>润邦股份</t>
  </si>
  <si>
    <t>4151万</t>
  </si>
  <si>
    <t>4161万</t>
  </si>
  <si>
    <t>创新医疗</t>
  </si>
  <si>
    <t>6014万</t>
  </si>
  <si>
    <t>460万</t>
  </si>
  <si>
    <t>雪 莱 特</t>
  </si>
  <si>
    <t>1079万</t>
  </si>
  <si>
    <t>46.9万</t>
  </si>
  <si>
    <t>1247万</t>
  </si>
  <si>
    <t>阳 光 城</t>
  </si>
  <si>
    <t>5.58万</t>
  </si>
  <si>
    <t>-3036万</t>
  </si>
  <si>
    <t>2267亿</t>
  </si>
  <si>
    <t>2102亿</t>
  </si>
  <si>
    <t>1968亿</t>
  </si>
  <si>
    <t>1238亿</t>
  </si>
  <si>
    <t>730亿</t>
  </si>
  <si>
    <t>太阳能</t>
  </si>
  <si>
    <t>3.18万</t>
  </si>
  <si>
    <t>740万</t>
  </si>
  <si>
    <t>宜宾纸业</t>
  </si>
  <si>
    <t>-6694万</t>
  </si>
  <si>
    <t>昌红科技</t>
  </si>
  <si>
    <t>24.2万</t>
  </si>
  <si>
    <t>1040万</t>
  </si>
  <si>
    <t>965万</t>
  </si>
  <si>
    <t>9409万</t>
  </si>
  <si>
    <t>三川智慧</t>
  </si>
  <si>
    <t>584万</t>
  </si>
  <si>
    <t>1964万</t>
  </si>
  <si>
    <t>三五互联</t>
  </si>
  <si>
    <t>624万</t>
  </si>
  <si>
    <t>-20.4万</t>
  </si>
  <si>
    <t>617万</t>
  </si>
  <si>
    <t>中科金财</t>
  </si>
  <si>
    <t>3178万</t>
  </si>
  <si>
    <t>明牌珠宝</t>
  </si>
  <si>
    <t>4076万</t>
  </si>
  <si>
    <t>华工科技</t>
  </si>
  <si>
    <t>701万</t>
  </si>
  <si>
    <t>7718万</t>
  </si>
  <si>
    <t>6075万</t>
  </si>
  <si>
    <t>铜陵有色</t>
  </si>
  <si>
    <t>创元科技</t>
  </si>
  <si>
    <t>4347万</t>
  </si>
  <si>
    <t>-101万</t>
  </si>
  <si>
    <t>4364万</t>
  </si>
  <si>
    <t>国泰集团</t>
  </si>
  <si>
    <t>1297万</t>
  </si>
  <si>
    <t>天成自控</t>
  </si>
  <si>
    <t>7895万</t>
  </si>
  <si>
    <t>新南洋</t>
  </si>
  <si>
    <t>1799万</t>
  </si>
  <si>
    <t>中国卫星</t>
  </si>
  <si>
    <t>8318万</t>
  </si>
  <si>
    <t>-153万</t>
  </si>
  <si>
    <t>中环环保</t>
  </si>
  <si>
    <t>5010万</t>
  </si>
  <si>
    <t>1231万</t>
  </si>
  <si>
    <t>76.8万</t>
  </si>
  <si>
    <t>4828万</t>
  </si>
  <si>
    <t>东方中科</t>
  </si>
  <si>
    <t>4421万</t>
  </si>
  <si>
    <t>19.7万</t>
  </si>
  <si>
    <t>25.1万</t>
  </si>
  <si>
    <t>路畅科技</t>
  </si>
  <si>
    <t>850万</t>
  </si>
  <si>
    <t>-25.5万</t>
  </si>
  <si>
    <t>2152万</t>
  </si>
  <si>
    <t>多喜爱</t>
  </si>
  <si>
    <t>952万</t>
  </si>
  <si>
    <t>78.5万</t>
  </si>
  <si>
    <t>5450万</t>
  </si>
  <si>
    <t>新宝股份</t>
  </si>
  <si>
    <t>4306万</t>
  </si>
  <si>
    <t>达实智能</t>
  </si>
  <si>
    <t>4009万</t>
  </si>
  <si>
    <t>-22.6万</t>
  </si>
  <si>
    <t>4548万</t>
  </si>
  <si>
    <t>3577万</t>
  </si>
  <si>
    <t>汉王科技</t>
  </si>
  <si>
    <t>934万</t>
  </si>
  <si>
    <t>丰乐种业</t>
  </si>
  <si>
    <t>诺德股份</t>
  </si>
  <si>
    <t>亚通股份</t>
  </si>
  <si>
    <t>1837万</t>
  </si>
  <si>
    <t>1815万</t>
  </si>
  <si>
    <t>XD应流股</t>
  </si>
  <si>
    <t>3826万</t>
  </si>
  <si>
    <t>3280万</t>
  </si>
  <si>
    <t>江化微</t>
  </si>
  <si>
    <t>8334万</t>
  </si>
  <si>
    <t>945万</t>
  </si>
  <si>
    <t>993万</t>
  </si>
  <si>
    <t>861万</t>
  </si>
  <si>
    <t>5745万</t>
  </si>
  <si>
    <t>新通联</t>
  </si>
  <si>
    <t>73.5万</t>
  </si>
  <si>
    <t>679万</t>
  </si>
  <si>
    <t>国美通讯</t>
  </si>
  <si>
    <t>-1470万</t>
  </si>
  <si>
    <t>-1461万</t>
  </si>
  <si>
    <t>5756万</t>
  </si>
  <si>
    <t>4508万</t>
  </si>
  <si>
    <t>世茂股份</t>
  </si>
  <si>
    <t>-294万</t>
  </si>
  <si>
    <t>955亿</t>
  </si>
  <si>
    <t>609亿</t>
  </si>
  <si>
    <t>南京新百</t>
  </si>
  <si>
    <t>6.23万</t>
  </si>
  <si>
    <t>9177万</t>
  </si>
  <si>
    <t>三鑫医疗</t>
  </si>
  <si>
    <t>819万</t>
  </si>
  <si>
    <t>22.2万</t>
  </si>
  <si>
    <t>666万</t>
  </si>
  <si>
    <t>622万</t>
  </si>
  <si>
    <t>德威新材</t>
  </si>
  <si>
    <t>8.50万</t>
  </si>
  <si>
    <t>1686万</t>
  </si>
  <si>
    <t>4015万</t>
  </si>
  <si>
    <t>聚光科技</t>
  </si>
  <si>
    <t>3586万</t>
  </si>
  <si>
    <t>信邦制药</t>
  </si>
  <si>
    <t>-700万</t>
  </si>
  <si>
    <t>8261万</t>
  </si>
  <si>
    <t>7366万</t>
  </si>
  <si>
    <t>天富能源</t>
  </si>
  <si>
    <t>9298万</t>
  </si>
  <si>
    <t>9228万</t>
  </si>
  <si>
    <t>7389万</t>
  </si>
  <si>
    <t>华联综超</t>
  </si>
  <si>
    <t>3597万</t>
  </si>
  <si>
    <t>1736万</t>
  </si>
  <si>
    <t>3459万</t>
  </si>
  <si>
    <t>超频三</t>
  </si>
  <si>
    <t>967万</t>
  </si>
  <si>
    <t>星辉娱乐</t>
  </si>
  <si>
    <t>2894万</t>
  </si>
  <si>
    <t>金新农</t>
  </si>
  <si>
    <t>2113万</t>
  </si>
  <si>
    <t>3389万</t>
  </si>
  <si>
    <t>2294万</t>
  </si>
  <si>
    <t>1864万</t>
  </si>
  <si>
    <t>太安堂</t>
  </si>
  <si>
    <t>7480万</t>
  </si>
  <si>
    <t>7495万</t>
  </si>
  <si>
    <t>5567万</t>
  </si>
  <si>
    <t>航发控制</t>
  </si>
  <si>
    <t>6978万</t>
  </si>
  <si>
    <t>5814万</t>
  </si>
  <si>
    <t>洛凯股份</t>
  </si>
  <si>
    <t>855万</t>
  </si>
  <si>
    <t>14.3万</t>
  </si>
  <si>
    <t>689万</t>
  </si>
  <si>
    <t>康惠制药</t>
  </si>
  <si>
    <t>9988万</t>
  </si>
  <si>
    <t>5363万</t>
  </si>
  <si>
    <t>7505万</t>
  </si>
  <si>
    <t>1273万</t>
  </si>
  <si>
    <t>赤峰黄金</t>
  </si>
  <si>
    <t>16.3万</t>
  </si>
  <si>
    <t>3478万</t>
  </si>
  <si>
    <t>3111万</t>
  </si>
  <si>
    <t>浙数文化</t>
  </si>
  <si>
    <t>2630万</t>
  </si>
  <si>
    <t>8855万</t>
  </si>
  <si>
    <t>98.7亿</t>
  </si>
  <si>
    <t>天能重工</t>
  </si>
  <si>
    <t>8459万</t>
  </si>
  <si>
    <t>2166万</t>
  </si>
  <si>
    <t>2158万</t>
  </si>
  <si>
    <t>天龙集团</t>
  </si>
  <si>
    <t>3022万</t>
  </si>
  <si>
    <t>-1920万</t>
  </si>
  <si>
    <t>9762万</t>
  </si>
  <si>
    <t>龙津药业</t>
  </si>
  <si>
    <t>788万</t>
  </si>
  <si>
    <t>69.0万</t>
  </si>
  <si>
    <t>724万</t>
  </si>
  <si>
    <t>11.3万</t>
  </si>
  <si>
    <t>益盛药业</t>
  </si>
  <si>
    <t>3808万</t>
  </si>
  <si>
    <t>三 力 士</t>
  </si>
  <si>
    <t>2127万</t>
  </si>
  <si>
    <t>-1278万</t>
  </si>
  <si>
    <t>2156万</t>
  </si>
  <si>
    <t>3958万</t>
  </si>
  <si>
    <t>山东威达</t>
  </si>
  <si>
    <t>302万</t>
  </si>
  <si>
    <t>3047万</t>
  </si>
  <si>
    <t>2636万</t>
  </si>
  <si>
    <t>4114万</t>
  </si>
  <si>
    <t>中兵红箭</t>
  </si>
  <si>
    <t>数字认证</t>
  </si>
  <si>
    <t>4311万</t>
  </si>
  <si>
    <t>8514万</t>
  </si>
  <si>
    <t>25.0万</t>
  </si>
  <si>
    <t>609万</t>
  </si>
  <si>
    <t>1340万</t>
  </si>
  <si>
    <t>佳发安泰</t>
  </si>
  <si>
    <t>7624万</t>
  </si>
  <si>
    <t>1410万</t>
  </si>
  <si>
    <t>金杯电工</t>
  </si>
  <si>
    <t>3251万</t>
  </si>
  <si>
    <t>-26.6万</t>
  </si>
  <si>
    <t>3314万</t>
  </si>
  <si>
    <t>日发精机</t>
  </si>
  <si>
    <t>2924万</t>
  </si>
  <si>
    <t>2917万</t>
  </si>
  <si>
    <t>7855万</t>
  </si>
  <si>
    <t>湖南黄金</t>
  </si>
  <si>
    <t>5228万</t>
  </si>
  <si>
    <t>5105万</t>
  </si>
  <si>
    <t>通润装备</t>
  </si>
  <si>
    <t>2143万</t>
  </si>
  <si>
    <t>1241万</t>
  </si>
  <si>
    <t>美菱电器</t>
  </si>
  <si>
    <t>6781万</t>
  </si>
  <si>
    <t>5626万</t>
  </si>
  <si>
    <t>风范股份</t>
  </si>
  <si>
    <t>4030万</t>
  </si>
  <si>
    <t>宏图高科</t>
  </si>
  <si>
    <t>85.6亿</t>
  </si>
  <si>
    <t>明阳电路</t>
  </si>
  <si>
    <t>1228万</t>
  </si>
  <si>
    <t>14.1万</t>
  </si>
  <si>
    <t>京泉华</t>
  </si>
  <si>
    <t>167万</t>
  </si>
  <si>
    <t>乔治白</t>
  </si>
  <si>
    <t>1719万</t>
  </si>
  <si>
    <t>17.4万</t>
  </si>
  <si>
    <t>1117万</t>
  </si>
  <si>
    <t>雅克科技</t>
  </si>
  <si>
    <t>2026万</t>
  </si>
  <si>
    <t>8.78万</t>
  </si>
  <si>
    <t>1715万</t>
  </si>
  <si>
    <t>四维图新</t>
  </si>
  <si>
    <t>7263万</t>
  </si>
  <si>
    <t>7332万</t>
  </si>
  <si>
    <t>96.4亿</t>
  </si>
  <si>
    <t>9214万</t>
  </si>
  <si>
    <t>亚厦股份</t>
  </si>
  <si>
    <t>800万</t>
  </si>
  <si>
    <t>9666万</t>
  </si>
  <si>
    <t>8273万</t>
  </si>
  <si>
    <t>4517万</t>
  </si>
  <si>
    <t>诺邦股份</t>
  </si>
  <si>
    <t>1278万</t>
  </si>
  <si>
    <t>1346万</t>
  </si>
  <si>
    <t>兴业证券</t>
  </si>
  <si>
    <t>1650亿</t>
  </si>
  <si>
    <t>1288亿</t>
  </si>
  <si>
    <t>康跃科技</t>
  </si>
  <si>
    <t>1395万</t>
  </si>
  <si>
    <t>5410万</t>
  </si>
  <si>
    <t>麦迪电气</t>
  </si>
  <si>
    <t>-25.7万</t>
  </si>
  <si>
    <t>思创医惠</t>
  </si>
  <si>
    <t>2373万</t>
  </si>
  <si>
    <t>39.7万</t>
  </si>
  <si>
    <t>2346万</t>
  </si>
  <si>
    <t>欧比特</t>
  </si>
  <si>
    <t>2265万</t>
  </si>
  <si>
    <t>银河电子</t>
  </si>
  <si>
    <t>3962万</t>
  </si>
  <si>
    <t>联化科技</t>
  </si>
  <si>
    <t>-2952万</t>
  </si>
  <si>
    <t>8738万</t>
  </si>
  <si>
    <t>福达合金</t>
  </si>
  <si>
    <t>610万</t>
  </si>
  <si>
    <t>19.9万</t>
  </si>
  <si>
    <t>8236万</t>
  </si>
  <si>
    <t>延长化建</t>
  </si>
  <si>
    <t>2612万</t>
  </si>
  <si>
    <t>44.8万</t>
  </si>
  <si>
    <t>2600万</t>
  </si>
  <si>
    <t>科信技术</t>
  </si>
  <si>
    <t>941万</t>
  </si>
  <si>
    <t>810万</t>
  </si>
  <si>
    <t>佳云科技</t>
  </si>
  <si>
    <t>408万</t>
  </si>
  <si>
    <t>2504万</t>
  </si>
  <si>
    <t>472万</t>
  </si>
  <si>
    <t>康芝药业</t>
  </si>
  <si>
    <t>2617万</t>
  </si>
  <si>
    <t>南 京 港</t>
  </si>
  <si>
    <t>4227万</t>
  </si>
  <si>
    <t>邦宝益智</t>
  </si>
  <si>
    <t>5280万</t>
  </si>
  <si>
    <t>6832万</t>
  </si>
  <si>
    <t>671万</t>
  </si>
  <si>
    <t>8576万</t>
  </si>
  <si>
    <t>8123万</t>
  </si>
  <si>
    <t>金陵饭店</t>
  </si>
  <si>
    <t>2077万</t>
  </si>
  <si>
    <t>2576万</t>
  </si>
  <si>
    <t>东方日升</t>
  </si>
  <si>
    <t>9427万</t>
  </si>
  <si>
    <t>69.2万</t>
  </si>
  <si>
    <t>8018万</t>
  </si>
  <si>
    <t>达刚路机</t>
  </si>
  <si>
    <t>1127万</t>
  </si>
  <si>
    <t>576万</t>
  </si>
  <si>
    <t>金利华电</t>
  </si>
  <si>
    <t>4.45万</t>
  </si>
  <si>
    <t>513万</t>
  </si>
  <si>
    <t>博实股份</t>
  </si>
  <si>
    <t>7.11万</t>
  </si>
  <si>
    <t>天广中茂</t>
  </si>
  <si>
    <t>8.27万</t>
  </si>
  <si>
    <t>5884万</t>
  </si>
  <si>
    <t>5416万</t>
  </si>
  <si>
    <t>中原传媒</t>
  </si>
  <si>
    <t>7886万</t>
  </si>
  <si>
    <t>英 力 特</t>
  </si>
  <si>
    <t>5011万</t>
  </si>
  <si>
    <t>4992万</t>
  </si>
  <si>
    <t>号百控股</t>
  </si>
  <si>
    <t>6074万</t>
  </si>
  <si>
    <t>736万</t>
  </si>
  <si>
    <t>秋林集团</t>
  </si>
  <si>
    <t>4346万</t>
  </si>
  <si>
    <t>3228万</t>
  </si>
  <si>
    <t>广东榕泰</t>
  </si>
  <si>
    <t>天华超净</t>
  </si>
  <si>
    <t>-56.7万</t>
  </si>
  <si>
    <t>润和软件</t>
  </si>
  <si>
    <t>4672万</t>
  </si>
  <si>
    <t>-61.4万</t>
  </si>
  <si>
    <t>4679万</t>
  </si>
  <si>
    <t>4516万</t>
  </si>
  <si>
    <t>裕兴股份</t>
  </si>
  <si>
    <t>1772万</t>
  </si>
  <si>
    <t>永清环保</t>
  </si>
  <si>
    <t>1775万</t>
  </si>
  <si>
    <t>奥克股份</t>
  </si>
  <si>
    <t>-126万</t>
  </si>
  <si>
    <t>3050万</t>
  </si>
  <si>
    <t>和胜股份</t>
  </si>
  <si>
    <t>7404万</t>
  </si>
  <si>
    <t>304万</t>
  </si>
  <si>
    <t>牧原股份</t>
  </si>
  <si>
    <t>682万</t>
  </si>
  <si>
    <t>蓝丰生化</t>
  </si>
  <si>
    <t>3005万</t>
  </si>
  <si>
    <t>2690万</t>
  </si>
  <si>
    <t>江海股份</t>
  </si>
  <si>
    <t>1445万</t>
  </si>
  <si>
    <t>科大讯飞</t>
  </si>
  <si>
    <t>8199万</t>
  </si>
  <si>
    <t>沃尔核材</t>
  </si>
  <si>
    <t>天邦股份</t>
  </si>
  <si>
    <t>3218万</t>
  </si>
  <si>
    <t>金洲慈航</t>
  </si>
  <si>
    <t>2521万</t>
  </si>
  <si>
    <t>世运电路</t>
  </si>
  <si>
    <t>2993万</t>
  </si>
  <si>
    <t>2480万</t>
  </si>
  <si>
    <t>DR海兴电</t>
  </si>
  <si>
    <t>-78.5万</t>
  </si>
  <si>
    <t>5842万</t>
  </si>
  <si>
    <t>宝泰隆</t>
  </si>
  <si>
    <t>-210万</t>
  </si>
  <si>
    <t>7873万</t>
  </si>
  <si>
    <t>6043万</t>
  </si>
  <si>
    <t>阳煤化工</t>
  </si>
  <si>
    <t>-60.6万</t>
  </si>
  <si>
    <t>-9.34亿</t>
  </si>
  <si>
    <t>中珠医疗</t>
  </si>
  <si>
    <t>8.34万</t>
  </si>
  <si>
    <t>8025万</t>
  </si>
  <si>
    <t>348万</t>
  </si>
  <si>
    <t>8135万</t>
  </si>
  <si>
    <t>南京聚隆</t>
  </si>
  <si>
    <t>603万</t>
  </si>
  <si>
    <t>辰安科技</t>
  </si>
  <si>
    <t>266万</t>
  </si>
  <si>
    <t>1115万</t>
  </si>
  <si>
    <t>田中精机</t>
  </si>
  <si>
    <t>9302万</t>
  </si>
  <si>
    <t>1119万</t>
  </si>
  <si>
    <t>8801万</t>
  </si>
  <si>
    <t>文科园林</t>
  </si>
  <si>
    <t>2441万</t>
  </si>
  <si>
    <t>勤上股份</t>
  </si>
  <si>
    <t>2649万</t>
  </si>
  <si>
    <t>5994万</t>
  </si>
  <si>
    <t>5474万</t>
  </si>
  <si>
    <t>广田集团</t>
  </si>
  <si>
    <t>5.47万</t>
  </si>
  <si>
    <t>157万</t>
  </si>
  <si>
    <t>8164万</t>
  </si>
  <si>
    <t>8158万</t>
  </si>
  <si>
    <t>中环股份</t>
  </si>
  <si>
    <t>333亿</t>
  </si>
  <si>
    <t>浙江震元</t>
  </si>
  <si>
    <t>6.67万</t>
  </si>
  <si>
    <t>1646万</t>
  </si>
  <si>
    <t>1449万</t>
  </si>
  <si>
    <t>渝三峡Ａ</t>
  </si>
  <si>
    <t>550万</t>
  </si>
  <si>
    <t>1107万</t>
  </si>
  <si>
    <t>6152万</t>
  </si>
  <si>
    <t>乐凯胶片</t>
  </si>
  <si>
    <t>2013万</t>
  </si>
  <si>
    <t>1771万</t>
  </si>
  <si>
    <t>艾艾精工</t>
  </si>
  <si>
    <t>9334万</t>
  </si>
  <si>
    <t>3984万</t>
  </si>
  <si>
    <t>8073万</t>
  </si>
  <si>
    <t>4705万</t>
  </si>
  <si>
    <t>3934万</t>
  </si>
  <si>
    <t>771万</t>
  </si>
  <si>
    <t>中国中车</t>
  </si>
  <si>
    <t>2592万</t>
  </si>
  <si>
    <t>3724亿</t>
  </si>
  <si>
    <t>2519亿</t>
  </si>
  <si>
    <t>2291亿</t>
  </si>
  <si>
    <t>2036亿</t>
  </si>
  <si>
    <t>1227亿</t>
  </si>
  <si>
    <t>406亿</t>
  </si>
  <si>
    <t>广西广电</t>
  </si>
  <si>
    <t>首开股份</t>
  </si>
  <si>
    <t>5.20万</t>
  </si>
  <si>
    <t>2537亿</t>
  </si>
  <si>
    <t>2309亿</t>
  </si>
  <si>
    <t>2066亿</t>
  </si>
  <si>
    <t>1101亿</t>
  </si>
  <si>
    <t>965亿</t>
  </si>
  <si>
    <t>真视通</t>
  </si>
  <si>
    <t>7784万</t>
  </si>
  <si>
    <t>-9.35万</t>
  </si>
  <si>
    <t>双箭股份</t>
  </si>
  <si>
    <t>76.1万</t>
  </si>
  <si>
    <t>2078万</t>
  </si>
  <si>
    <t>星期六</t>
  </si>
  <si>
    <t>2329万</t>
  </si>
  <si>
    <t>80.0万</t>
  </si>
  <si>
    <t>1924万</t>
  </si>
  <si>
    <t>金风科技</t>
  </si>
  <si>
    <t>85.3亿</t>
  </si>
  <si>
    <t>新 海 宜</t>
  </si>
  <si>
    <t>9019万</t>
  </si>
  <si>
    <t>1455万</t>
  </si>
  <si>
    <t>1501万</t>
  </si>
  <si>
    <t>楚天科技</t>
  </si>
  <si>
    <t>2531万</t>
  </si>
  <si>
    <t>2395万</t>
  </si>
  <si>
    <t>世龙实业</t>
  </si>
  <si>
    <t>1419万</t>
  </si>
  <si>
    <t>海印股份</t>
  </si>
  <si>
    <t>3570万</t>
  </si>
  <si>
    <t>汇金通</t>
  </si>
  <si>
    <t>1069万</t>
  </si>
  <si>
    <t>1039万</t>
  </si>
  <si>
    <t>876万</t>
  </si>
  <si>
    <t>展鹏科技</t>
  </si>
  <si>
    <t>5005万</t>
  </si>
  <si>
    <t>960万</t>
  </si>
  <si>
    <t>51.1万</t>
  </si>
  <si>
    <t>966万</t>
  </si>
  <si>
    <t>上海临港</t>
  </si>
  <si>
    <t>9613万</t>
  </si>
  <si>
    <t>6674万</t>
  </si>
  <si>
    <t>华银电力</t>
  </si>
  <si>
    <t>3375万</t>
  </si>
  <si>
    <t>-37.9亿</t>
  </si>
  <si>
    <t>长园集团</t>
  </si>
  <si>
    <t>4859万</t>
  </si>
  <si>
    <t>9665万</t>
  </si>
  <si>
    <t>贵研铂业</t>
  </si>
  <si>
    <t>3220万</t>
  </si>
  <si>
    <t>红豆股份</t>
  </si>
  <si>
    <t>3.56万</t>
  </si>
  <si>
    <t>1045万</t>
  </si>
  <si>
    <t>5890万</t>
  </si>
  <si>
    <t>9.58万</t>
  </si>
  <si>
    <t>华微电子</t>
  </si>
  <si>
    <t>84.6万</t>
  </si>
  <si>
    <t>首旅酒店</t>
  </si>
  <si>
    <t>-85.3万</t>
  </si>
  <si>
    <t>乐金健康</t>
  </si>
  <si>
    <t>2611万</t>
  </si>
  <si>
    <t>378万</t>
  </si>
  <si>
    <t>2891万</t>
  </si>
  <si>
    <t>4259万</t>
  </si>
  <si>
    <t>机器人</t>
  </si>
  <si>
    <t>-458万</t>
  </si>
  <si>
    <t>7030万</t>
  </si>
  <si>
    <t>6087万</t>
  </si>
  <si>
    <t>榕基软件</t>
  </si>
  <si>
    <t>1458万</t>
  </si>
  <si>
    <t>海特高新</t>
  </si>
  <si>
    <t>3073万</t>
  </si>
  <si>
    <t>3130万</t>
  </si>
  <si>
    <t>江苏有线</t>
  </si>
  <si>
    <t>怡达股份</t>
  </si>
  <si>
    <t>1059万</t>
  </si>
  <si>
    <t>朗科智能</t>
  </si>
  <si>
    <t>74.7万</t>
  </si>
  <si>
    <t>730万</t>
  </si>
  <si>
    <t>佳士科技</t>
  </si>
  <si>
    <t>易明医药</t>
  </si>
  <si>
    <t>698万</t>
  </si>
  <si>
    <t>好利来</t>
  </si>
  <si>
    <t>3873万</t>
  </si>
  <si>
    <t>533万</t>
  </si>
  <si>
    <t>71.2万</t>
  </si>
  <si>
    <t>海洋王</t>
  </si>
  <si>
    <t>2184万</t>
  </si>
  <si>
    <t>22.9万</t>
  </si>
  <si>
    <t>友邦吊顶</t>
  </si>
  <si>
    <t>8763万</t>
  </si>
  <si>
    <t>992万</t>
  </si>
  <si>
    <t>1296万</t>
  </si>
  <si>
    <t>8731万</t>
  </si>
  <si>
    <t>正邦科技</t>
  </si>
  <si>
    <t>6202万</t>
  </si>
  <si>
    <t>6438万</t>
  </si>
  <si>
    <t>华邦健康</t>
  </si>
  <si>
    <t>4761万</t>
  </si>
  <si>
    <t>9608万</t>
  </si>
  <si>
    <t>国海证券</t>
  </si>
  <si>
    <t>62.8亿</t>
  </si>
  <si>
    <t>中原证券</t>
  </si>
  <si>
    <t>*ST油服</t>
  </si>
  <si>
    <t>-7095万</t>
  </si>
  <si>
    <t>-861万</t>
  </si>
  <si>
    <t>-255亿</t>
  </si>
  <si>
    <t>539亿</t>
  </si>
  <si>
    <t>士兰微</t>
  </si>
  <si>
    <t>-39.3万</t>
  </si>
  <si>
    <t>1592万</t>
  </si>
  <si>
    <t>3114万</t>
  </si>
  <si>
    <t>华能水电</t>
  </si>
  <si>
    <t>1652亿</t>
  </si>
  <si>
    <t>1050亿</t>
  </si>
  <si>
    <t>1241亿</t>
  </si>
  <si>
    <t>光弘科技</t>
  </si>
  <si>
    <t>8868万</t>
  </si>
  <si>
    <t>2512万</t>
  </si>
  <si>
    <t>2548万</t>
  </si>
  <si>
    <t>大烨智能</t>
  </si>
  <si>
    <t>5397万</t>
  </si>
  <si>
    <t>6547万</t>
  </si>
  <si>
    <t>655万</t>
  </si>
  <si>
    <t>高科石化</t>
  </si>
  <si>
    <t>8911万</t>
  </si>
  <si>
    <t>5554万</t>
  </si>
  <si>
    <t>704万</t>
  </si>
  <si>
    <t>621万</t>
  </si>
  <si>
    <t>锦龙股份</t>
  </si>
  <si>
    <t>3733万</t>
  </si>
  <si>
    <t>中联重科</t>
  </si>
  <si>
    <t>7630万</t>
  </si>
  <si>
    <t>857亿</t>
  </si>
  <si>
    <t>645亿</t>
  </si>
  <si>
    <t>470亿</t>
  </si>
  <si>
    <t>皇庭国际</t>
  </si>
  <si>
    <t>7945万</t>
  </si>
  <si>
    <t>3965万</t>
  </si>
  <si>
    <t>5375万</t>
  </si>
  <si>
    <t>华鼎股份</t>
  </si>
  <si>
    <t>7.90万</t>
  </si>
  <si>
    <t>3381万</t>
  </si>
  <si>
    <t>-169万</t>
  </si>
  <si>
    <t>一拖股份</t>
  </si>
  <si>
    <t>1530万</t>
  </si>
  <si>
    <t>3791万</t>
  </si>
  <si>
    <t>4795万</t>
  </si>
  <si>
    <t>新雷能</t>
  </si>
  <si>
    <t>7204万</t>
  </si>
  <si>
    <t>52.4万</t>
  </si>
  <si>
    <t>555万</t>
  </si>
  <si>
    <t>4506万</t>
  </si>
  <si>
    <t>8861万</t>
  </si>
  <si>
    <t>中欣氟材</t>
  </si>
  <si>
    <t>451万</t>
  </si>
  <si>
    <t>先锋电子</t>
  </si>
  <si>
    <t>6845万</t>
  </si>
  <si>
    <t>6456万</t>
  </si>
  <si>
    <t>-30.2万</t>
  </si>
  <si>
    <t>1355万</t>
  </si>
  <si>
    <t>9929万</t>
  </si>
  <si>
    <t>燕塘乳业</t>
  </si>
  <si>
    <t>1323万</t>
  </si>
  <si>
    <t>1265万</t>
  </si>
  <si>
    <t>951万</t>
  </si>
  <si>
    <t>国睿科技</t>
  </si>
  <si>
    <t>2102万</t>
  </si>
  <si>
    <t>1753万</t>
  </si>
  <si>
    <t>天药股份</t>
  </si>
  <si>
    <t>-17.8万</t>
  </si>
  <si>
    <t>4523万</t>
  </si>
  <si>
    <t>航天信息</t>
  </si>
  <si>
    <t>三峡水利</t>
  </si>
  <si>
    <t>2899万</t>
  </si>
  <si>
    <t>537万</t>
  </si>
  <si>
    <t>2706万</t>
  </si>
  <si>
    <t>科达利</t>
  </si>
  <si>
    <t>9290万</t>
  </si>
  <si>
    <t>2547万</t>
  </si>
  <si>
    <t>275万</t>
  </si>
  <si>
    <t>2228万</t>
  </si>
  <si>
    <t>2824万</t>
  </si>
  <si>
    <t>华锋股份</t>
  </si>
  <si>
    <t>5616万</t>
  </si>
  <si>
    <t>442万</t>
  </si>
  <si>
    <t>455万</t>
  </si>
  <si>
    <t>377万</t>
  </si>
  <si>
    <t>2703万</t>
  </si>
  <si>
    <t>3963万</t>
  </si>
  <si>
    <t>易尚展示</t>
  </si>
  <si>
    <t>9256万</t>
  </si>
  <si>
    <t>6782万</t>
  </si>
  <si>
    <t>奥佳华</t>
  </si>
  <si>
    <t>3201万</t>
  </si>
  <si>
    <t>佳隆股份</t>
  </si>
  <si>
    <t>8659万</t>
  </si>
  <si>
    <t>1255万</t>
  </si>
  <si>
    <t>1313万</t>
  </si>
  <si>
    <t>1124万</t>
  </si>
  <si>
    <t>9645万</t>
  </si>
  <si>
    <t>5371万</t>
  </si>
  <si>
    <t>4274万</t>
  </si>
  <si>
    <t>嘉应制药</t>
  </si>
  <si>
    <t>927万</t>
  </si>
  <si>
    <t>60.1万</t>
  </si>
  <si>
    <t>9527万</t>
  </si>
  <si>
    <t>3523万</t>
  </si>
  <si>
    <t>中科三环</t>
  </si>
  <si>
    <t>7313万</t>
  </si>
  <si>
    <t>-847万</t>
  </si>
  <si>
    <t>4219万</t>
  </si>
  <si>
    <t>紫光股份</t>
  </si>
  <si>
    <t>428亿</t>
  </si>
  <si>
    <t>泰合健康</t>
  </si>
  <si>
    <t>918万</t>
  </si>
  <si>
    <t>-12.7万</t>
  </si>
  <si>
    <t>东方电气</t>
  </si>
  <si>
    <t>773亿</t>
  </si>
  <si>
    <t>662亿</t>
  </si>
  <si>
    <t>88.3亿</t>
  </si>
  <si>
    <t>远方信息</t>
  </si>
  <si>
    <t>2098万</t>
  </si>
  <si>
    <t>-63.4万</t>
  </si>
  <si>
    <t>2111万</t>
  </si>
  <si>
    <t>1911万</t>
  </si>
  <si>
    <t>新天科技</t>
  </si>
  <si>
    <t>1611万</t>
  </si>
  <si>
    <t>780万</t>
  </si>
  <si>
    <t>1809万</t>
  </si>
  <si>
    <t>快意电梯</t>
  </si>
  <si>
    <t>8477万</t>
  </si>
  <si>
    <t>1157万</t>
  </si>
  <si>
    <t>4426万</t>
  </si>
  <si>
    <t>中直股份</t>
  </si>
  <si>
    <t>-19.1万</t>
  </si>
  <si>
    <t>8960万</t>
  </si>
  <si>
    <t>旭光股份</t>
  </si>
  <si>
    <t>1570万</t>
  </si>
  <si>
    <t>9.92万</t>
  </si>
  <si>
    <t>1411万</t>
  </si>
  <si>
    <t>宝光股份</t>
  </si>
  <si>
    <t>碳元科技</t>
  </si>
  <si>
    <t>1102万</t>
  </si>
  <si>
    <t>科顺股份</t>
  </si>
  <si>
    <t>2766万</t>
  </si>
  <si>
    <t>2972万</t>
  </si>
  <si>
    <t>长青集团</t>
  </si>
  <si>
    <t>海陆重工</t>
  </si>
  <si>
    <t>4390万</t>
  </si>
  <si>
    <t>铁岭新城</t>
  </si>
  <si>
    <t>582万</t>
  </si>
  <si>
    <t>3942万</t>
  </si>
  <si>
    <t>2991万</t>
  </si>
  <si>
    <t>江山欧派</t>
  </si>
  <si>
    <t>8082万</t>
  </si>
  <si>
    <t>华脉科技</t>
  </si>
  <si>
    <t>51.0万</t>
  </si>
  <si>
    <t>中国联通</t>
  </si>
  <si>
    <t>310亿</t>
  </si>
  <si>
    <t>749亿</t>
  </si>
  <si>
    <t>5746亿</t>
  </si>
  <si>
    <t>936亿</t>
  </si>
  <si>
    <t>3499亿</t>
  </si>
  <si>
    <t>2637亿</t>
  </si>
  <si>
    <t>2360亿</t>
  </si>
  <si>
    <t>1371亿</t>
  </si>
  <si>
    <t>786亿</t>
  </si>
  <si>
    <t>同和药业</t>
  </si>
  <si>
    <t>703万</t>
  </si>
  <si>
    <t>7899万</t>
  </si>
  <si>
    <t>纳尔股份</t>
  </si>
  <si>
    <t>2923万</t>
  </si>
  <si>
    <t>605万</t>
  </si>
  <si>
    <t>71.0万</t>
  </si>
  <si>
    <t>544万</t>
  </si>
  <si>
    <t>大连电瓷</t>
  </si>
  <si>
    <t>896万</t>
  </si>
  <si>
    <t>中南文化</t>
  </si>
  <si>
    <t>2072万</t>
  </si>
  <si>
    <t>深大通</t>
  </si>
  <si>
    <t>6173万</t>
  </si>
  <si>
    <t>浪莎股份</t>
  </si>
  <si>
    <t>81.9万</t>
  </si>
  <si>
    <t>517万</t>
  </si>
  <si>
    <t>3107万</t>
  </si>
  <si>
    <t>136万</t>
  </si>
  <si>
    <t>浙能电力</t>
  </si>
  <si>
    <t>1119亿</t>
  </si>
  <si>
    <t>563亿</t>
  </si>
  <si>
    <t>金银河</t>
  </si>
  <si>
    <t>7023万</t>
  </si>
  <si>
    <t>8134万</t>
  </si>
  <si>
    <t>赢时胜</t>
  </si>
  <si>
    <t>2836万</t>
  </si>
  <si>
    <t>-98.5万</t>
  </si>
  <si>
    <t>任子行</t>
  </si>
  <si>
    <t>1494万</t>
  </si>
  <si>
    <t>1154万</t>
  </si>
  <si>
    <t>东宝生物</t>
  </si>
  <si>
    <t>9900万</t>
  </si>
  <si>
    <t>9790万</t>
  </si>
  <si>
    <t>5281万</t>
  </si>
  <si>
    <t>保龄宝</t>
  </si>
  <si>
    <t>287万</t>
  </si>
  <si>
    <t>1674万</t>
  </si>
  <si>
    <t>1427万</t>
  </si>
  <si>
    <t>宝塔实业</t>
  </si>
  <si>
    <t>627万</t>
  </si>
  <si>
    <t>-5.05亿</t>
  </si>
  <si>
    <t>丰原药业</t>
  </si>
  <si>
    <t>2101万</t>
  </si>
  <si>
    <t>5.28万</t>
  </si>
  <si>
    <t>5473万</t>
  </si>
  <si>
    <t>中电电机</t>
  </si>
  <si>
    <t>7488万</t>
  </si>
  <si>
    <t>5278万</t>
  </si>
  <si>
    <t>浪潮软件</t>
  </si>
  <si>
    <t>2023万</t>
  </si>
  <si>
    <t>4377万</t>
  </si>
  <si>
    <t>3672万</t>
  </si>
  <si>
    <t>亿利洁能</t>
  </si>
  <si>
    <t>4.38万</t>
  </si>
  <si>
    <t>98.9亿</t>
  </si>
  <si>
    <t>赤天化</t>
  </si>
  <si>
    <t>5408万</t>
  </si>
  <si>
    <t>4416万</t>
  </si>
  <si>
    <t>太阳电缆</t>
  </si>
  <si>
    <t>30.2万</t>
  </si>
  <si>
    <t>湘潭电化</t>
  </si>
  <si>
    <t>1539万</t>
  </si>
  <si>
    <t>1032万</t>
  </si>
  <si>
    <t>5900万</t>
  </si>
  <si>
    <t>东信和平</t>
  </si>
  <si>
    <t>1031万</t>
  </si>
  <si>
    <t>-143万</t>
  </si>
  <si>
    <t>启迪古汉</t>
  </si>
  <si>
    <t>696万</t>
  </si>
  <si>
    <t>546万</t>
  </si>
  <si>
    <t>-1.36亿</t>
  </si>
  <si>
    <t>恒林股份</t>
  </si>
  <si>
    <t>3686万</t>
  </si>
  <si>
    <t>上海天洋</t>
  </si>
  <si>
    <t>2425万</t>
  </si>
  <si>
    <t>763万</t>
  </si>
  <si>
    <t>耀皮玻璃</t>
  </si>
  <si>
    <t>3616万</t>
  </si>
  <si>
    <t>2608万</t>
  </si>
  <si>
    <t>3759万</t>
  </si>
  <si>
    <t>鲁商置业</t>
  </si>
  <si>
    <t>6.35万</t>
  </si>
  <si>
    <t>4454万</t>
  </si>
  <si>
    <t>2162万</t>
  </si>
  <si>
    <t>438亿</t>
  </si>
  <si>
    <t>419亿</t>
  </si>
  <si>
    <t>西部证券</t>
  </si>
  <si>
    <t>95.0亿</t>
  </si>
  <si>
    <t>中电鑫龙</t>
  </si>
  <si>
    <t>4638万</t>
  </si>
  <si>
    <t>-49.1万</t>
  </si>
  <si>
    <t>4646万</t>
  </si>
  <si>
    <t>天润数娱</t>
  </si>
  <si>
    <t>-43.1万</t>
  </si>
  <si>
    <t>2464万</t>
  </si>
  <si>
    <t>432万</t>
  </si>
  <si>
    <t>东方市场</t>
  </si>
  <si>
    <t>4617万</t>
  </si>
  <si>
    <t>991万</t>
  </si>
  <si>
    <t>4565万</t>
  </si>
  <si>
    <t>安德利</t>
  </si>
  <si>
    <t>5586万</t>
  </si>
  <si>
    <t>佳都科技</t>
  </si>
  <si>
    <t>9279万</t>
  </si>
  <si>
    <t>百利电气</t>
  </si>
  <si>
    <t>南山铝业</t>
  </si>
  <si>
    <t>460亿</t>
  </si>
  <si>
    <t>横河模具</t>
  </si>
  <si>
    <t>398万</t>
  </si>
  <si>
    <t>261万</t>
  </si>
  <si>
    <t>嘉寓股份</t>
  </si>
  <si>
    <t>睿康股份</t>
  </si>
  <si>
    <t>4.67万</t>
  </si>
  <si>
    <t>1371万</t>
  </si>
  <si>
    <t>414万</t>
  </si>
  <si>
    <t>恒基达鑫</t>
  </si>
  <si>
    <t>5545万</t>
  </si>
  <si>
    <t>1300万</t>
  </si>
  <si>
    <t>-7.91万</t>
  </si>
  <si>
    <t>*ST尤夫</t>
  </si>
  <si>
    <t>-83.5万</t>
  </si>
  <si>
    <t>1643万</t>
  </si>
  <si>
    <t>盾安环境</t>
  </si>
  <si>
    <t>-109万</t>
  </si>
  <si>
    <t>神农基因</t>
  </si>
  <si>
    <t>1474万</t>
  </si>
  <si>
    <t>59.7万</t>
  </si>
  <si>
    <t>1291万</t>
  </si>
  <si>
    <t>6683万</t>
  </si>
  <si>
    <t>中国西电</t>
  </si>
  <si>
    <t>3.41万</t>
  </si>
  <si>
    <t>中新科技</t>
  </si>
  <si>
    <t>华立股份</t>
  </si>
  <si>
    <t>9401万</t>
  </si>
  <si>
    <t>3738万</t>
  </si>
  <si>
    <t>中远海控</t>
  </si>
  <si>
    <t>-163亿</t>
  </si>
  <si>
    <t>1294亿</t>
  </si>
  <si>
    <t>504亿</t>
  </si>
  <si>
    <t>860亿</t>
  </si>
  <si>
    <t>407亿</t>
  </si>
  <si>
    <t>宝胜股份</t>
  </si>
  <si>
    <t>4497万</t>
  </si>
  <si>
    <t>4468万</t>
  </si>
  <si>
    <t>3289万</t>
  </si>
  <si>
    <t>陇神戎发</t>
  </si>
  <si>
    <t>759万</t>
  </si>
  <si>
    <t>642万</t>
  </si>
  <si>
    <t>6892万</t>
  </si>
  <si>
    <t>5193万</t>
  </si>
  <si>
    <t>振东制药</t>
  </si>
  <si>
    <t>6210万</t>
  </si>
  <si>
    <t>10.8万</t>
  </si>
  <si>
    <t>神剑股份</t>
  </si>
  <si>
    <t>-49.6万</t>
  </si>
  <si>
    <t>超华科技</t>
  </si>
  <si>
    <t>河钢股份</t>
  </si>
  <si>
    <t>1923亿</t>
  </si>
  <si>
    <t>1096亿</t>
  </si>
  <si>
    <t>1442亿</t>
  </si>
  <si>
    <t>1121亿</t>
  </si>
  <si>
    <t>三木集团</t>
  </si>
  <si>
    <t>6396万</t>
  </si>
  <si>
    <t>-920万</t>
  </si>
  <si>
    <t>盐 田 港</t>
  </si>
  <si>
    <t>9016万</t>
  </si>
  <si>
    <t>7363万</t>
  </si>
  <si>
    <t>5563万</t>
  </si>
  <si>
    <t>7371万</t>
  </si>
  <si>
    <t>5663万</t>
  </si>
  <si>
    <t>派思股份</t>
  </si>
  <si>
    <t>-59.0万</t>
  </si>
  <si>
    <t>8941万</t>
  </si>
  <si>
    <t>出版传媒</t>
  </si>
  <si>
    <t>1846万</t>
  </si>
  <si>
    <t>联合光电</t>
  </si>
  <si>
    <t>7.83万</t>
  </si>
  <si>
    <t>必创科技</t>
  </si>
  <si>
    <t>2409万</t>
  </si>
  <si>
    <t>322万</t>
  </si>
  <si>
    <t>4096万</t>
  </si>
  <si>
    <t>8642万</t>
  </si>
  <si>
    <t>仟源医药</t>
  </si>
  <si>
    <t>-30.0万</t>
  </si>
  <si>
    <t>1249万</t>
  </si>
  <si>
    <t>8893万</t>
  </si>
  <si>
    <t>姚记扑克</t>
  </si>
  <si>
    <t>1770万</t>
  </si>
  <si>
    <t>隆基机械</t>
  </si>
  <si>
    <t>2272万</t>
  </si>
  <si>
    <t>1001万</t>
  </si>
  <si>
    <t>威创股份</t>
  </si>
  <si>
    <t>奥飞娱乐</t>
  </si>
  <si>
    <t>5683万</t>
  </si>
  <si>
    <t>-276万</t>
  </si>
  <si>
    <t>5695万</t>
  </si>
  <si>
    <t>中国中期</t>
  </si>
  <si>
    <t>613万</t>
  </si>
  <si>
    <t>474万</t>
  </si>
  <si>
    <t>375万</t>
  </si>
  <si>
    <t>3378万</t>
  </si>
  <si>
    <t>陕西金叶</t>
  </si>
  <si>
    <t>1789万</t>
  </si>
  <si>
    <t>重庆建工</t>
  </si>
  <si>
    <t>8139万</t>
  </si>
  <si>
    <t>-1258万</t>
  </si>
  <si>
    <t>8367万</t>
  </si>
  <si>
    <t>5832万</t>
  </si>
  <si>
    <t>643亿</t>
  </si>
  <si>
    <t>499亿</t>
  </si>
  <si>
    <t>501亿</t>
  </si>
  <si>
    <t>冠豪高新</t>
  </si>
  <si>
    <t>2571万</t>
  </si>
  <si>
    <t>-249万</t>
  </si>
  <si>
    <t>2618万</t>
  </si>
  <si>
    <t>306万</t>
  </si>
  <si>
    <t>东方新星</t>
  </si>
  <si>
    <t>717万</t>
  </si>
  <si>
    <t>3853万</t>
  </si>
  <si>
    <t>361万</t>
  </si>
  <si>
    <t>浙江永强</t>
  </si>
  <si>
    <t>6141万</t>
  </si>
  <si>
    <t>6144万</t>
  </si>
  <si>
    <t>金固股份</t>
  </si>
  <si>
    <t>4094万</t>
  </si>
  <si>
    <t>3658万</t>
  </si>
  <si>
    <t>6932万</t>
  </si>
  <si>
    <t>航天电子</t>
  </si>
  <si>
    <t>-136万</t>
  </si>
  <si>
    <t>9985万</t>
  </si>
  <si>
    <t>新华网</t>
  </si>
  <si>
    <t>-404万</t>
  </si>
  <si>
    <t>能科股份</t>
  </si>
  <si>
    <t>9.81万</t>
  </si>
  <si>
    <t>912万</t>
  </si>
  <si>
    <t>572万</t>
  </si>
  <si>
    <t>9500万</t>
  </si>
  <si>
    <t>宏盛股份</t>
  </si>
  <si>
    <t>4068万</t>
  </si>
  <si>
    <t>9989万</t>
  </si>
  <si>
    <t>498万</t>
  </si>
  <si>
    <t>28.5万</t>
  </si>
  <si>
    <t>402万</t>
  </si>
  <si>
    <t>9815万</t>
  </si>
  <si>
    <t>宁波海运</t>
  </si>
  <si>
    <t>3967万</t>
  </si>
  <si>
    <t>-93.7万</t>
  </si>
  <si>
    <t>复旦复华</t>
  </si>
  <si>
    <t>1341万</t>
  </si>
  <si>
    <t>-61.7万</t>
  </si>
  <si>
    <t>恒丰纸业</t>
  </si>
  <si>
    <t>四川路桥</t>
  </si>
  <si>
    <t>-1175万</t>
  </si>
  <si>
    <t>南大光电</t>
  </si>
  <si>
    <t>1360万</t>
  </si>
  <si>
    <t>探路者</t>
  </si>
  <si>
    <t>2087万</t>
  </si>
  <si>
    <t>-225万</t>
  </si>
  <si>
    <t>电光科技</t>
  </si>
  <si>
    <t>光洋股份</t>
  </si>
  <si>
    <t>1099万</t>
  </si>
  <si>
    <t>1320万</t>
  </si>
  <si>
    <t>奋达科技</t>
  </si>
  <si>
    <t>5828万</t>
  </si>
  <si>
    <t>295万</t>
  </si>
  <si>
    <t>围海股份</t>
  </si>
  <si>
    <t>5379万</t>
  </si>
  <si>
    <t>3749万</t>
  </si>
  <si>
    <t>双星新材</t>
  </si>
  <si>
    <t>7436万</t>
  </si>
  <si>
    <t>6492万</t>
  </si>
  <si>
    <t>新联电子</t>
  </si>
  <si>
    <t>1376万</t>
  </si>
  <si>
    <t>2658万</t>
  </si>
  <si>
    <t>林州重机</t>
  </si>
  <si>
    <t>56.5万</t>
  </si>
  <si>
    <t>益生股份</t>
  </si>
  <si>
    <t>-676万</t>
  </si>
  <si>
    <t>1060万</t>
  </si>
  <si>
    <t>-1.97亿</t>
  </si>
  <si>
    <t>海翔药业</t>
  </si>
  <si>
    <t>6061万</t>
  </si>
  <si>
    <t>-581万</t>
  </si>
  <si>
    <t>4477万</t>
  </si>
  <si>
    <t>传化智联</t>
  </si>
  <si>
    <t>9969万</t>
  </si>
  <si>
    <t>神火股份</t>
  </si>
  <si>
    <t>6878万</t>
  </si>
  <si>
    <t>534亿</t>
  </si>
  <si>
    <t>禾望电气</t>
  </si>
  <si>
    <t>2244万</t>
  </si>
  <si>
    <t>2052万</t>
  </si>
  <si>
    <t>3842万</t>
  </si>
  <si>
    <t>星湖科技</t>
  </si>
  <si>
    <t>74.8万</t>
  </si>
  <si>
    <t>-6.57亿</t>
  </si>
  <si>
    <t>新华医疗</t>
  </si>
  <si>
    <t>6969万</t>
  </si>
  <si>
    <t>-10.8万</t>
  </si>
  <si>
    <t>7161万</t>
  </si>
  <si>
    <t>农尚环境</t>
  </si>
  <si>
    <t>6111万</t>
  </si>
  <si>
    <t>8124万</t>
  </si>
  <si>
    <t>506万</t>
  </si>
  <si>
    <t>457万</t>
  </si>
  <si>
    <t>1282万</t>
  </si>
  <si>
    <t>中来股份</t>
  </si>
  <si>
    <t>3176万</t>
  </si>
  <si>
    <t>实丰文化</t>
  </si>
  <si>
    <t>3116万</t>
  </si>
  <si>
    <t>7848万</t>
  </si>
  <si>
    <t>美芝股份</t>
  </si>
  <si>
    <t>744万</t>
  </si>
  <si>
    <t>565万</t>
  </si>
  <si>
    <t>汉缆股份</t>
  </si>
  <si>
    <t>4586万</t>
  </si>
  <si>
    <t>1596万</t>
  </si>
  <si>
    <t>4765万</t>
  </si>
  <si>
    <t>4020万</t>
  </si>
  <si>
    <t>兴森科技</t>
  </si>
  <si>
    <t>3374万</t>
  </si>
  <si>
    <t>64.3万</t>
  </si>
  <si>
    <t>2059万</t>
  </si>
  <si>
    <t>越秀金控</t>
  </si>
  <si>
    <t>中原环保</t>
  </si>
  <si>
    <t>-3.23万</t>
  </si>
  <si>
    <t>5983万</t>
  </si>
  <si>
    <t>5248万</t>
  </si>
  <si>
    <t>白云电器</t>
  </si>
  <si>
    <t>3167万</t>
  </si>
  <si>
    <t>42.4万</t>
  </si>
  <si>
    <t>3216万</t>
  </si>
  <si>
    <t>力帆股份</t>
  </si>
  <si>
    <t>1.94万</t>
  </si>
  <si>
    <t>7278万</t>
  </si>
  <si>
    <t>6169万</t>
  </si>
  <si>
    <t>晋亿实业</t>
  </si>
  <si>
    <t>3215万</t>
  </si>
  <si>
    <t>江苏舜天</t>
  </si>
  <si>
    <t>-11.0万</t>
  </si>
  <si>
    <t>3649万</t>
  </si>
  <si>
    <t>兴发集团</t>
  </si>
  <si>
    <t>7180万</t>
  </si>
  <si>
    <t>246亿</t>
  </si>
  <si>
    <t>汇中股份</t>
  </si>
  <si>
    <t>5732万</t>
  </si>
  <si>
    <t>48.1万</t>
  </si>
  <si>
    <t>543万</t>
  </si>
  <si>
    <t>金力泰</t>
  </si>
  <si>
    <t>5.03万</t>
  </si>
  <si>
    <t>28.3万</t>
  </si>
  <si>
    <t>2514万</t>
  </si>
  <si>
    <t>正海磁材</t>
  </si>
  <si>
    <t>2457万</t>
  </si>
  <si>
    <t>392万</t>
  </si>
  <si>
    <t>8392万</t>
  </si>
  <si>
    <t>天喻信息</t>
  </si>
  <si>
    <t>59.8万</t>
  </si>
  <si>
    <t>2639万</t>
  </si>
  <si>
    <t>碧水源</t>
  </si>
  <si>
    <t>-2004万</t>
  </si>
  <si>
    <t>*ST宝鼎</t>
  </si>
  <si>
    <t>6030万</t>
  </si>
  <si>
    <t>505万</t>
  </si>
  <si>
    <t>-1.58亿</t>
  </si>
  <si>
    <t>新亚制程</t>
  </si>
  <si>
    <t>1472万</t>
  </si>
  <si>
    <t>1051万</t>
  </si>
  <si>
    <t>梦网集团</t>
  </si>
  <si>
    <t>-55.7万</t>
  </si>
  <si>
    <t>4104万</t>
  </si>
  <si>
    <t>4786万</t>
  </si>
  <si>
    <t>东北证券</t>
  </si>
  <si>
    <t>621亿</t>
  </si>
  <si>
    <t>皖能电力</t>
  </si>
  <si>
    <t>6285万</t>
  </si>
  <si>
    <t>99.3亿</t>
  </si>
  <si>
    <t>凤竹纺织</t>
  </si>
  <si>
    <t>3578万</t>
  </si>
  <si>
    <t>方正证券</t>
  </si>
  <si>
    <t>1500亿</t>
  </si>
  <si>
    <t>1114亿</t>
  </si>
  <si>
    <t>378亿</t>
  </si>
  <si>
    <t>路通视信</t>
  </si>
  <si>
    <t>9276万</t>
  </si>
  <si>
    <t>9630万</t>
  </si>
  <si>
    <t>通产丽星</t>
  </si>
  <si>
    <t>1688万</t>
  </si>
  <si>
    <t>宏达新材</t>
  </si>
  <si>
    <t>-6.99亿</t>
  </si>
  <si>
    <t>黔源电力</t>
  </si>
  <si>
    <t>5947万</t>
  </si>
  <si>
    <t>1987万</t>
  </si>
  <si>
    <t>众泰汽车</t>
  </si>
  <si>
    <t>东方证券</t>
  </si>
  <si>
    <t>2251亿</t>
  </si>
  <si>
    <t>东方集团</t>
  </si>
  <si>
    <t>北巴传媒</t>
  </si>
  <si>
    <t>357万</t>
  </si>
  <si>
    <t>3113万</t>
  </si>
  <si>
    <t>兴源环境</t>
  </si>
  <si>
    <t>4867万</t>
  </si>
  <si>
    <t>-19.8万</t>
  </si>
  <si>
    <t>新莱应材</t>
  </si>
  <si>
    <t>695万</t>
  </si>
  <si>
    <t>数字政通</t>
  </si>
  <si>
    <t>2001万</t>
  </si>
  <si>
    <t>-190万</t>
  </si>
  <si>
    <t>峨眉山Ａ</t>
  </si>
  <si>
    <t>-147万</t>
  </si>
  <si>
    <t>2192万</t>
  </si>
  <si>
    <t>1839万</t>
  </si>
  <si>
    <t>沈阳化工</t>
  </si>
  <si>
    <t>4550万</t>
  </si>
  <si>
    <t>4552万</t>
  </si>
  <si>
    <t>青岛双星</t>
  </si>
  <si>
    <t>3203万</t>
  </si>
  <si>
    <t>2689万</t>
  </si>
  <si>
    <t>新大洲Ａ</t>
  </si>
  <si>
    <t>4394万</t>
  </si>
  <si>
    <t>3325万</t>
  </si>
  <si>
    <t>天健集团</t>
  </si>
  <si>
    <t>7487万</t>
  </si>
  <si>
    <t>-303万</t>
  </si>
  <si>
    <t>7594万</t>
  </si>
  <si>
    <t>际华集团</t>
  </si>
  <si>
    <t>4.11万</t>
  </si>
  <si>
    <t>320亿</t>
  </si>
  <si>
    <t>国新能源</t>
  </si>
  <si>
    <t>4406万</t>
  </si>
  <si>
    <t>金雷风电</t>
  </si>
  <si>
    <t>8148万</t>
  </si>
  <si>
    <t>7735万</t>
  </si>
  <si>
    <t>东方国信</t>
  </si>
  <si>
    <t>757万</t>
  </si>
  <si>
    <t>新研股份</t>
  </si>
  <si>
    <t>-1491万</t>
  </si>
  <si>
    <t>6081万</t>
  </si>
  <si>
    <t>荃银高科</t>
  </si>
  <si>
    <t>77.3万</t>
  </si>
  <si>
    <t>卓翼科技</t>
  </si>
  <si>
    <t>95.7万</t>
  </si>
  <si>
    <t>钱江摩托</t>
  </si>
  <si>
    <t>3033万</t>
  </si>
  <si>
    <t>3173万</t>
  </si>
  <si>
    <t>英洛华</t>
  </si>
  <si>
    <t>-83.7万</t>
  </si>
  <si>
    <t>1717万</t>
  </si>
  <si>
    <t>5841万</t>
  </si>
  <si>
    <t>波导股份</t>
  </si>
  <si>
    <t>58.1万</t>
  </si>
  <si>
    <t>-4.46亿</t>
  </si>
  <si>
    <t>8764万</t>
  </si>
  <si>
    <t>东方时尚</t>
  </si>
  <si>
    <t>1394万</t>
  </si>
  <si>
    <t>中国石油</t>
  </si>
  <si>
    <t>1830亿</t>
  </si>
  <si>
    <t>1619亿</t>
  </si>
  <si>
    <t>5427亿</t>
  </si>
  <si>
    <t>7174亿</t>
  </si>
  <si>
    <t>2.40万亿</t>
  </si>
  <si>
    <t>4523亿</t>
  </si>
  <si>
    <t>6857亿</t>
  </si>
  <si>
    <t>5504亿</t>
  </si>
  <si>
    <t>4556亿</t>
  </si>
  <si>
    <t>1.20万亿</t>
  </si>
  <si>
    <t>1286亿</t>
  </si>
  <si>
    <t>浙江富润</t>
  </si>
  <si>
    <t>4591万</t>
  </si>
  <si>
    <t>延江股份</t>
  </si>
  <si>
    <t>601万</t>
  </si>
  <si>
    <t>664万</t>
  </si>
  <si>
    <t>恒锋信息</t>
  </si>
  <si>
    <t>8479万</t>
  </si>
  <si>
    <t>5079万</t>
  </si>
  <si>
    <t>4265万</t>
  </si>
  <si>
    <t>开山股份</t>
  </si>
  <si>
    <t>6.90万</t>
  </si>
  <si>
    <t>2708万</t>
  </si>
  <si>
    <t>科华恒盛</t>
  </si>
  <si>
    <t>皖通科技</t>
  </si>
  <si>
    <t>财信发展</t>
  </si>
  <si>
    <t>1089万</t>
  </si>
  <si>
    <t>金科股份</t>
  </si>
  <si>
    <t>-1211万</t>
  </si>
  <si>
    <t>1493亿</t>
  </si>
  <si>
    <t>879亿</t>
  </si>
  <si>
    <t>山东路桥</t>
  </si>
  <si>
    <t>-64.1万</t>
  </si>
  <si>
    <t>-5.57亿</t>
  </si>
  <si>
    <t>东湖高新</t>
  </si>
  <si>
    <t>7409万</t>
  </si>
  <si>
    <t>-389万</t>
  </si>
  <si>
    <t>7402万</t>
  </si>
  <si>
    <t>香溢融通</t>
  </si>
  <si>
    <t>2906万</t>
  </si>
  <si>
    <t>-28.7万</t>
  </si>
  <si>
    <t>2926万</t>
  </si>
  <si>
    <t>中国动力</t>
  </si>
  <si>
    <t>437亿</t>
  </si>
  <si>
    <t>新劲刚</t>
  </si>
  <si>
    <t>4327万</t>
  </si>
  <si>
    <t>331万</t>
  </si>
  <si>
    <t>276万</t>
  </si>
  <si>
    <t>8532万</t>
  </si>
  <si>
    <t>快乐购</t>
  </si>
  <si>
    <t>1073万</t>
  </si>
  <si>
    <t>30.6万</t>
  </si>
  <si>
    <t>华鹏飞</t>
  </si>
  <si>
    <t>开元股份</t>
  </si>
  <si>
    <t>2271万</t>
  </si>
  <si>
    <t>三维工程</t>
  </si>
  <si>
    <t>312万</t>
  </si>
  <si>
    <t>亚太股份</t>
  </si>
  <si>
    <t>2734万</t>
  </si>
  <si>
    <t>国光电器</t>
  </si>
  <si>
    <t>-510万</t>
  </si>
  <si>
    <t>莱茵体育</t>
  </si>
  <si>
    <t>5826万</t>
  </si>
  <si>
    <t>-100万</t>
  </si>
  <si>
    <t>-8817万</t>
  </si>
  <si>
    <t>7004万</t>
  </si>
  <si>
    <t>浙大网新</t>
  </si>
  <si>
    <t>南京熊猫</t>
  </si>
  <si>
    <t>4028万</t>
  </si>
  <si>
    <t>洲际油气</t>
  </si>
  <si>
    <t>西藏天路</t>
  </si>
  <si>
    <t>5342万</t>
  </si>
  <si>
    <t>-2.68万</t>
  </si>
  <si>
    <t>5373万</t>
  </si>
  <si>
    <t>诚益通</t>
  </si>
  <si>
    <t>1422万</t>
  </si>
  <si>
    <t>-13.8万</t>
  </si>
  <si>
    <t>金明精机</t>
  </si>
  <si>
    <t>6569万</t>
  </si>
  <si>
    <t>华昌达</t>
  </si>
  <si>
    <t>赛隆药业</t>
  </si>
  <si>
    <t>9052万</t>
  </si>
  <si>
    <t>第一创业</t>
  </si>
  <si>
    <t>9352万</t>
  </si>
  <si>
    <t>6900万</t>
  </si>
  <si>
    <t>猛狮科技</t>
  </si>
  <si>
    <t>-1776万</t>
  </si>
  <si>
    <t>4.53万</t>
  </si>
  <si>
    <t>-1140万</t>
  </si>
  <si>
    <t>雷柏科技</t>
  </si>
  <si>
    <t>-8263万</t>
  </si>
  <si>
    <t>长城影视</t>
  </si>
  <si>
    <t>-2.14万</t>
  </si>
  <si>
    <t>宁波热电</t>
  </si>
  <si>
    <t>内蒙一机</t>
  </si>
  <si>
    <t>6796万</t>
  </si>
  <si>
    <t>63.9万</t>
  </si>
  <si>
    <t>6037万</t>
  </si>
  <si>
    <t>界龙实业</t>
  </si>
  <si>
    <t>鲁信创投</t>
  </si>
  <si>
    <t>4568万</t>
  </si>
  <si>
    <t>6993万</t>
  </si>
  <si>
    <t>上海贝岭</t>
  </si>
  <si>
    <t>45.9万</t>
  </si>
  <si>
    <t>6483万</t>
  </si>
  <si>
    <t>5424万</t>
  </si>
  <si>
    <t>五洋停车</t>
  </si>
  <si>
    <t>1106万</t>
  </si>
  <si>
    <t>75.8万</t>
  </si>
  <si>
    <t>1123万</t>
  </si>
  <si>
    <t>荣科科技</t>
  </si>
  <si>
    <t>547万</t>
  </si>
  <si>
    <t>梅安森</t>
  </si>
  <si>
    <t>4034万</t>
  </si>
  <si>
    <t>3638万</t>
  </si>
  <si>
    <t>铭普光磁</t>
  </si>
  <si>
    <t>19.6万</t>
  </si>
  <si>
    <t>麦趣尔</t>
  </si>
  <si>
    <t>8463万</t>
  </si>
  <si>
    <t>891万</t>
  </si>
  <si>
    <t>二六三</t>
  </si>
  <si>
    <t>1415万</t>
  </si>
  <si>
    <t>8007万</t>
  </si>
  <si>
    <t>雷科防务</t>
  </si>
  <si>
    <t>3776万</t>
  </si>
  <si>
    <t>13.0万</t>
  </si>
  <si>
    <t>2776万</t>
  </si>
  <si>
    <t>4965万</t>
  </si>
  <si>
    <t>新朋股份</t>
  </si>
  <si>
    <t>4963万</t>
  </si>
  <si>
    <t>4502万</t>
  </si>
  <si>
    <t>丰华股份</t>
  </si>
  <si>
    <t>2414万</t>
  </si>
  <si>
    <t>614万</t>
  </si>
  <si>
    <t>-9170万</t>
  </si>
  <si>
    <t>3568万</t>
  </si>
  <si>
    <t>春秋电子</t>
  </si>
  <si>
    <t>41.0万</t>
  </si>
  <si>
    <t>雷鸣科化</t>
  </si>
  <si>
    <t>渤海汽车</t>
  </si>
  <si>
    <t>1030万</t>
  </si>
  <si>
    <t>4472万</t>
  </si>
  <si>
    <t>北京城乡</t>
  </si>
  <si>
    <t>10.9万</t>
  </si>
  <si>
    <t>1774万</t>
  </si>
  <si>
    <t>兰生股份</t>
  </si>
  <si>
    <t>2369万</t>
  </si>
  <si>
    <t>华自科技</t>
  </si>
  <si>
    <t>2526万</t>
  </si>
  <si>
    <t>环能科技</t>
  </si>
  <si>
    <t>78.2万</t>
  </si>
  <si>
    <t>创意信息</t>
  </si>
  <si>
    <t>74.5万</t>
  </si>
  <si>
    <t>2965万</t>
  </si>
  <si>
    <t>8723万</t>
  </si>
  <si>
    <t>沃森生物</t>
  </si>
  <si>
    <t>5.00万</t>
  </si>
  <si>
    <t>3511万</t>
  </si>
  <si>
    <t>2376万</t>
  </si>
  <si>
    <t>-5.88亿</t>
  </si>
  <si>
    <t>柘中股份</t>
  </si>
  <si>
    <t>2358万</t>
  </si>
  <si>
    <t>1614万</t>
  </si>
  <si>
    <t>博深工具</t>
  </si>
  <si>
    <t>1499万</t>
  </si>
  <si>
    <t>珠海港</t>
  </si>
  <si>
    <t>3799万</t>
  </si>
  <si>
    <t>3847万</t>
  </si>
  <si>
    <t>中国天楹</t>
  </si>
  <si>
    <t>3683万</t>
  </si>
  <si>
    <t>3655万</t>
  </si>
  <si>
    <t>2310万</t>
  </si>
  <si>
    <t>湖南海利</t>
  </si>
  <si>
    <t>1383万</t>
  </si>
  <si>
    <t>5.39万</t>
  </si>
  <si>
    <t>-3488万</t>
  </si>
  <si>
    <t>三盛教育</t>
  </si>
  <si>
    <t>2.72万</t>
  </si>
  <si>
    <t>440万</t>
  </si>
  <si>
    <t>香雪制药</t>
  </si>
  <si>
    <t>1399万</t>
  </si>
  <si>
    <t>3460万</t>
  </si>
  <si>
    <t>方正电机</t>
  </si>
  <si>
    <t>40.3万</t>
  </si>
  <si>
    <t>3557万</t>
  </si>
  <si>
    <t>粤 水 电</t>
  </si>
  <si>
    <t>2848万</t>
  </si>
  <si>
    <t>-123万</t>
  </si>
  <si>
    <t>2266万</t>
  </si>
  <si>
    <t>浪潮信息</t>
  </si>
  <si>
    <t>7871万</t>
  </si>
  <si>
    <t>1450万</t>
  </si>
  <si>
    <t>7854万</t>
  </si>
  <si>
    <t>5498万</t>
  </si>
  <si>
    <t>宝新能源</t>
  </si>
  <si>
    <t>8845万</t>
  </si>
  <si>
    <t>大冷股份</t>
  </si>
  <si>
    <t>金瑞矿业</t>
  </si>
  <si>
    <t>-1043万</t>
  </si>
  <si>
    <t>4878万</t>
  </si>
  <si>
    <t>吉林森工</t>
  </si>
  <si>
    <t>-1885万</t>
  </si>
  <si>
    <t>移为通信</t>
  </si>
  <si>
    <t>9700万</t>
  </si>
  <si>
    <t>7458万</t>
  </si>
  <si>
    <t>7770万</t>
  </si>
  <si>
    <t>7330万</t>
  </si>
  <si>
    <t>金冠电气</t>
  </si>
  <si>
    <t>7841万</t>
  </si>
  <si>
    <t>中科创达</t>
  </si>
  <si>
    <t>3737万</t>
  </si>
  <si>
    <t>-305万</t>
  </si>
  <si>
    <t>3797万</t>
  </si>
  <si>
    <t>7299万</t>
  </si>
  <si>
    <t>棒杰股份</t>
  </si>
  <si>
    <t>9756万</t>
  </si>
  <si>
    <t>得利斯</t>
  </si>
  <si>
    <t>广博股份</t>
  </si>
  <si>
    <t>1359万</t>
  </si>
  <si>
    <t>诚志股份</t>
  </si>
  <si>
    <t>3405万</t>
  </si>
  <si>
    <t>中交地产</t>
  </si>
  <si>
    <t>3109万</t>
  </si>
  <si>
    <t>三元股份</t>
  </si>
  <si>
    <t>1142万</t>
  </si>
  <si>
    <t>6810万</t>
  </si>
  <si>
    <t>3552万</t>
  </si>
  <si>
    <t>-6490万</t>
  </si>
  <si>
    <t>梅轮电梯</t>
  </si>
  <si>
    <t>1203万</t>
  </si>
  <si>
    <t>西藏城投</t>
  </si>
  <si>
    <t>396万</t>
  </si>
  <si>
    <t>中航重机</t>
  </si>
  <si>
    <t>-25.9万</t>
  </si>
  <si>
    <t>辽宁成大</t>
  </si>
  <si>
    <t>锦州港</t>
  </si>
  <si>
    <t>5898万</t>
  </si>
  <si>
    <t>4408万</t>
  </si>
  <si>
    <t>康旗股份</t>
  </si>
  <si>
    <t>凯龙股份</t>
  </si>
  <si>
    <t>德联集团</t>
  </si>
  <si>
    <t>2516万</t>
  </si>
  <si>
    <t>中科曙光</t>
  </si>
  <si>
    <t>-899万</t>
  </si>
  <si>
    <t>合锻智能</t>
  </si>
  <si>
    <t>1442万</t>
  </si>
  <si>
    <t>4918万</t>
  </si>
  <si>
    <t>东富龙</t>
  </si>
  <si>
    <t>502万</t>
  </si>
  <si>
    <t>5127万</t>
  </si>
  <si>
    <t>中坚科技</t>
  </si>
  <si>
    <t>4043万</t>
  </si>
  <si>
    <t>江苏吴中</t>
  </si>
  <si>
    <t>31.8万</t>
  </si>
  <si>
    <t>2663万</t>
  </si>
  <si>
    <t>2094万</t>
  </si>
  <si>
    <t>万顺股份</t>
  </si>
  <si>
    <t>1853万</t>
  </si>
  <si>
    <t>1732万</t>
  </si>
  <si>
    <t>天桥起重</t>
  </si>
  <si>
    <t>1476万</t>
  </si>
  <si>
    <t>中国武夷</t>
  </si>
  <si>
    <t>3.25万</t>
  </si>
  <si>
    <t>-12.9万</t>
  </si>
  <si>
    <t>5049万</t>
  </si>
  <si>
    <t>3865万</t>
  </si>
  <si>
    <t>镇海股份</t>
  </si>
  <si>
    <t>4322万</t>
  </si>
  <si>
    <t>606万</t>
  </si>
  <si>
    <t>美诺华</t>
  </si>
  <si>
    <t>7455万</t>
  </si>
  <si>
    <t>星星科技</t>
  </si>
  <si>
    <t>6.80万</t>
  </si>
  <si>
    <t>超图软件</t>
  </si>
  <si>
    <t>龙洲股份</t>
  </si>
  <si>
    <t>-800万</t>
  </si>
  <si>
    <t>5255万</t>
  </si>
  <si>
    <t>1909万</t>
  </si>
  <si>
    <t>山西证券</t>
  </si>
  <si>
    <t>佛塑科技</t>
  </si>
  <si>
    <t>法 尔 胜</t>
  </si>
  <si>
    <t>777万</t>
  </si>
  <si>
    <t>656万</t>
  </si>
  <si>
    <t>深康佳Ａ</t>
  </si>
  <si>
    <t>4153万</t>
  </si>
  <si>
    <t>3679万</t>
  </si>
  <si>
    <t>5576万</t>
  </si>
  <si>
    <t>维力医疗</t>
  </si>
  <si>
    <t>9637万</t>
  </si>
  <si>
    <t>8950万</t>
  </si>
  <si>
    <t>687万</t>
  </si>
  <si>
    <t>中国铝业</t>
  </si>
  <si>
    <t>-30.9亿</t>
  </si>
  <si>
    <t>2026亿</t>
  </si>
  <si>
    <t>864亿</t>
  </si>
  <si>
    <t>1353亿</t>
  </si>
  <si>
    <t>877亿</t>
  </si>
  <si>
    <t>477亿</t>
  </si>
  <si>
    <t>303亿</t>
  </si>
  <si>
    <t>时代新材</t>
  </si>
  <si>
    <t>3745万</t>
  </si>
  <si>
    <t>三房巷</t>
  </si>
  <si>
    <t>1905万</t>
  </si>
  <si>
    <t>5901万</t>
  </si>
  <si>
    <t>ST昌九</t>
  </si>
  <si>
    <t>36.6万</t>
  </si>
  <si>
    <t>-5.56亿</t>
  </si>
  <si>
    <t>5299万</t>
  </si>
  <si>
    <t>首创股份</t>
  </si>
  <si>
    <t>集智股份</t>
  </si>
  <si>
    <t>9475万</t>
  </si>
  <si>
    <t>8797万</t>
  </si>
  <si>
    <t>银邦股份</t>
  </si>
  <si>
    <t>4.74万</t>
  </si>
  <si>
    <t>-69.4万</t>
  </si>
  <si>
    <t>太极股份</t>
  </si>
  <si>
    <t>-185万</t>
  </si>
  <si>
    <t>1948万</t>
  </si>
  <si>
    <t>登海种业</t>
  </si>
  <si>
    <t>1738万</t>
  </si>
  <si>
    <t>1949万</t>
  </si>
  <si>
    <t>湖南发展</t>
  </si>
  <si>
    <t>5523万</t>
  </si>
  <si>
    <t>7461万</t>
  </si>
  <si>
    <t>上海电力</t>
  </si>
  <si>
    <t>832亿</t>
  </si>
  <si>
    <t>343亿</t>
  </si>
  <si>
    <t>元成股份</t>
  </si>
  <si>
    <t>-1.43万</t>
  </si>
  <si>
    <t>4251万</t>
  </si>
  <si>
    <t>北矿科技</t>
  </si>
  <si>
    <t>8593万</t>
  </si>
  <si>
    <t>-2.20万</t>
  </si>
  <si>
    <t>东方通信</t>
  </si>
  <si>
    <t>宣亚国际</t>
  </si>
  <si>
    <t>瑞凌股份</t>
  </si>
  <si>
    <t>1061万</t>
  </si>
  <si>
    <t>2543万</t>
  </si>
  <si>
    <t>长盈精密</t>
  </si>
  <si>
    <t>-99.8万</t>
  </si>
  <si>
    <t>3026万</t>
  </si>
  <si>
    <t>捷荣技术</t>
  </si>
  <si>
    <t>7740万</t>
  </si>
  <si>
    <t>947万</t>
  </si>
  <si>
    <t>814万</t>
  </si>
  <si>
    <t>伟星股份</t>
  </si>
  <si>
    <t>新黄浦</t>
  </si>
  <si>
    <t>鹿港文化</t>
  </si>
  <si>
    <t>2791万</t>
  </si>
  <si>
    <t>悦达投资</t>
  </si>
  <si>
    <t>8954万</t>
  </si>
  <si>
    <t>5242万</t>
  </si>
  <si>
    <t>4066万</t>
  </si>
  <si>
    <t>中飞股份</t>
  </si>
  <si>
    <t>4835万</t>
  </si>
  <si>
    <t>2781万</t>
  </si>
  <si>
    <t>313万</t>
  </si>
  <si>
    <t>8293万</t>
  </si>
  <si>
    <t>安硕信息</t>
  </si>
  <si>
    <t>7056万</t>
  </si>
  <si>
    <t>9941万</t>
  </si>
  <si>
    <t>-2.65万</t>
  </si>
  <si>
    <t>福瑞股份</t>
  </si>
  <si>
    <t>52.2万</t>
  </si>
  <si>
    <t>金溢科技</t>
  </si>
  <si>
    <t>564万</t>
  </si>
  <si>
    <t>692万</t>
  </si>
  <si>
    <t>世嘉科技</t>
  </si>
  <si>
    <t>2990万</t>
  </si>
  <si>
    <t>盛通股份</t>
  </si>
  <si>
    <t>1310万</t>
  </si>
  <si>
    <t>-33.3万</t>
  </si>
  <si>
    <t>1016万</t>
  </si>
  <si>
    <t>广州发展</t>
  </si>
  <si>
    <t>3.39万</t>
  </si>
  <si>
    <t>赛福天</t>
  </si>
  <si>
    <t>452万</t>
  </si>
  <si>
    <t>京能电力</t>
  </si>
  <si>
    <t>6.05万</t>
  </si>
  <si>
    <t>7303万</t>
  </si>
  <si>
    <t>7612万</t>
  </si>
  <si>
    <t>634亿</t>
  </si>
  <si>
    <t>山煤国际</t>
  </si>
  <si>
    <t>-2.13亿</t>
  </si>
  <si>
    <t>459亿</t>
  </si>
  <si>
    <t>黑牡丹</t>
  </si>
  <si>
    <t>93.4万</t>
  </si>
  <si>
    <t>联创互联</t>
  </si>
  <si>
    <t>5172万</t>
  </si>
  <si>
    <t>佐力药业</t>
  </si>
  <si>
    <t>中信国安</t>
  </si>
  <si>
    <t>6012万</t>
  </si>
  <si>
    <t>6040万</t>
  </si>
  <si>
    <t>万 科Ａ</t>
  </si>
  <si>
    <t>97.2亿</t>
  </si>
  <si>
    <t>-3.35亿</t>
  </si>
  <si>
    <t>1.22万亿</t>
  </si>
  <si>
    <t>1.03万亿</t>
  </si>
  <si>
    <t>8810亿</t>
  </si>
  <si>
    <t>1480亿</t>
  </si>
  <si>
    <t>1362亿</t>
  </si>
  <si>
    <t>蓝思科技</t>
  </si>
  <si>
    <t>-2828万</t>
  </si>
  <si>
    <t>佳讯飞鸿</t>
  </si>
  <si>
    <t>-20.3万</t>
  </si>
  <si>
    <t>1562万</t>
  </si>
  <si>
    <t>1257万</t>
  </si>
  <si>
    <t>齐峰新材</t>
  </si>
  <si>
    <t>-40.9万</t>
  </si>
  <si>
    <t>康力电梯</t>
  </si>
  <si>
    <t>2804万</t>
  </si>
  <si>
    <t>万邦德</t>
  </si>
  <si>
    <t>一汽轿车</t>
  </si>
  <si>
    <t>国元证券</t>
  </si>
  <si>
    <t>808亿</t>
  </si>
  <si>
    <t>金健米业</t>
  </si>
  <si>
    <t>10.2万</t>
  </si>
  <si>
    <t>475万</t>
  </si>
  <si>
    <t>-3.64亿</t>
  </si>
  <si>
    <t>神力股份</t>
  </si>
  <si>
    <t>224万</t>
  </si>
  <si>
    <t>振江股份</t>
  </si>
  <si>
    <t>3141万</t>
  </si>
  <si>
    <t>887万</t>
  </si>
  <si>
    <t>精工钢构</t>
  </si>
  <si>
    <t>3944万</t>
  </si>
  <si>
    <t>-258万</t>
  </si>
  <si>
    <t>4074万</t>
  </si>
  <si>
    <t>天科股份</t>
  </si>
  <si>
    <t>9559万</t>
  </si>
  <si>
    <t>86.2万</t>
  </si>
  <si>
    <t>世纪天鸿</t>
  </si>
  <si>
    <t>4412万</t>
  </si>
  <si>
    <t>海波重科</t>
  </si>
  <si>
    <t>25.3万</t>
  </si>
  <si>
    <t>恒华科技</t>
  </si>
  <si>
    <t>988万</t>
  </si>
  <si>
    <t>6713万</t>
  </si>
  <si>
    <t>44.6万</t>
  </si>
  <si>
    <t>冠昊生物</t>
  </si>
  <si>
    <t>7919万</t>
  </si>
  <si>
    <t>科陆电子</t>
  </si>
  <si>
    <t>3079万</t>
  </si>
  <si>
    <t>吉视传媒</t>
  </si>
  <si>
    <t>3923万</t>
  </si>
  <si>
    <t>-12.1万</t>
  </si>
  <si>
    <t>3809万</t>
  </si>
  <si>
    <t>新潮能源</t>
  </si>
  <si>
    <t>3.32万</t>
  </si>
  <si>
    <t>中昌数据</t>
  </si>
  <si>
    <t>1331万</t>
  </si>
  <si>
    <t>-5.93亿</t>
  </si>
  <si>
    <t>富临精工</t>
  </si>
  <si>
    <t>3282万</t>
  </si>
  <si>
    <t>2530万</t>
  </si>
  <si>
    <t>9342万</t>
  </si>
  <si>
    <t>英派斯</t>
  </si>
  <si>
    <t>738万</t>
  </si>
  <si>
    <t>香山股份</t>
  </si>
  <si>
    <t>4012万</t>
  </si>
  <si>
    <t>浙江众成</t>
  </si>
  <si>
    <t>1148万</t>
  </si>
  <si>
    <t>景峰医药</t>
  </si>
  <si>
    <t>2843万</t>
  </si>
  <si>
    <t>2787万</t>
  </si>
  <si>
    <t>*ST金岭</t>
  </si>
  <si>
    <t>江南高纤</t>
  </si>
  <si>
    <t>8291万</t>
  </si>
  <si>
    <t>泰胜风能</t>
  </si>
  <si>
    <t>3354万</t>
  </si>
  <si>
    <t>通富微电</t>
  </si>
  <si>
    <t>3619万</t>
  </si>
  <si>
    <t>3663万</t>
  </si>
  <si>
    <t>苏州固锝</t>
  </si>
  <si>
    <t>2606万</t>
  </si>
  <si>
    <t>大恒科技</t>
  </si>
  <si>
    <t>-227万</t>
  </si>
  <si>
    <t>-219万</t>
  </si>
  <si>
    <t>欣天科技</t>
  </si>
  <si>
    <t>4032万</t>
  </si>
  <si>
    <t>4130万</t>
  </si>
  <si>
    <t>-28.9万</t>
  </si>
  <si>
    <t>乐心医疗</t>
  </si>
  <si>
    <t>山鼎设计</t>
  </si>
  <si>
    <t>8320万</t>
  </si>
  <si>
    <t>4690万</t>
  </si>
  <si>
    <t>1171万</t>
  </si>
  <si>
    <t>9622万</t>
  </si>
  <si>
    <t>苏州恒久</t>
  </si>
  <si>
    <t>8783万</t>
  </si>
  <si>
    <t>438万</t>
  </si>
  <si>
    <t>8256万</t>
  </si>
  <si>
    <t>8211万</t>
  </si>
  <si>
    <t>45.0万</t>
  </si>
  <si>
    <t>爱迪尔</t>
  </si>
  <si>
    <t>-12.5万</t>
  </si>
  <si>
    <t>百洋股份</t>
  </si>
  <si>
    <t>464万</t>
  </si>
  <si>
    <t>供销大集</t>
  </si>
  <si>
    <t>4650万</t>
  </si>
  <si>
    <t>-4.08亿</t>
  </si>
  <si>
    <t>晶华新材</t>
  </si>
  <si>
    <t>和仁科技</t>
  </si>
  <si>
    <t>8322万</t>
  </si>
  <si>
    <t>277万</t>
  </si>
  <si>
    <t>久之洋</t>
  </si>
  <si>
    <t>光力科技</t>
  </si>
  <si>
    <t>6506万</t>
  </si>
  <si>
    <t>3795万</t>
  </si>
  <si>
    <t>7254万</t>
  </si>
  <si>
    <t>智慧松德</t>
  </si>
  <si>
    <t>-40.7万</t>
  </si>
  <si>
    <t>万里石</t>
  </si>
  <si>
    <t>9689万</t>
  </si>
  <si>
    <t>8784万</t>
  </si>
  <si>
    <t>康达新材</t>
  </si>
  <si>
    <t>金财互联</t>
  </si>
  <si>
    <t>3689万</t>
  </si>
  <si>
    <t>中百集团</t>
  </si>
  <si>
    <t>-22.0万</t>
  </si>
  <si>
    <t>2900万</t>
  </si>
  <si>
    <t>神州信息</t>
  </si>
  <si>
    <t>823万</t>
  </si>
  <si>
    <t>金自天正</t>
  </si>
  <si>
    <t>649万</t>
  </si>
  <si>
    <t>溢多利</t>
  </si>
  <si>
    <t>大富科技</t>
  </si>
  <si>
    <t>3928万</t>
  </si>
  <si>
    <t>-3.63亿</t>
  </si>
  <si>
    <t>民盛金科</t>
  </si>
  <si>
    <t>7.79万</t>
  </si>
  <si>
    <t>753万</t>
  </si>
  <si>
    <t>462万</t>
  </si>
  <si>
    <t>新华联</t>
  </si>
  <si>
    <t>5063万</t>
  </si>
  <si>
    <t>广聚能源</t>
  </si>
  <si>
    <t>晶方科技</t>
  </si>
  <si>
    <t>1046万</t>
  </si>
  <si>
    <t>7581万</t>
  </si>
  <si>
    <t>凯盛科技</t>
  </si>
  <si>
    <t>-2706万</t>
  </si>
  <si>
    <t>1735万</t>
  </si>
  <si>
    <t>国民技术</t>
  </si>
  <si>
    <t>2522万</t>
  </si>
  <si>
    <t>-1.47亿</t>
  </si>
  <si>
    <t>4799万</t>
  </si>
  <si>
    <t>2551万</t>
  </si>
  <si>
    <t>康盛股份</t>
  </si>
  <si>
    <t>2489万</t>
  </si>
  <si>
    <t>迪生力</t>
  </si>
  <si>
    <t>638万</t>
  </si>
  <si>
    <t>33.7万</t>
  </si>
  <si>
    <t>北方股份</t>
  </si>
  <si>
    <t>华西能源</t>
  </si>
  <si>
    <t>山东墨龙</t>
  </si>
  <si>
    <t>华金资本</t>
  </si>
  <si>
    <t>6024万</t>
  </si>
  <si>
    <t>四环生物</t>
  </si>
  <si>
    <t>8604万</t>
  </si>
  <si>
    <t>804万</t>
  </si>
  <si>
    <t>752万</t>
  </si>
  <si>
    <t>振华重工</t>
  </si>
  <si>
    <t>7696万</t>
  </si>
  <si>
    <t>492亿</t>
  </si>
  <si>
    <t>大湖股份</t>
  </si>
  <si>
    <t>97.7万</t>
  </si>
  <si>
    <t>浩云科技</t>
  </si>
  <si>
    <t>东土科技</t>
  </si>
  <si>
    <t>佳沃股份</t>
  </si>
  <si>
    <t>9840万</t>
  </si>
  <si>
    <t>651万</t>
  </si>
  <si>
    <t>677万</t>
  </si>
  <si>
    <t>-2.98亿</t>
  </si>
  <si>
    <t>恒大高新</t>
  </si>
  <si>
    <t>6127万</t>
  </si>
  <si>
    <t>489万</t>
  </si>
  <si>
    <t>西陇科学</t>
  </si>
  <si>
    <t>海普瑞</t>
  </si>
  <si>
    <t>5.56万</t>
  </si>
  <si>
    <t>-950万</t>
  </si>
  <si>
    <t>4199万</t>
  </si>
  <si>
    <t>金域医学</t>
  </si>
  <si>
    <t>汇顶科技</t>
  </si>
  <si>
    <t>660万</t>
  </si>
  <si>
    <t>XD重庆港</t>
  </si>
  <si>
    <t>智动力</t>
  </si>
  <si>
    <t>-272万</t>
  </si>
  <si>
    <t>337万</t>
  </si>
  <si>
    <t>浙富控股</t>
  </si>
  <si>
    <t>3471万</t>
  </si>
  <si>
    <t>1704万</t>
  </si>
  <si>
    <t>川大智胜</t>
  </si>
  <si>
    <t>3876万</t>
  </si>
  <si>
    <t>-16.5万</t>
  </si>
  <si>
    <t>9158万</t>
  </si>
  <si>
    <t>6013万</t>
  </si>
  <si>
    <t>数源科技</t>
  </si>
  <si>
    <t>62.9万</t>
  </si>
  <si>
    <t>*ST船舶</t>
  </si>
  <si>
    <t>4041万</t>
  </si>
  <si>
    <t>亚盛集团</t>
  </si>
  <si>
    <t>2757万</t>
  </si>
  <si>
    <t>11.6万</t>
  </si>
  <si>
    <t>宜昌交运</t>
  </si>
  <si>
    <t>1804万</t>
  </si>
  <si>
    <t>亚夏汽车</t>
  </si>
  <si>
    <t>1026万</t>
  </si>
  <si>
    <t>万泽股份</t>
  </si>
  <si>
    <t>2.80万</t>
  </si>
  <si>
    <t>1165万</t>
  </si>
  <si>
    <t>-40.1万</t>
  </si>
  <si>
    <t>1113万</t>
  </si>
  <si>
    <t>平煤股份</t>
  </si>
  <si>
    <t>6437万</t>
  </si>
  <si>
    <t>上海三毛</t>
  </si>
  <si>
    <t>58.8万</t>
  </si>
  <si>
    <t>-1364万</t>
  </si>
  <si>
    <t>5084万</t>
  </si>
  <si>
    <t>4879万</t>
  </si>
  <si>
    <t>久吾高科</t>
  </si>
  <si>
    <t>6930万</t>
  </si>
  <si>
    <t>4602万</t>
  </si>
  <si>
    <t>3819万</t>
  </si>
  <si>
    <t>萃华珠宝</t>
  </si>
  <si>
    <t>52.1万</t>
  </si>
  <si>
    <t>641万</t>
  </si>
  <si>
    <t>通达动力</t>
  </si>
  <si>
    <t>497万</t>
  </si>
  <si>
    <t>74.2万</t>
  </si>
  <si>
    <t>476万</t>
  </si>
  <si>
    <t>启明星辰</t>
  </si>
  <si>
    <t>1236万</t>
  </si>
  <si>
    <t>1633万</t>
  </si>
  <si>
    <t>北京科锐</t>
  </si>
  <si>
    <t>-1.55万</t>
  </si>
  <si>
    <t>1105万</t>
  </si>
  <si>
    <t>博云新材</t>
  </si>
  <si>
    <t>1343万</t>
  </si>
  <si>
    <t>-228万</t>
  </si>
  <si>
    <t>-1.14亿</t>
  </si>
  <si>
    <t>5541万</t>
  </si>
  <si>
    <t>滨海能源</t>
  </si>
  <si>
    <t>7785万</t>
  </si>
  <si>
    <t>7613万</t>
  </si>
  <si>
    <t>西部创业</t>
  </si>
  <si>
    <t>-11.2亿</t>
  </si>
  <si>
    <t>万 家 乐</t>
  </si>
  <si>
    <t>41.7万</t>
  </si>
  <si>
    <t>832万</t>
  </si>
  <si>
    <t>1601万</t>
  </si>
  <si>
    <t>4081万</t>
  </si>
  <si>
    <t>中材节能</t>
  </si>
  <si>
    <t>蓝海华腾</t>
  </si>
  <si>
    <t>9389万</t>
  </si>
  <si>
    <t>5524万</t>
  </si>
  <si>
    <t>525万</t>
  </si>
  <si>
    <t>-61.8万</t>
  </si>
  <si>
    <t>4228万</t>
  </si>
  <si>
    <t>18.7万</t>
  </si>
  <si>
    <t>8233万</t>
  </si>
  <si>
    <t>珈伟股份</t>
  </si>
  <si>
    <t>电科院</t>
  </si>
  <si>
    <t>1036万</t>
  </si>
  <si>
    <t>华策影视</t>
  </si>
  <si>
    <t>3.22万</t>
  </si>
  <si>
    <t>富煌钢构</t>
  </si>
  <si>
    <t>1035万</t>
  </si>
  <si>
    <t>日上集团</t>
  </si>
  <si>
    <t>83.7万</t>
  </si>
  <si>
    <t>1295万</t>
  </si>
  <si>
    <t>天马精化</t>
  </si>
  <si>
    <t>-6377万</t>
  </si>
  <si>
    <t>华铁股份</t>
  </si>
  <si>
    <t>9.49万</t>
  </si>
  <si>
    <t>民丰特纸</t>
  </si>
  <si>
    <t>653万</t>
  </si>
  <si>
    <t>-91.3万</t>
  </si>
  <si>
    <t>郴电国际</t>
  </si>
  <si>
    <t>3913万</t>
  </si>
  <si>
    <t>3767万</t>
  </si>
  <si>
    <t>贵航股份</t>
  </si>
  <si>
    <t>-8.66万</t>
  </si>
  <si>
    <t>北京城建</t>
  </si>
  <si>
    <t>973亿</t>
  </si>
  <si>
    <t>851亿</t>
  </si>
  <si>
    <t>博晖创新</t>
  </si>
  <si>
    <t>隆华节能</t>
  </si>
  <si>
    <t>1520万</t>
  </si>
  <si>
    <t>1318万</t>
  </si>
  <si>
    <t>8917万</t>
  </si>
  <si>
    <t>华英农业</t>
  </si>
  <si>
    <t>269万</t>
  </si>
  <si>
    <t>3987万</t>
  </si>
  <si>
    <t>焦点科技</t>
  </si>
  <si>
    <t>1921万</t>
  </si>
  <si>
    <t>河北宣工</t>
  </si>
  <si>
    <t>8047万</t>
  </si>
  <si>
    <t>8201万</t>
  </si>
  <si>
    <t>3352万</t>
  </si>
  <si>
    <t>苏常柴Ａ</t>
  </si>
  <si>
    <t>6.41万</t>
  </si>
  <si>
    <t>至纯科技</t>
  </si>
  <si>
    <t>7353万</t>
  </si>
  <si>
    <t>5345万</t>
  </si>
  <si>
    <t>金钼股份</t>
  </si>
  <si>
    <t>9493万</t>
  </si>
  <si>
    <t>9468万</t>
  </si>
  <si>
    <t>华北制药</t>
  </si>
  <si>
    <t>2644万</t>
  </si>
  <si>
    <t>-105万</t>
  </si>
  <si>
    <t>爱司凯</t>
  </si>
  <si>
    <t>9486万</t>
  </si>
  <si>
    <t>3186万</t>
  </si>
  <si>
    <t>263万</t>
  </si>
  <si>
    <t>4256万</t>
  </si>
  <si>
    <t>5083万</t>
  </si>
  <si>
    <t>754万</t>
  </si>
  <si>
    <t>浩丰科技</t>
  </si>
  <si>
    <t>新宁物流</t>
  </si>
  <si>
    <t>686万</t>
  </si>
  <si>
    <t>瀛通通讯</t>
  </si>
  <si>
    <t>5312万</t>
  </si>
  <si>
    <t>556万</t>
  </si>
  <si>
    <t>519万</t>
  </si>
  <si>
    <t>中 关 村</t>
  </si>
  <si>
    <t>-5.89万</t>
  </si>
  <si>
    <t>-8.80亿</t>
  </si>
  <si>
    <t>赣能股份</t>
  </si>
  <si>
    <t>2316万</t>
  </si>
  <si>
    <t>银星能源</t>
  </si>
  <si>
    <t>-3.69万</t>
  </si>
  <si>
    <t>-8.36亿</t>
  </si>
  <si>
    <t>广州浪奇</t>
  </si>
  <si>
    <t>-16.0万</t>
  </si>
  <si>
    <t>海欣股份</t>
  </si>
  <si>
    <t>2786万</t>
  </si>
  <si>
    <t>1623万</t>
  </si>
  <si>
    <t>国电南瑞</t>
  </si>
  <si>
    <t>远达环保</t>
  </si>
  <si>
    <t>2394万</t>
  </si>
  <si>
    <t>90.1亿</t>
  </si>
  <si>
    <t>海泰发展</t>
  </si>
  <si>
    <t>3481万</t>
  </si>
  <si>
    <t>隆盛科技</t>
  </si>
  <si>
    <t>2614万</t>
  </si>
  <si>
    <t>166万</t>
  </si>
  <si>
    <t>8719万</t>
  </si>
  <si>
    <t>977万</t>
  </si>
  <si>
    <t>高争民爆</t>
  </si>
  <si>
    <t>5914万</t>
  </si>
  <si>
    <t>500万</t>
  </si>
  <si>
    <t>5513万</t>
  </si>
  <si>
    <t>丽鹏股份</t>
  </si>
  <si>
    <t>1685万</t>
  </si>
  <si>
    <t>-47.8万</t>
  </si>
  <si>
    <t>1589万</t>
  </si>
  <si>
    <t>中广核技</t>
  </si>
  <si>
    <t>1100万</t>
  </si>
  <si>
    <t>黑芝麻</t>
  </si>
  <si>
    <t>35.0万</t>
  </si>
  <si>
    <t>1260万</t>
  </si>
  <si>
    <t>中信海直</t>
  </si>
  <si>
    <t>2317万</t>
  </si>
  <si>
    <t>2253万</t>
  </si>
  <si>
    <t>科林电气</t>
  </si>
  <si>
    <t>8031万</t>
  </si>
  <si>
    <t>541万</t>
  </si>
  <si>
    <t>金山股份</t>
  </si>
  <si>
    <t>-209万</t>
  </si>
  <si>
    <t>-117万</t>
  </si>
  <si>
    <t>-2.46亿</t>
  </si>
  <si>
    <t>宋都股份</t>
  </si>
  <si>
    <t>-2504万</t>
  </si>
  <si>
    <t>4701万</t>
  </si>
  <si>
    <t>万讯自控</t>
  </si>
  <si>
    <t>9233万</t>
  </si>
  <si>
    <t>363万</t>
  </si>
  <si>
    <t>360万</t>
  </si>
  <si>
    <t>4583万</t>
  </si>
  <si>
    <t>星网宇达</t>
  </si>
  <si>
    <t>8001万</t>
  </si>
  <si>
    <t>智光电气</t>
  </si>
  <si>
    <t>2279万</t>
  </si>
  <si>
    <t>四川长虹</t>
  </si>
  <si>
    <t>6112万</t>
  </si>
  <si>
    <t>448亿</t>
  </si>
  <si>
    <t>万盛股份</t>
  </si>
  <si>
    <t>514万</t>
  </si>
  <si>
    <t>蒙草生态</t>
  </si>
  <si>
    <t>3335万</t>
  </si>
  <si>
    <t>-47.3万</t>
  </si>
  <si>
    <t>2280万</t>
  </si>
  <si>
    <t>兆日科技</t>
  </si>
  <si>
    <t>1672万</t>
  </si>
  <si>
    <t>跃岭股份</t>
  </si>
  <si>
    <t>8.94万</t>
  </si>
  <si>
    <t>高升控股</t>
  </si>
  <si>
    <t>1746万</t>
  </si>
  <si>
    <t>-1.51亿</t>
  </si>
  <si>
    <t>苏试试验</t>
  </si>
  <si>
    <t>7614万</t>
  </si>
  <si>
    <t>天玑科技</t>
  </si>
  <si>
    <t>7599万</t>
  </si>
  <si>
    <t>大金重工</t>
  </si>
  <si>
    <t>796万</t>
  </si>
  <si>
    <t>北方华创</t>
  </si>
  <si>
    <t>3188万</t>
  </si>
  <si>
    <t>3185万</t>
  </si>
  <si>
    <t>中恒电气</t>
  </si>
  <si>
    <t>654万</t>
  </si>
  <si>
    <t>619万</t>
  </si>
  <si>
    <t>大西洋</t>
  </si>
  <si>
    <t>4053万</t>
  </si>
  <si>
    <t>美都能源</t>
  </si>
  <si>
    <t>5746万</t>
  </si>
  <si>
    <t>6118万</t>
  </si>
  <si>
    <t>4822万</t>
  </si>
  <si>
    <t>和邦生物</t>
  </si>
  <si>
    <t>5611万</t>
  </si>
  <si>
    <t>-56.3万</t>
  </si>
  <si>
    <t>5684万</t>
  </si>
  <si>
    <t>4981万</t>
  </si>
  <si>
    <t>曙光股份</t>
  </si>
  <si>
    <t>2493万</t>
  </si>
  <si>
    <t>-584万</t>
  </si>
  <si>
    <t>3007万</t>
  </si>
  <si>
    <t>皖维高新</t>
  </si>
  <si>
    <t>2872万</t>
  </si>
  <si>
    <t>2901万</t>
  </si>
  <si>
    <t>新国都</t>
  </si>
  <si>
    <t>登云股份</t>
  </si>
  <si>
    <t>9511万</t>
  </si>
  <si>
    <t>397万</t>
  </si>
  <si>
    <t>金洲管道</t>
  </si>
  <si>
    <t>-307万</t>
  </si>
  <si>
    <t>凯恩股份</t>
  </si>
  <si>
    <t>6751万</t>
  </si>
  <si>
    <t>美利云</t>
  </si>
  <si>
    <t>900万</t>
  </si>
  <si>
    <t>-7.24亿</t>
  </si>
  <si>
    <t>合诚股份</t>
  </si>
  <si>
    <t>7684万</t>
  </si>
  <si>
    <t>空港股份</t>
  </si>
  <si>
    <t>-67.9万</t>
  </si>
  <si>
    <t>宝硕股份</t>
  </si>
  <si>
    <t>9131万</t>
  </si>
  <si>
    <t>9169万</t>
  </si>
  <si>
    <t>6505万</t>
  </si>
  <si>
    <t>-4.67亿</t>
  </si>
  <si>
    <t>金花股份</t>
  </si>
  <si>
    <t>553万</t>
  </si>
  <si>
    <t>耐威科技</t>
  </si>
  <si>
    <t>-102万</t>
  </si>
  <si>
    <t>1158万</t>
  </si>
  <si>
    <t>金盾股份</t>
  </si>
  <si>
    <t>7181万</t>
  </si>
  <si>
    <t>9311万</t>
  </si>
  <si>
    <t>理工环科</t>
  </si>
  <si>
    <t>8957万</t>
  </si>
  <si>
    <t>1660万</t>
  </si>
  <si>
    <t>奥维通信</t>
  </si>
  <si>
    <t>4947万</t>
  </si>
  <si>
    <t>4543万</t>
  </si>
  <si>
    <t>厦门港务</t>
  </si>
  <si>
    <t>4329万</t>
  </si>
  <si>
    <t>4712万</t>
  </si>
  <si>
    <t>东方电子</t>
  </si>
  <si>
    <t>39.4万</t>
  </si>
  <si>
    <t>3198万</t>
  </si>
  <si>
    <t>761万</t>
  </si>
  <si>
    <t>大连友谊</t>
  </si>
  <si>
    <t>6883万</t>
  </si>
  <si>
    <t>ST宏盛</t>
  </si>
  <si>
    <t>41.5万</t>
  </si>
  <si>
    <t>-2.84亿</t>
  </si>
  <si>
    <t>5687万</t>
  </si>
  <si>
    <t>1733万</t>
  </si>
  <si>
    <t>2451万</t>
  </si>
  <si>
    <t>9699万</t>
  </si>
  <si>
    <t>DR厦门钨</t>
  </si>
  <si>
    <t>8325万</t>
  </si>
  <si>
    <t>910万</t>
  </si>
  <si>
    <t>8341万</t>
  </si>
  <si>
    <t>中金黄金</t>
  </si>
  <si>
    <t>5786万</t>
  </si>
  <si>
    <t>腾信股份</t>
  </si>
  <si>
    <t>-38.6万</t>
  </si>
  <si>
    <t>-3628万</t>
  </si>
  <si>
    <t>40.0万</t>
  </si>
  <si>
    <t>世纪鼎利</t>
  </si>
  <si>
    <t>1751万</t>
  </si>
  <si>
    <t>荣之联</t>
  </si>
  <si>
    <t>罗平锌电</t>
  </si>
  <si>
    <t>-352万</t>
  </si>
  <si>
    <t>-5735万</t>
  </si>
  <si>
    <t>渤海股份</t>
  </si>
  <si>
    <t>1068万</t>
  </si>
  <si>
    <t>-70.1万</t>
  </si>
  <si>
    <t>如通股份</t>
  </si>
  <si>
    <t>7957万</t>
  </si>
  <si>
    <t>龙宇燃油</t>
  </si>
  <si>
    <t>2215万</t>
  </si>
  <si>
    <t>5368万</t>
  </si>
  <si>
    <t>洛阳玻璃</t>
  </si>
  <si>
    <t>871万</t>
  </si>
  <si>
    <t>407万</t>
  </si>
  <si>
    <t>-13.4亿</t>
  </si>
  <si>
    <t>海航创新</t>
  </si>
  <si>
    <t>137万</t>
  </si>
  <si>
    <t>1363万</t>
  </si>
  <si>
    <t>-2.66亿</t>
  </si>
  <si>
    <t>5381万</t>
  </si>
  <si>
    <t>新赛股份</t>
  </si>
  <si>
    <t>-6.89亿</t>
  </si>
  <si>
    <t>8538万</t>
  </si>
  <si>
    <t>宁波韵升</t>
  </si>
  <si>
    <t>1997万</t>
  </si>
  <si>
    <t>3495万</t>
  </si>
  <si>
    <t>通裕重工</t>
  </si>
  <si>
    <t>3613万</t>
  </si>
  <si>
    <t>文化长城</t>
  </si>
  <si>
    <t>4.76万</t>
  </si>
  <si>
    <t>769万</t>
  </si>
  <si>
    <t>*ST因美</t>
  </si>
  <si>
    <t>834万</t>
  </si>
  <si>
    <t>924万</t>
  </si>
  <si>
    <t>-6.19亿</t>
  </si>
  <si>
    <t>杰瑞股份</t>
  </si>
  <si>
    <t>5212万</t>
  </si>
  <si>
    <t>5331万</t>
  </si>
  <si>
    <t>3351万</t>
  </si>
  <si>
    <t>西藏发展</t>
  </si>
  <si>
    <t>1056万</t>
  </si>
  <si>
    <t>-55.3万</t>
  </si>
  <si>
    <t>2406万</t>
  </si>
  <si>
    <t>燕京啤酒</t>
  </si>
  <si>
    <t>沙河股份</t>
  </si>
  <si>
    <t>6774万</t>
  </si>
  <si>
    <t>-188万</t>
  </si>
  <si>
    <t>1743万</t>
  </si>
  <si>
    <t>8375万</t>
  </si>
  <si>
    <t>美尚生态</t>
  </si>
  <si>
    <t>42.3万</t>
  </si>
  <si>
    <t>6820万</t>
  </si>
  <si>
    <t>赛摩电气</t>
  </si>
  <si>
    <t>8050万</t>
  </si>
  <si>
    <t>亚光科技</t>
  </si>
  <si>
    <t>2579万</t>
  </si>
  <si>
    <t>科远股份</t>
  </si>
  <si>
    <t>8974万</t>
  </si>
  <si>
    <t>835万</t>
  </si>
  <si>
    <t>雅百特</t>
  </si>
  <si>
    <t>9061万</t>
  </si>
  <si>
    <t>荣丰控股</t>
  </si>
  <si>
    <t>9.34万</t>
  </si>
  <si>
    <t>255万</t>
  </si>
  <si>
    <t>华意压缩</t>
  </si>
  <si>
    <t>3900万</t>
  </si>
  <si>
    <t>158万</t>
  </si>
  <si>
    <t>3937万</t>
  </si>
  <si>
    <t>华凯创意</t>
  </si>
  <si>
    <t>6905万</t>
  </si>
  <si>
    <t>5583万</t>
  </si>
  <si>
    <t>纳川股份</t>
  </si>
  <si>
    <t>812万</t>
  </si>
  <si>
    <t>兴业科技</t>
  </si>
  <si>
    <t>-30.4万</t>
  </si>
  <si>
    <t>通达股份</t>
  </si>
  <si>
    <t>8.32万</t>
  </si>
  <si>
    <t>模塑科技</t>
  </si>
  <si>
    <t>*ST狮头</t>
  </si>
  <si>
    <t>-3.92亿</t>
  </si>
  <si>
    <t>4909万</t>
  </si>
  <si>
    <t>天华院</t>
  </si>
  <si>
    <t>538万</t>
  </si>
  <si>
    <t>-8.63亿</t>
  </si>
  <si>
    <t>2738万</t>
  </si>
  <si>
    <t>通葡股份</t>
  </si>
  <si>
    <t>1625万</t>
  </si>
  <si>
    <t>271万</t>
  </si>
  <si>
    <t>-2.63亿</t>
  </si>
  <si>
    <t>吉大通信</t>
  </si>
  <si>
    <t>7350万</t>
  </si>
  <si>
    <t>宜安科技</t>
  </si>
  <si>
    <t>科新机电</t>
  </si>
  <si>
    <t>8584万</t>
  </si>
  <si>
    <t>6237万</t>
  </si>
  <si>
    <t>贵绳股份</t>
  </si>
  <si>
    <t>中公高科</t>
  </si>
  <si>
    <t>4645万</t>
  </si>
  <si>
    <t>大众公用</t>
  </si>
  <si>
    <t>2782万</t>
  </si>
  <si>
    <t>华胜天成</t>
  </si>
  <si>
    <t>2180万</t>
  </si>
  <si>
    <t>东方铁塔</t>
  </si>
  <si>
    <t>如意集团</t>
  </si>
  <si>
    <t>民生控股</t>
  </si>
  <si>
    <t>1641万</t>
  </si>
  <si>
    <t>411万</t>
  </si>
  <si>
    <t>3949万</t>
  </si>
  <si>
    <t>上海凤凰</t>
  </si>
  <si>
    <t>金牛化工</t>
  </si>
  <si>
    <t>32.7万</t>
  </si>
  <si>
    <t>-15.0亿</t>
  </si>
  <si>
    <t>70.5万</t>
  </si>
  <si>
    <t>太极集团</t>
  </si>
  <si>
    <t>2290万</t>
  </si>
  <si>
    <t>-460万</t>
  </si>
  <si>
    <t>中国应急</t>
  </si>
  <si>
    <t>亿通科技</t>
  </si>
  <si>
    <t>67.5万</t>
  </si>
  <si>
    <t>209万</t>
  </si>
  <si>
    <t>185万</t>
  </si>
  <si>
    <t>6214万</t>
  </si>
  <si>
    <t>5953万</t>
  </si>
  <si>
    <t>潜能恒信</t>
  </si>
  <si>
    <t>6525万</t>
  </si>
  <si>
    <t>英维克</t>
  </si>
  <si>
    <t>6838万</t>
  </si>
  <si>
    <t>97.9万</t>
  </si>
  <si>
    <t>1441万</t>
  </si>
  <si>
    <t>9459万</t>
  </si>
  <si>
    <t>吉林化纤</t>
  </si>
  <si>
    <t>-7.54亿</t>
  </si>
  <si>
    <t>中路股份</t>
  </si>
  <si>
    <t>13.5万</t>
  </si>
  <si>
    <t>8732万</t>
  </si>
  <si>
    <t>8349万</t>
  </si>
  <si>
    <t>华扬联众</t>
  </si>
  <si>
    <t>439万</t>
  </si>
  <si>
    <t>3151万</t>
  </si>
  <si>
    <t>奥翔药业</t>
  </si>
  <si>
    <t>5398万</t>
  </si>
  <si>
    <t>中国重工</t>
  </si>
  <si>
    <t>4722万</t>
  </si>
  <si>
    <t>1444亿</t>
  </si>
  <si>
    <t>1176亿</t>
  </si>
  <si>
    <t>919亿</t>
  </si>
  <si>
    <t>西宁特钢</t>
  </si>
  <si>
    <t>-1.34亿</t>
  </si>
  <si>
    <t>神思电子</t>
  </si>
  <si>
    <t>8633万</t>
  </si>
  <si>
    <t>8144万</t>
  </si>
  <si>
    <t>迦南科技</t>
  </si>
  <si>
    <t>32.3万</t>
  </si>
  <si>
    <t>34.3万</t>
  </si>
  <si>
    <t>阳普医疗</t>
  </si>
  <si>
    <t>中元股份</t>
  </si>
  <si>
    <t>1292万</t>
  </si>
  <si>
    <t>320万</t>
  </si>
  <si>
    <t>巨力索具</t>
  </si>
  <si>
    <t>14.4万</t>
  </si>
  <si>
    <t>西仪股份</t>
  </si>
  <si>
    <t>350万</t>
  </si>
  <si>
    <t>5224万</t>
  </si>
  <si>
    <t>常铝股份</t>
  </si>
  <si>
    <t>-65.0万</t>
  </si>
  <si>
    <t>1356万</t>
  </si>
  <si>
    <t>9025万</t>
  </si>
  <si>
    <t>许继电气</t>
  </si>
  <si>
    <t>大晟文化</t>
  </si>
  <si>
    <t>-34.0万</t>
  </si>
  <si>
    <t>963万</t>
  </si>
  <si>
    <t>华菱星马</t>
  </si>
  <si>
    <t>-5.64亿</t>
  </si>
  <si>
    <t>84.3亿</t>
  </si>
  <si>
    <t>惠伦晶体</t>
  </si>
  <si>
    <t>8012万</t>
  </si>
  <si>
    <t>7.17万</t>
  </si>
  <si>
    <t>天泽信息</t>
  </si>
  <si>
    <t>50.7万</t>
  </si>
  <si>
    <t>易成新能</t>
  </si>
  <si>
    <t>4979万</t>
  </si>
  <si>
    <t>雪迪龙</t>
  </si>
  <si>
    <t>35.7万</t>
  </si>
  <si>
    <t>889万</t>
  </si>
  <si>
    <t>亚玛顿</t>
  </si>
  <si>
    <t>1018万</t>
  </si>
  <si>
    <t>泰尔股份</t>
  </si>
  <si>
    <t>3390万</t>
  </si>
  <si>
    <t>皇氏集团</t>
  </si>
  <si>
    <t>953万</t>
  </si>
  <si>
    <t>软控股份</t>
  </si>
  <si>
    <t>1270万</t>
  </si>
  <si>
    <t>中国宝安</t>
  </si>
  <si>
    <t>-788万</t>
  </si>
  <si>
    <t>庞大集团</t>
  </si>
  <si>
    <t>5333万</t>
  </si>
  <si>
    <t>442亿</t>
  </si>
  <si>
    <t>万里股份</t>
  </si>
  <si>
    <t>17.1万</t>
  </si>
  <si>
    <t>-1.16亿</t>
  </si>
  <si>
    <t>聚灿光电</t>
  </si>
  <si>
    <t>金陵体育</t>
  </si>
  <si>
    <t>390万</t>
  </si>
  <si>
    <t>盛讯达</t>
  </si>
  <si>
    <t>370万</t>
  </si>
  <si>
    <t>运达科技</t>
  </si>
  <si>
    <t>77.5万</t>
  </si>
  <si>
    <t>章源钨业</t>
  </si>
  <si>
    <t>大洋电机</t>
  </si>
  <si>
    <t>2293万</t>
  </si>
  <si>
    <t>-444万</t>
  </si>
  <si>
    <t>3128万</t>
  </si>
  <si>
    <t>87.7亿</t>
  </si>
  <si>
    <t>商赢环球</t>
  </si>
  <si>
    <t>1009万</t>
  </si>
  <si>
    <t>1081万</t>
  </si>
  <si>
    <t>顶点软件</t>
  </si>
  <si>
    <t>5708万</t>
  </si>
  <si>
    <t>2907万</t>
  </si>
  <si>
    <t>白银有色</t>
  </si>
  <si>
    <t>-2786万</t>
  </si>
  <si>
    <t>3431万</t>
  </si>
  <si>
    <t>新华传媒</t>
  </si>
  <si>
    <t>强生控股</t>
  </si>
  <si>
    <t>华鑫股份</t>
  </si>
  <si>
    <t>-478万</t>
  </si>
  <si>
    <t>-46.1万</t>
  </si>
  <si>
    <t>天地科技</t>
  </si>
  <si>
    <t>7.21万</t>
  </si>
  <si>
    <t>金种子酒</t>
  </si>
  <si>
    <t>聚龙股份</t>
  </si>
  <si>
    <t>67.8万</t>
  </si>
  <si>
    <t>圣阳股份</t>
  </si>
  <si>
    <t>大康农业</t>
  </si>
  <si>
    <t>-9017万</t>
  </si>
  <si>
    <t>4677万</t>
  </si>
  <si>
    <t>-9521万</t>
  </si>
  <si>
    <t>中超控股</t>
  </si>
  <si>
    <t>2676万</t>
  </si>
  <si>
    <t>海格通信</t>
  </si>
  <si>
    <t>2402万</t>
  </si>
  <si>
    <t>2467万</t>
  </si>
  <si>
    <t>北新路桥</t>
  </si>
  <si>
    <t>631万</t>
  </si>
  <si>
    <t>金鹰股份</t>
  </si>
  <si>
    <t>惠发股份</t>
  </si>
  <si>
    <t>6025万</t>
  </si>
  <si>
    <t>328万</t>
  </si>
  <si>
    <t>7238万</t>
  </si>
  <si>
    <t>东软集团</t>
  </si>
  <si>
    <t>-638万</t>
  </si>
  <si>
    <t>-3276万</t>
  </si>
  <si>
    <t>大名城</t>
  </si>
  <si>
    <t>575亿</t>
  </si>
  <si>
    <t>471亿</t>
  </si>
  <si>
    <t>星云股份</t>
  </si>
  <si>
    <t>4744万</t>
  </si>
  <si>
    <t>30.3万</t>
  </si>
  <si>
    <t>7939万</t>
  </si>
  <si>
    <t>长亮科技</t>
  </si>
  <si>
    <t>立思辰</t>
  </si>
  <si>
    <t>招商轮船</t>
  </si>
  <si>
    <t>ST大控</t>
  </si>
  <si>
    <t>2525万</t>
  </si>
  <si>
    <t>-934万</t>
  </si>
  <si>
    <t>-9.79万</t>
  </si>
  <si>
    <t>凤形股份</t>
  </si>
  <si>
    <t>中船科技</t>
  </si>
  <si>
    <t>五矿发展</t>
  </si>
  <si>
    <t>-1756万</t>
  </si>
  <si>
    <t>梦百合</t>
  </si>
  <si>
    <t>8235万</t>
  </si>
  <si>
    <t>2321万</t>
  </si>
  <si>
    <t>正裕工业</t>
  </si>
  <si>
    <t>76.7万</t>
  </si>
  <si>
    <t>广日股份</t>
  </si>
  <si>
    <t>1806万</t>
  </si>
  <si>
    <t>2930万</t>
  </si>
  <si>
    <t>丹化科技</t>
  </si>
  <si>
    <t>-31.6万</t>
  </si>
  <si>
    <t>-7.06亿</t>
  </si>
  <si>
    <t>4268万</t>
  </si>
  <si>
    <t>创源文化</t>
  </si>
  <si>
    <t>227万</t>
  </si>
  <si>
    <t>宏大爆破</t>
  </si>
  <si>
    <t>897万</t>
  </si>
  <si>
    <t>八菱科技</t>
  </si>
  <si>
    <t>643万</t>
  </si>
  <si>
    <t>天原集团</t>
  </si>
  <si>
    <t>-408万</t>
  </si>
  <si>
    <t>5196万</t>
  </si>
  <si>
    <t>远光软件</t>
  </si>
  <si>
    <t>42.8万</t>
  </si>
  <si>
    <t>5447万</t>
  </si>
  <si>
    <t>轴研科技</t>
  </si>
  <si>
    <t>-322万</t>
  </si>
  <si>
    <t>2199万</t>
  </si>
  <si>
    <t>博闻科技</t>
  </si>
  <si>
    <t>1224万</t>
  </si>
  <si>
    <t>204万</t>
  </si>
  <si>
    <t>东材科技</t>
  </si>
  <si>
    <t>博瑞传播</t>
  </si>
  <si>
    <t>-23.2万</t>
  </si>
  <si>
    <t>福鞍股份</t>
  </si>
  <si>
    <t>9556万</t>
  </si>
  <si>
    <t>4667万</t>
  </si>
  <si>
    <t>格尔软件</t>
  </si>
  <si>
    <t>5117万</t>
  </si>
  <si>
    <t>6529万</t>
  </si>
  <si>
    <t>6895万</t>
  </si>
  <si>
    <t>6844万</t>
  </si>
  <si>
    <t>50.8万</t>
  </si>
  <si>
    <t>东吴证券</t>
  </si>
  <si>
    <t>8582万</t>
  </si>
  <si>
    <t>966亿</t>
  </si>
  <si>
    <t>755亿</t>
  </si>
  <si>
    <t>菲达环保</t>
  </si>
  <si>
    <t>6392万</t>
  </si>
  <si>
    <t>全通教育</t>
  </si>
  <si>
    <t>-108万</t>
  </si>
  <si>
    <t>4122万</t>
  </si>
  <si>
    <t>永高股份</t>
  </si>
  <si>
    <t>1934万</t>
  </si>
  <si>
    <t>-39.8万</t>
  </si>
  <si>
    <t>久其软件</t>
  </si>
  <si>
    <t>天宝食品</t>
  </si>
  <si>
    <t>巨轮智能</t>
  </si>
  <si>
    <t>4167万</t>
  </si>
  <si>
    <t>3980万</t>
  </si>
  <si>
    <t>华西股份</t>
  </si>
  <si>
    <t>2330万</t>
  </si>
  <si>
    <t>冀东装备</t>
  </si>
  <si>
    <t>124万</t>
  </si>
  <si>
    <t>146万</t>
  </si>
  <si>
    <t>-3.57亿</t>
  </si>
  <si>
    <t>深圳能源</t>
  </si>
  <si>
    <t>6077万</t>
  </si>
  <si>
    <t>780亿</t>
  </si>
  <si>
    <t>国投中鲁</t>
  </si>
  <si>
    <t>中国海防</t>
  </si>
  <si>
    <t>3024万</t>
  </si>
  <si>
    <t>江西长运</t>
  </si>
  <si>
    <t>-21.2万</t>
  </si>
  <si>
    <t>2246万</t>
  </si>
  <si>
    <t>382万</t>
  </si>
  <si>
    <t>华丽家族</t>
  </si>
  <si>
    <t>1457万</t>
  </si>
  <si>
    <t>962万</t>
  </si>
  <si>
    <t>普丽盛</t>
  </si>
  <si>
    <t>7215万</t>
  </si>
  <si>
    <t>59.1万</t>
  </si>
  <si>
    <t>2269万</t>
  </si>
  <si>
    <t>天翔环境</t>
  </si>
  <si>
    <t>484万</t>
  </si>
  <si>
    <t>合康新能</t>
  </si>
  <si>
    <t>-15.7万</t>
  </si>
  <si>
    <t>闽发铝业</t>
  </si>
  <si>
    <t>双象股份</t>
  </si>
  <si>
    <t>九鼎新材</t>
  </si>
  <si>
    <t>229万</t>
  </si>
  <si>
    <t>-2.32万</t>
  </si>
  <si>
    <t>浔兴股份</t>
  </si>
  <si>
    <t>欢瑞世纪</t>
  </si>
  <si>
    <t>7874万</t>
  </si>
  <si>
    <t>841万</t>
  </si>
  <si>
    <t>超声电子</t>
  </si>
  <si>
    <t>-119万</t>
  </si>
  <si>
    <t>北京文化</t>
  </si>
  <si>
    <t>-20.5万</t>
  </si>
  <si>
    <t>乾景园林</t>
  </si>
  <si>
    <t>4787万</t>
  </si>
  <si>
    <t>信雅达</t>
  </si>
  <si>
    <t>-811万</t>
  </si>
  <si>
    <t>44.9万</t>
  </si>
  <si>
    <t>-316万</t>
  </si>
  <si>
    <t>6135万</t>
  </si>
  <si>
    <t>8379万</t>
  </si>
  <si>
    <t>国旅联合</t>
  </si>
  <si>
    <t>8657万</t>
  </si>
  <si>
    <t>-3.28亿</t>
  </si>
  <si>
    <t>2925万</t>
  </si>
  <si>
    <t>合纵科技</t>
  </si>
  <si>
    <t>8614万</t>
  </si>
  <si>
    <t>汇金股份</t>
  </si>
  <si>
    <t>-71.1万</t>
  </si>
  <si>
    <t>9055万</t>
  </si>
  <si>
    <t>通光线缆</t>
  </si>
  <si>
    <t>249万</t>
  </si>
  <si>
    <t>北京君正</t>
  </si>
  <si>
    <t>3919万</t>
  </si>
  <si>
    <t>3789万</t>
  </si>
  <si>
    <t>中新赛克</t>
  </si>
  <si>
    <t>9003万</t>
  </si>
  <si>
    <t>天际股份</t>
  </si>
  <si>
    <t>达 意 隆</t>
  </si>
  <si>
    <t>3276万</t>
  </si>
  <si>
    <t>均胜电子</t>
  </si>
  <si>
    <t>94.2亿</t>
  </si>
  <si>
    <t>中能电气</t>
  </si>
  <si>
    <t>-10.5万</t>
  </si>
  <si>
    <t>天海防务</t>
  </si>
  <si>
    <t>650万</t>
  </si>
  <si>
    <t>6439万</t>
  </si>
  <si>
    <t>丹邦科技</t>
  </si>
  <si>
    <t>爱康科技</t>
  </si>
  <si>
    <t>625万</t>
  </si>
  <si>
    <t>1443万</t>
  </si>
  <si>
    <t>天业通联</t>
  </si>
  <si>
    <t>7988万</t>
  </si>
  <si>
    <t>311万</t>
  </si>
  <si>
    <t>-8.34亿</t>
  </si>
  <si>
    <t>中国高科</t>
  </si>
  <si>
    <t>2056万</t>
  </si>
  <si>
    <t>1289万</t>
  </si>
  <si>
    <t>5060万</t>
  </si>
  <si>
    <t>中国一重</t>
  </si>
  <si>
    <t>2792万</t>
  </si>
  <si>
    <t>-58.5亿</t>
  </si>
  <si>
    <t>读者传媒</t>
  </si>
  <si>
    <t>7579万</t>
  </si>
  <si>
    <t>法兰泰克</t>
  </si>
  <si>
    <t>7153万</t>
  </si>
  <si>
    <t>29.2万</t>
  </si>
  <si>
    <t>银鸽投资</t>
  </si>
  <si>
    <t>-192万</t>
  </si>
  <si>
    <t>515万</t>
  </si>
  <si>
    <t>-10.8亿</t>
  </si>
  <si>
    <t>邦讯技术</t>
  </si>
  <si>
    <t>6912万</t>
  </si>
  <si>
    <t>-74.2万</t>
  </si>
  <si>
    <t>-3285万</t>
  </si>
  <si>
    <t>1370万</t>
  </si>
  <si>
    <t>三夫户外</t>
  </si>
  <si>
    <t>9857万</t>
  </si>
  <si>
    <t>1111万</t>
  </si>
  <si>
    <t>5001万</t>
  </si>
  <si>
    <t>成都路桥</t>
  </si>
  <si>
    <t>1290万</t>
  </si>
  <si>
    <t>2090万</t>
  </si>
  <si>
    <t>中利集团</t>
  </si>
  <si>
    <t>3499万</t>
  </si>
  <si>
    <t>延华智能</t>
  </si>
  <si>
    <t>1487万</t>
  </si>
  <si>
    <t>久联发展</t>
  </si>
  <si>
    <t>铜峰电子</t>
  </si>
  <si>
    <t>-2.33亿</t>
  </si>
  <si>
    <t>恒泰实达</t>
  </si>
  <si>
    <t>6170万</t>
  </si>
  <si>
    <t>4192万</t>
  </si>
  <si>
    <t>-5.58万</t>
  </si>
  <si>
    <t>科隆股份</t>
  </si>
  <si>
    <t>62.6万</t>
  </si>
  <si>
    <t>东方通</t>
  </si>
  <si>
    <t>6035万</t>
  </si>
  <si>
    <t>-3400万</t>
  </si>
  <si>
    <t>鼎捷软件</t>
  </si>
  <si>
    <t>通源石油</t>
  </si>
  <si>
    <t>吉峰农机</t>
  </si>
  <si>
    <t>46.8万</t>
  </si>
  <si>
    <t>-3.93亿</t>
  </si>
  <si>
    <t>714万</t>
  </si>
  <si>
    <t>南洋科技</t>
  </si>
  <si>
    <t>-54.7万</t>
  </si>
  <si>
    <t>2031万</t>
  </si>
  <si>
    <t>御银股份</t>
  </si>
  <si>
    <t>2968万</t>
  </si>
  <si>
    <t>深纺织Ａ</t>
  </si>
  <si>
    <t>562万</t>
  </si>
  <si>
    <t>-2665万</t>
  </si>
  <si>
    <t>哈投股份</t>
  </si>
  <si>
    <t>4783万</t>
  </si>
  <si>
    <t>中船防务</t>
  </si>
  <si>
    <t>-4.31亿</t>
  </si>
  <si>
    <t>2424万</t>
  </si>
  <si>
    <t>宏达股份</t>
  </si>
  <si>
    <t>5145万</t>
  </si>
  <si>
    <t>-3.49亿</t>
  </si>
  <si>
    <t>香江控股</t>
  </si>
  <si>
    <t>-1168万</t>
  </si>
  <si>
    <t>1901万</t>
  </si>
  <si>
    <t>航新科技</t>
  </si>
  <si>
    <t>7598万</t>
  </si>
  <si>
    <t>美亚柏科</t>
  </si>
  <si>
    <t>-198万</t>
  </si>
  <si>
    <t>4225万</t>
  </si>
  <si>
    <t>珠江啤酒</t>
  </si>
  <si>
    <t>2922万</t>
  </si>
  <si>
    <t>辉煌科技</t>
  </si>
  <si>
    <t>中远海特</t>
  </si>
  <si>
    <t>万隆光电</t>
  </si>
  <si>
    <t>97.8万</t>
  </si>
  <si>
    <t>2661万</t>
  </si>
  <si>
    <t>7839万</t>
  </si>
  <si>
    <t>科泰电源</t>
  </si>
  <si>
    <t>-386万</t>
  </si>
  <si>
    <t>264万</t>
  </si>
  <si>
    <t>盛运环保</t>
  </si>
  <si>
    <t>374万</t>
  </si>
  <si>
    <t>川恒股份</t>
  </si>
  <si>
    <t>福建金森</t>
  </si>
  <si>
    <t>2570万</t>
  </si>
  <si>
    <t>63.6万</t>
  </si>
  <si>
    <t>新筑股份</t>
  </si>
  <si>
    <t>南国置业</t>
  </si>
  <si>
    <t>5266万</t>
  </si>
  <si>
    <t>5356万</t>
  </si>
  <si>
    <t>大立科技</t>
  </si>
  <si>
    <t>5304万</t>
  </si>
  <si>
    <t>89.3万</t>
  </si>
  <si>
    <t>8947万</t>
  </si>
  <si>
    <t>安泰科技</t>
  </si>
  <si>
    <t>-68.1万</t>
  </si>
  <si>
    <t>华闻传媒</t>
  </si>
  <si>
    <t>4136万</t>
  </si>
  <si>
    <t>大千生态</t>
  </si>
  <si>
    <t>7132万</t>
  </si>
  <si>
    <t>9071万</t>
  </si>
  <si>
    <t>1666万</t>
  </si>
  <si>
    <t>山东华鹏</t>
  </si>
  <si>
    <t>9984万</t>
  </si>
  <si>
    <t>杭齿前进</t>
  </si>
  <si>
    <t>1569万</t>
  </si>
  <si>
    <t>东安动力</t>
  </si>
  <si>
    <t>7355万</t>
  </si>
  <si>
    <t>精研科技</t>
  </si>
  <si>
    <t>锦富技术</t>
  </si>
  <si>
    <t>-140万</t>
  </si>
  <si>
    <t>普邦股份</t>
  </si>
  <si>
    <t>威华股份</t>
  </si>
  <si>
    <t>-22.2万</t>
  </si>
  <si>
    <t>-8810万</t>
  </si>
  <si>
    <t>拓日新能</t>
  </si>
  <si>
    <t>国风塑业</t>
  </si>
  <si>
    <t>77.7万</t>
  </si>
  <si>
    <t>85.9万</t>
  </si>
  <si>
    <t>91.7万</t>
  </si>
  <si>
    <t>穗恒运Ａ</t>
  </si>
  <si>
    <t>1463万</t>
  </si>
  <si>
    <t>97.5亿</t>
  </si>
  <si>
    <t>七一二</t>
  </si>
  <si>
    <t>-11.9万</t>
  </si>
  <si>
    <t>6721万</t>
  </si>
  <si>
    <t>玉龙股份</t>
  </si>
  <si>
    <t>京能置业</t>
  </si>
  <si>
    <t>万东医疗</t>
  </si>
  <si>
    <t>2671万</t>
  </si>
  <si>
    <t>恒泰艾普</t>
  </si>
  <si>
    <t>-154万</t>
  </si>
  <si>
    <t>-680万</t>
  </si>
  <si>
    <t>7360万</t>
  </si>
  <si>
    <t>宝利国际</t>
  </si>
  <si>
    <t>-1336万</t>
  </si>
  <si>
    <t>-748万</t>
  </si>
  <si>
    <t>6748万</t>
  </si>
  <si>
    <t>3526万</t>
  </si>
  <si>
    <t>江南化工</t>
  </si>
  <si>
    <t>8.90万</t>
  </si>
  <si>
    <t>红 宝 丽</t>
  </si>
  <si>
    <t>湖南投资</t>
  </si>
  <si>
    <t>5669万</t>
  </si>
  <si>
    <t>-50.1万</t>
  </si>
  <si>
    <t>银龙股份</t>
  </si>
  <si>
    <t>好当家</t>
  </si>
  <si>
    <t>1043万</t>
  </si>
  <si>
    <t>广晟有色</t>
  </si>
  <si>
    <t>-29.9万</t>
  </si>
  <si>
    <t>-4.71亿</t>
  </si>
  <si>
    <t>南通锻压</t>
  </si>
  <si>
    <t>万达信息</t>
  </si>
  <si>
    <t>-72.5万</t>
  </si>
  <si>
    <t>天源迪科</t>
  </si>
  <si>
    <t>骅威文化</t>
  </si>
  <si>
    <t>3057万</t>
  </si>
  <si>
    <t>-53.6万</t>
  </si>
  <si>
    <t>8747万</t>
  </si>
  <si>
    <t>8860万</t>
  </si>
  <si>
    <t>四川九洲</t>
  </si>
  <si>
    <t>-32.4万</t>
  </si>
  <si>
    <t>三毛派神</t>
  </si>
  <si>
    <t>6579万</t>
  </si>
  <si>
    <t>-482万</t>
  </si>
  <si>
    <t>-2.44亿</t>
  </si>
  <si>
    <t>8831万</t>
  </si>
  <si>
    <t>中航飞机</t>
  </si>
  <si>
    <t>16.8万</t>
  </si>
  <si>
    <t>2701万</t>
  </si>
  <si>
    <t>精准信息</t>
  </si>
  <si>
    <t>17.2万</t>
  </si>
  <si>
    <t>华阳集团</t>
  </si>
  <si>
    <t>7310万</t>
  </si>
  <si>
    <t>-74.7万</t>
  </si>
  <si>
    <t>6102万</t>
  </si>
  <si>
    <t>金圆股份</t>
  </si>
  <si>
    <t>3.86万</t>
  </si>
  <si>
    <t>2779万</t>
  </si>
  <si>
    <t>2565万</t>
  </si>
  <si>
    <t>中储股份</t>
  </si>
  <si>
    <t>-1183万</t>
  </si>
  <si>
    <t>九有股份</t>
  </si>
  <si>
    <t>-1368万</t>
  </si>
  <si>
    <t>-8.98亿</t>
  </si>
  <si>
    <t>9672万</t>
  </si>
  <si>
    <t>海正药业</t>
  </si>
  <si>
    <t>3.40万</t>
  </si>
  <si>
    <t>光启技术</t>
  </si>
  <si>
    <t>9372万</t>
  </si>
  <si>
    <t>2050万</t>
  </si>
  <si>
    <t>75.5亿</t>
  </si>
  <si>
    <t>东方精工</t>
  </si>
  <si>
    <t>2725万</t>
  </si>
  <si>
    <t>合肥城建</t>
  </si>
  <si>
    <t>6626万</t>
  </si>
  <si>
    <t>德美化工</t>
  </si>
  <si>
    <t>渝 开 发</t>
  </si>
  <si>
    <t>471万</t>
  </si>
  <si>
    <t>航天动力</t>
  </si>
  <si>
    <t>9861万</t>
  </si>
  <si>
    <t>韩建河山</t>
  </si>
  <si>
    <t>1976万</t>
  </si>
  <si>
    <t>上海沪工</t>
  </si>
  <si>
    <t>96.7万</t>
  </si>
  <si>
    <t>亿晶光电</t>
  </si>
  <si>
    <t>长方集团</t>
  </si>
  <si>
    <t>1199万</t>
  </si>
  <si>
    <t>和顺电气</t>
  </si>
  <si>
    <t>725万</t>
  </si>
  <si>
    <t>8419万</t>
  </si>
  <si>
    <t>8536万</t>
  </si>
  <si>
    <t>伊戈尔</t>
  </si>
  <si>
    <t>龙泉股份</t>
  </si>
  <si>
    <t>三垒股份</t>
  </si>
  <si>
    <t>5751万</t>
  </si>
  <si>
    <t>证通电子</t>
  </si>
  <si>
    <t>24.7万</t>
  </si>
  <si>
    <t>-9.21万</t>
  </si>
  <si>
    <t>中航机电</t>
  </si>
  <si>
    <t>85.4亿</t>
  </si>
  <si>
    <t>秦川机床</t>
  </si>
  <si>
    <t>广东甘化</t>
  </si>
  <si>
    <t>-3.18亿</t>
  </si>
  <si>
    <t>4898万</t>
  </si>
  <si>
    <t>4885万</t>
  </si>
  <si>
    <t>12.8万</t>
  </si>
  <si>
    <t>神州高铁</t>
  </si>
  <si>
    <t>金麒麟</t>
  </si>
  <si>
    <t>45.4万</t>
  </si>
  <si>
    <t>西昌电力</t>
  </si>
  <si>
    <t>7619万</t>
  </si>
  <si>
    <t>太龙药业</t>
  </si>
  <si>
    <t>34.6万</t>
  </si>
  <si>
    <t>光电股份</t>
  </si>
  <si>
    <t>澄星股份</t>
  </si>
  <si>
    <t>冀凯股份</t>
  </si>
  <si>
    <t>9773万</t>
  </si>
  <si>
    <t>7561万</t>
  </si>
  <si>
    <t>毅昌股份</t>
  </si>
  <si>
    <t>-62.0万</t>
  </si>
  <si>
    <t>-5720万</t>
  </si>
  <si>
    <t>贤丰控股</t>
  </si>
  <si>
    <t>187万</t>
  </si>
  <si>
    <t>6265万</t>
  </si>
  <si>
    <t>苏宁易购</t>
  </si>
  <si>
    <t>1620亿</t>
  </si>
  <si>
    <t>935亿</t>
  </si>
  <si>
    <t>789亿</t>
  </si>
  <si>
    <t>天音控股</t>
  </si>
  <si>
    <t>天鹅股份</t>
  </si>
  <si>
    <t>3653万</t>
  </si>
  <si>
    <t>5135万</t>
  </si>
  <si>
    <t>21.2万</t>
  </si>
  <si>
    <t>89.1万</t>
  </si>
  <si>
    <t>飞天诚信</t>
  </si>
  <si>
    <t>212万</t>
  </si>
  <si>
    <t>华仁药业</t>
  </si>
  <si>
    <t>15.3万</t>
  </si>
  <si>
    <t>6650万</t>
  </si>
  <si>
    <t>劲胜智能</t>
  </si>
  <si>
    <t>2669万</t>
  </si>
  <si>
    <t>华斯股份</t>
  </si>
  <si>
    <t>-37.2万</t>
  </si>
  <si>
    <t>长城电工</t>
  </si>
  <si>
    <t>连云港</t>
  </si>
  <si>
    <t>3735万</t>
  </si>
  <si>
    <t>85.5万</t>
  </si>
  <si>
    <t>云煤能源</t>
  </si>
  <si>
    <t>-4.78亿</t>
  </si>
  <si>
    <t>华纺股份</t>
  </si>
  <si>
    <t>243万</t>
  </si>
  <si>
    <t>-2.28亿</t>
  </si>
  <si>
    <t>万通地产</t>
  </si>
  <si>
    <t>3435万</t>
  </si>
  <si>
    <t>-506万</t>
  </si>
  <si>
    <t>88.2亿</t>
  </si>
  <si>
    <t>5470万</t>
  </si>
  <si>
    <t>宁波联合</t>
  </si>
  <si>
    <t>2713万</t>
  </si>
  <si>
    <t>高伟达</t>
  </si>
  <si>
    <t>春兴精工</t>
  </si>
  <si>
    <t>-627万</t>
  </si>
  <si>
    <t>8096万</t>
  </si>
  <si>
    <t>华昌化工</t>
  </si>
  <si>
    <t>恒星科技</t>
  </si>
  <si>
    <t>黔轮胎Ａ</t>
  </si>
  <si>
    <t>南威软件</t>
  </si>
  <si>
    <t>5445万</t>
  </si>
  <si>
    <t>-247万</t>
  </si>
  <si>
    <t>-151万</t>
  </si>
  <si>
    <t>8779万</t>
  </si>
  <si>
    <t>中通国脉</t>
  </si>
  <si>
    <t>7950万</t>
  </si>
  <si>
    <t>57.0万</t>
  </si>
  <si>
    <t>华仪电气</t>
  </si>
  <si>
    <t>长江投资</t>
  </si>
  <si>
    <t>-39.4万</t>
  </si>
  <si>
    <t>64.7万</t>
  </si>
  <si>
    <t>中科信息</t>
  </si>
  <si>
    <t>-8.87万</t>
  </si>
  <si>
    <t>-25.0万</t>
  </si>
  <si>
    <t>56.3万</t>
  </si>
  <si>
    <t>万通智控</t>
  </si>
  <si>
    <t>7203万</t>
  </si>
  <si>
    <t>6131万</t>
  </si>
  <si>
    <t>69.5万</t>
  </si>
  <si>
    <t>45.5万</t>
  </si>
  <si>
    <t>9471万</t>
  </si>
  <si>
    <t>7111万</t>
  </si>
  <si>
    <t>6865万</t>
  </si>
  <si>
    <t>云南锗业</t>
  </si>
  <si>
    <t>启明信息</t>
  </si>
  <si>
    <t>6858万</t>
  </si>
  <si>
    <t>大智慧</t>
  </si>
  <si>
    <t>-18.7亿</t>
  </si>
  <si>
    <t>*ST正源</t>
  </si>
  <si>
    <t>87.0万</t>
  </si>
  <si>
    <t>江泉实业</t>
  </si>
  <si>
    <t>5700万</t>
  </si>
  <si>
    <t>77.0万</t>
  </si>
  <si>
    <t>-3.24亿</t>
  </si>
  <si>
    <t>中矿资源</t>
  </si>
  <si>
    <t>67.0万</t>
  </si>
  <si>
    <t>东方海洋</t>
  </si>
  <si>
    <t>深华发Ａ</t>
  </si>
  <si>
    <t>-4.51万</t>
  </si>
  <si>
    <t>30.7万</t>
  </si>
  <si>
    <t>-1.86亿</t>
  </si>
  <si>
    <t>6.44万</t>
  </si>
  <si>
    <t>秦安股份</t>
  </si>
  <si>
    <t>广电电气</t>
  </si>
  <si>
    <t>1855万</t>
  </si>
  <si>
    <t>-1736万</t>
  </si>
  <si>
    <t>1602万</t>
  </si>
  <si>
    <t>综艺股份</t>
  </si>
  <si>
    <t>-7558万</t>
  </si>
  <si>
    <t>ST新梅</t>
  </si>
  <si>
    <t>-245万</t>
  </si>
  <si>
    <t>53.9万</t>
  </si>
  <si>
    <t>38.4万</t>
  </si>
  <si>
    <t>-3706万</t>
  </si>
  <si>
    <t>科大国创</t>
  </si>
  <si>
    <t>91.3万</t>
  </si>
  <si>
    <t>1324万</t>
  </si>
  <si>
    <t>拓尔思</t>
  </si>
  <si>
    <t>61.7万</t>
  </si>
  <si>
    <t>雪人股份</t>
  </si>
  <si>
    <t>393万</t>
  </si>
  <si>
    <t>棕榈股份</t>
  </si>
  <si>
    <t>7130万</t>
  </si>
  <si>
    <t>宏创控股</t>
  </si>
  <si>
    <t>95.5万</t>
  </si>
  <si>
    <t>-2.58亿</t>
  </si>
  <si>
    <t>东方园林</t>
  </si>
  <si>
    <t>-54.3万</t>
  </si>
  <si>
    <t>北斗星通</t>
  </si>
  <si>
    <t>1420万</t>
  </si>
  <si>
    <t>梅雁吉祥</t>
  </si>
  <si>
    <t>3932万</t>
  </si>
  <si>
    <t>-6389万</t>
  </si>
  <si>
    <t>7026万</t>
  </si>
  <si>
    <t>航天晨光</t>
  </si>
  <si>
    <t>-295万</t>
  </si>
  <si>
    <t>有研新材</t>
  </si>
  <si>
    <t>天铁股份</t>
  </si>
  <si>
    <t>8265万</t>
  </si>
  <si>
    <t>比亚迪</t>
  </si>
  <si>
    <t>-337万</t>
  </si>
  <si>
    <t>1821亿</t>
  </si>
  <si>
    <t>1046亿</t>
  </si>
  <si>
    <t>1219亿</t>
  </si>
  <si>
    <t>1117亿</t>
  </si>
  <si>
    <t>550亿</t>
  </si>
  <si>
    <t>华联股份</t>
  </si>
  <si>
    <t>7354万</t>
  </si>
  <si>
    <t>太原重工</t>
  </si>
  <si>
    <t>996万</t>
  </si>
  <si>
    <t>-3.56亿</t>
  </si>
  <si>
    <t>初灵信息</t>
  </si>
  <si>
    <t>拓维信息</t>
  </si>
  <si>
    <t>金桥信息</t>
  </si>
  <si>
    <t>58.4万</t>
  </si>
  <si>
    <t>6256万</t>
  </si>
  <si>
    <t>清源股份</t>
  </si>
  <si>
    <t>8880万</t>
  </si>
  <si>
    <t>90.8万</t>
  </si>
  <si>
    <t>长电科技</t>
  </si>
  <si>
    <t>北信源</t>
  </si>
  <si>
    <t>8647万</t>
  </si>
  <si>
    <t>7.41万</t>
  </si>
  <si>
    <t>雷曼股份</t>
  </si>
  <si>
    <t>-155万</t>
  </si>
  <si>
    <t>48.8万</t>
  </si>
  <si>
    <t>69.7万</t>
  </si>
  <si>
    <t>西部材料</t>
  </si>
  <si>
    <t>-412万</t>
  </si>
  <si>
    <t>-293万</t>
  </si>
  <si>
    <t>4058万</t>
  </si>
  <si>
    <t>新乡化纤</t>
  </si>
  <si>
    <t>24.1万</t>
  </si>
  <si>
    <t>农 产 品</t>
  </si>
  <si>
    <t>4407万</t>
  </si>
  <si>
    <t>4447万</t>
  </si>
  <si>
    <t>新日恒力</t>
  </si>
  <si>
    <t>-50.4万</t>
  </si>
  <si>
    <t>48.6万</t>
  </si>
  <si>
    <t>-1.90亿</t>
  </si>
  <si>
    <t>67.9万</t>
  </si>
  <si>
    <t>同大股份</t>
  </si>
  <si>
    <t>8274万</t>
  </si>
  <si>
    <t>6.99万</t>
  </si>
  <si>
    <t>33.1万</t>
  </si>
  <si>
    <t>28.7万</t>
  </si>
  <si>
    <t>高德红外</t>
  </si>
  <si>
    <t>35.3万</t>
  </si>
  <si>
    <t>94.4万</t>
  </si>
  <si>
    <t>8306万</t>
  </si>
  <si>
    <t>内蒙华电</t>
  </si>
  <si>
    <t>9809万</t>
  </si>
  <si>
    <t>-2313万</t>
  </si>
  <si>
    <t>424亿</t>
  </si>
  <si>
    <t>德新交运</t>
  </si>
  <si>
    <t>3231万</t>
  </si>
  <si>
    <t>15.9万</t>
  </si>
  <si>
    <t>4283万</t>
  </si>
  <si>
    <t>3719万</t>
  </si>
  <si>
    <t>太平洋</t>
  </si>
  <si>
    <t>4474万</t>
  </si>
  <si>
    <t>市北高新</t>
  </si>
  <si>
    <t>1312万</t>
  </si>
  <si>
    <t>1326万</t>
  </si>
  <si>
    <t>中通客车</t>
  </si>
  <si>
    <t>众合科技</t>
  </si>
  <si>
    <t>2041万</t>
  </si>
  <si>
    <t>94.8万</t>
  </si>
  <si>
    <t>-1.06亿</t>
  </si>
  <si>
    <t>厦门信达</t>
  </si>
  <si>
    <t>襄阳轴承</t>
  </si>
  <si>
    <t>43.2万</t>
  </si>
  <si>
    <t>-5771万</t>
  </si>
  <si>
    <t>红宇新材</t>
  </si>
  <si>
    <t>3159万</t>
  </si>
  <si>
    <t>-7.18万</t>
  </si>
  <si>
    <t>-16.9万</t>
  </si>
  <si>
    <t>1742万</t>
  </si>
  <si>
    <t>群兴玩具</t>
  </si>
  <si>
    <t>27.9万</t>
  </si>
  <si>
    <t>465万</t>
  </si>
  <si>
    <t>德豪润达</t>
  </si>
  <si>
    <t>-3.11亿</t>
  </si>
  <si>
    <t>金刚玻璃</t>
  </si>
  <si>
    <t>67.4万</t>
  </si>
  <si>
    <t>共进股份</t>
  </si>
  <si>
    <t>97.5万</t>
  </si>
  <si>
    <t>中信重工</t>
  </si>
  <si>
    <t>-1684万</t>
  </si>
  <si>
    <t>中毅达</t>
  </si>
  <si>
    <t>-46.0万</t>
  </si>
  <si>
    <t>2914万</t>
  </si>
  <si>
    <t>-2.90亿</t>
  </si>
  <si>
    <t>5192万</t>
  </si>
  <si>
    <t>国发股份</t>
  </si>
  <si>
    <t>37.0万</t>
  </si>
  <si>
    <t>-4.26亿</t>
  </si>
  <si>
    <t>高鸿股份</t>
  </si>
  <si>
    <t>6.43万</t>
  </si>
  <si>
    <t>74.9万</t>
  </si>
  <si>
    <t>泰山石油</t>
  </si>
  <si>
    <t>-20.1万</t>
  </si>
  <si>
    <t>粤电力Ａ</t>
  </si>
  <si>
    <t>413亿</t>
  </si>
  <si>
    <t>梦舟股份</t>
  </si>
  <si>
    <t>49.8万</t>
  </si>
  <si>
    <t>林海股份</t>
  </si>
  <si>
    <t>46.2万</t>
  </si>
  <si>
    <t>2361万</t>
  </si>
  <si>
    <t>亿嘉和</t>
  </si>
  <si>
    <t>3540万</t>
  </si>
  <si>
    <t>4040万</t>
  </si>
  <si>
    <t>芯能科技</t>
  </si>
  <si>
    <t>63.1万</t>
  </si>
  <si>
    <t>8809万</t>
  </si>
  <si>
    <t>中国北车</t>
  </si>
  <si>
    <t>3.14万</t>
  </si>
  <si>
    <t>6395万</t>
  </si>
  <si>
    <t>1415亿</t>
  </si>
  <si>
    <t>897亿</t>
  </si>
  <si>
    <t>96.0亿</t>
  </si>
  <si>
    <t>498亿</t>
  </si>
  <si>
    <t>*ST二重</t>
  </si>
  <si>
    <t>3.20万</t>
  </si>
  <si>
    <t>-3.00亿</t>
  </si>
  <si>
    <t>-4.71万</t>
  </si>
  <si>
    <t>-136亿</t>
  </si>
  <si>
    <t>-63.7亿</t>
  </si>
  <si>
    <t>工业富联</t>
  </si>
  <si>
    <t>777亿</t>
  </si>
  <si>
    <t>1226亿</t>
  </si>
  <si>
    <t>1038亿</t>
  </si>
  <si>
    <t>1037亿</t>
  </si>
  <si>
    <t>9356万</t>
  </si>
  <si>
    <t>中信建投</t>
  </si>
  <si>
    <t>2168亿</t>
  </si>
  <si>
    <t>1716亿</t>
  </si>
  <si>
    <t>449亿</t>
  </si>
  <si>
    <t>广汽长丰</t>
  </si>
  <si>
    <t>*ST信联</t>
  </si>
  <si>
    <t>*ST北科</t>
  </si>
  <si>
    <t>ST嘉陵</t>
  </si>
  <si>
    <t>-1.40亿</t>
  </si>
  <si>
    <t>-1.12亿</t>
  </si>
  <si>
    <t>*ST中川</t>
  </si>
  <si>
    <t>上药转换</t>
  </si>
  <si>
    <t>中西药业</t>
  </si>
  <si>
    <t>新湖创业</t>
  </si>
  <si>
    <t>ST鞍一工</t>
  </si>
  <si>
    <t>*ST龙科</t>
  </si>
  <si>
    <t>*ST达曼</t>
  </si>
  <si>
    <t>东方锅炉</t>
  </si>
  <si>
    <t>S*ST龙昌</t>
  </si>
  <si>
    <t>S*ST金荔</t>
  </si>
  <si>
    <t>*ST哈慈</t>
  </si>
  <si>
    <t>ST生态</t>
  </si>
  <si>
    <t>*ST数码</t>
  </si>
  <si>
    <t>*ST华圣</t>
  </si>
  <si>
    <t>*ST斯达</t>
  </si>
  <si>
    <t>*ST鞍成</t>
  </si>
  <si>
    <t>*ST花雕</t>
  </si>
  <si>
    <t>退市博元</t>
  </si>
  <si>
    <t>-489万</t>
  </si>
  <si>
    <t>-540万</t>
  </si>
  <si>
    <t>-8.02亿</t>
  </si>
  <si>
    <t>8.79万</t>
  </si>
  <si>
    <t>ST国嘉</t>
  </si>
  <si>
    <t>华联商厦</t>
  </si>
  <si>
    <t>上电股份</t>
  </si>
  <si>
    <t>PT水仙</t>
  </si>
  <si>
    <t>上实医药</t>
  </si>
  <si>
    <t>*ST上航</t>
  </si>
  <si>
    <t>太行水泥</t>
  </si>
  <si>
    <t>包头铝业</t>
  </si>
  <si>
    <t>承德钒钛</t>
  </si>
  <si>
    <t>富通昭和</t>
  </si>
  <si>
    <t>1405万</t>
  </si>
  <si>
    <t>6849万</t>
  </si>
  <si>
    <t>5386万</t>
  </si>
  <si>
    <t>荣华实业</t>
  </si>
  <si>
    <t>21.7万</t>
  </si>
  <si>
    <t>20.2万</t>
  </si>
  <si>
    <t>-1.08亿</t>
  </si>
  <si>
    <t>S兰铝</t>
  </si>
  <si>
    <t>S*ST国瓷</t>
  </si>
  <si>
    <t>路桥建设</t>
  </si>
  <si>
    <t>天方药业</t>
  </si>
  <si>
    <t>S山东铝</t>
  </si>
  <si>
    <t>*ST大唐</t>
  </si>
  <si>
    <t>-1.56亿</t>
  </si>
  <si>
    <t>4866万</t>
  </si>
  <si>
    <t>-1.53亿</t>
  </si>
  <si>
    <t>-51.4亿</t>
  </si>
  <si>
    <t>81.6亿</t>
  </si>
  <si>
    <t>-5.35亿</t>
  </si>
  <si>
    <t>S*ST云大</t>
  </si>
  <si>
    <t>莱钢股份</t>
  </si>
  <si>
    <t>S*ST精密</t>
  </si>
  <si>
    <t>退市长油</t>
  </si>
  <si>
    <t>*ST保千</t>
  </si>
  <si>
    <t>-1.19亿</t>
  </si>
  <si>
    <t>-1.17亿</t>
  </si>
  <si>
    <t>-34.8亿</t>
  </si>
  <si>
    <t>*ST联谊</t>
  </si>
  <si>
    <t>武钢股份</t>
  </si>
  <si>
    <t>429亿</t>
  </si>
  <si>
    <t>-1.65亿</t>
  </si>
  <si>
    <t>967亿</t>
  </si>
  <si>
    <t>676亿</t>
  </si>
  <si>
    <t>ST东北高</t>
  </si>
  <si>
    <t>齐鲁石化</t>
  </si>
  <si>
    <t>邯郸钢铁</t>
  </si>
  <si>
    <t>聚隆科技</t>
  </si>
  <si>
    <t>63.0万</t>
  </si>
  <si>
    <t>78.0万</t>
  </si>
  <si>
    <t>-3.31万</t>
  </si>
  <si>
    <t>8314万</t>
  </si>
  <si>
    <t>欣泰退</t>
  </si>
  <si>
    <t>-3536万</t>
  </si>
  <si>
    <t>16.0万</t>
  </si>
  <si>
    <t>-3598万</t>
  </si>
  <si>
    <t>-3440万</t>
  </si>
  <si>
    <t>雅本化学</t>
  </si>
  <si>
    <t>4.84万</t>
  </si>
  <si>
    <t>4330万</t>
  </si>
  <si>
    <t>大华农</t>
  </si>
  <si>
    <t>胜景山河</t>
  </si>
  <si>
    <t>5100万</t>
  </si>
  <si>
    <t>3196万</t>
  </si>
  <si>
    <t>7969万</t>
  </si>
  <si>
    <t>6099万</t>
  </si>
  <si>
    <t>8696万</t>
  </si>
  <si>
    <t>高乐股份</t>
  </si>
  <si>
    <t>36.4万</t>
  </si>
  <si>
    <t>*ST皇台</t>
  </si>
  <si>
    <t>-1308万</t>
  </si>
  <si>
    <t>-6.45亿</t>
  </si>
  <si>
    <t>8775万</t>
  </si>
  <si>
    <t>6596万</t>
  </si>
  <si>
    <t>4613万</t>
  </si>
  <si>
    <t>通海高科</t>
  </si>
  <si>
    <t>7716万</t>
  </si>
  <si>
    <t>中原油气</t>
  </si>
  <si>
    <t>ST河化</t>
  </si>
  <si>
    <t>-3923万</t>
  </si>
  <si>
    <t>-3920万</t>
  </si>
  <si>
    <t>-3945万</t>
  </si>
  <si>
    <t>-4.75亿</t>
  </si>
  <si>
    <t>华北高速</t>
  </si>
  <si>
    <t>扬子石化</t>
  </si>
  <si>
    <t>*ST龙涤</t>
  </si>
  <si>
    <t>*ST长兴</t>
  </si>
  <si>
    <t>辽河油田</t>
  </si>
  <si>
    <t>*ST炎黄</t>
  </si>
  <si>
    <t>*ST创智</t>
  </si>
  <si>
    <t>*ST大菲</t>
  </si>
  <si>
    <t>*ST华信</t>
  </si>
  <si>
    <t>锦州石化</t>
  </si>
  <si>
    <t>长城信息</t>
  </si>
  <si>
    <t>7006万</t>
  </si>
  <si>
    <t>6094万</t>
  </si>
  <si>
    <t>9187万</t>
  </si>
  <si>
    <t>*ST南风</t>
  </si>
  <si>
    <t>-4188万</t>
  </si>
  <si>
    <t>-4214万</t>
  </si>
  <si>
    <t>-4479万</t>
  </si>
  <si>
    <t>-15.6亿</t>
  </si>
  <si>
    <t>-2.96亿</t>
  </si>
  <si>
    <t>*ST环保</t>
  </si>
  <si>
    <t>S*ST佳纸</t>
  </si>
  <si>
    <t>ST宏业</t>
  </si>
  <si>
    <t>ST银山</t>
  </si>
  <si>
    <t>*ST南华</t>
  </si>
  <si>
    <t>ST海洋</t>
  </si>
  <si>
    <t>ST九州</t>
  </si>
  <si>
    <t>*ST比特</t>
  </si>
  <si>
    <t>吉林化工</t>
  </si>
  <si>
    <t>金马集团</t>
  </si>
  <si>
    <t>国恒退</t>
  </si>
  <si>
    <t>-1115万</t>
  </si>
  <si>
    <t>-1113万</t>
  </si>
  <si>
    <t>-985万</t>
  </si>
  <si>
    <t>-2.81亿</t>
  </si>
  <si>
    <t>PT粤金曼</t>
  </si>
  <si>
    <t>S*ST托普</t>
  </si>
  <si>
    <t>盐湖集团</t>
  </si>
  <si>
    <t>长城股份</t>
  </si>
  <si>
    <t>宏源证券</t>
  </si>
  <si>
    <t>PT南洋</t>
  </si>
  <si>
    <t>S湘火炬</t>
  </si>
  <si>
    <t>TCL通讯</t>
  </si>
  <si>
    <t>*ST猴王</t>
  </si>
  <si>
    <t>美的电器</t>
  </si>
  <si>
    <t>白云山A</t>
  </si>
  <si>
    <t>攀渝钛业</t>
  </si>
  <si>
    <t>琼民源A</t>
  </si>
  <si>
    <t>ST五环</t>
  </si>
  <si>
    <t>石油大明</t>
  </si>
  <si>
    <t>ST鑫光</t>
  </si>
  <si>
    <t>ST中侨</t>
  </si>
  <si>
    <t>新都退</t>
  </si>
  <si>
    <t>78.8万</t>
  </si>
  <si>
    <t>88.8万</t>
  </si>
  <si>
    <t>-5.55亿</t>
  </si>
  <si>
    <t>25.7万</t>
  </si>
  <si>
    <t>招商地产</t>
  </si>
  <si>
    <t>1814亿</t>
  </si>
  <si>
    <t>1332亿</t>
  </si>
  <si>
    <t>911亿</t>
  </si>
  <si>
    <t>PT中浩A</t>
  </si>
  <si>
    <t>*ST石化A</t>
  </si>
  <si>
    <t>PT金田A</t>
  </si>
  <si>
    <t>*ST蓝科</t>
  </si>
  <si>
    <t>-1750万</t>
  </si>
  <si>
    <t>10.7万</t>
  </si>
  <si>
    <t>-1732万</t>
  </si>
  <si>
    <t>-1738万</t>
  </si>
  <si>
    <t>华远地产</t>
  </si>
  <si>
    <t>4.10万</t>
  </si>
  <si>
    <t>-41.6万</t>
  </si>
  <si>
    <t>南宁百货</t>
  </si>
  <si>
    <t>99.3万</t>
  </si>
  <si>
    <t>-12.4万</t>
  </si>
  <si>
    <t>9524万</t>
  </si>
  <si>
    <t>杭州高新</t>
  </si>
  <si>
    <t>4726万</t>
  </si>
  <si>
    <t>-287万</t>
  </si>
  <si>
    <t>-133万</t>
  </si>
  <si>
    <t>-138万</t>
  </si>
  <si>
    <t>7864万</t>
  </si>
  <si>
    <t>英飞拓</t>
  </si>
  <si>
    <t>-77.7万</t>
  </si>
  <si>
    <t>-73.8万</t>
  </si>
  <si>
    <t>华虹计通</t>
  </si>
  <si>
    <t>-23.0万</t>
  </si>
  <si>
    <t>-18.2万</t>
  </si>
  <si>
    <t>北部湾旅</t>
  </si>
  <si>
    <t>-792万</t>
  </si>
  <si>
    <t>-76.7万</t>
  </si>
  <si>
    <t>-781万</t>
  </si>
  <si>
    <t>国中水务</t>
  </si>
  <si>
    <t>-222万</t>
  </si>
  <si>
    <t>-168万</t>
  </si>
  <si>
    <t>-221万</t>
  </si>
  <si>
    <t>-2.48亿</t>
  </si>
  <si>
    <t>日海通讯</t>
  </si>
  <si>
    <t>-859万</t>
  </si>
  <si>
    <t>-191万</t>
  </si>
  <si>
    <t>富瑞特装</t>
  </si>
  <si>
    <t>-43.7万</t>
  </si>
  <si>
    <t>-49.4万</t>
  </si>
  <si>
    <t>汇纳科技</t>
  </si>
  <si>
    <t>5288万</t>
  </si>
  <si>
    <t>2417万</t>
  </si>
  <si>
    <t>-46.8万</t>
  </si>
  <si>
    <t>33.4万</t>
  </si>
  <si>
    <t>5668万</t>
  </si>
  <si>
    <t>鼎汉技术</t>
  </si>
  <si>
    <t>-14.9万</t>
  </si>
  <si>
    <t>342万</t>
  </si>
  <si>
    <t>-194万</t>
  </si>
  <si>
    <t>平庄能源</t>
  </si>
  <si>
    <t>-665万</t>
  </si>
  <si>
    <t>-663万</t>
  </si>
  <si>
    <t>粤 传 媒</t>
  </si>
  <si>
    <t>-384万</t>
  </si>
  <si>
    <t>2204万</t>
  </si>
  <si>
    <t>-465万</t>
  </si>
  <si>
    <t>-387万</t>
  </si>
  <si>
    <t>长春经开</t>
  </si>
  <si>
    <t>-256万</t>
  </si>
  <si>
    <t>-255万</t>
  </si>
  <si>
    <t>中国科传</t>
  </si>
  <si>
    <t>-722万</t>
  </si>
  <si>
    <t>-725万</t>
  </si>
  <si>
    <t>-357万</t>
  </si>
  <si>
    <t>道森股份</t>
  </si>
  <si>
    <t>-25.6万</t>
  </si>
  <si>
    <t>宝钢包装</t>
  </si>
  <si>
    <t>-263万</t>
  </si>
  <si>
    <t>彩虹股份</t>
  </si>
  <si>
    <t>-3197万</t>
  </si>
  <si>
    <t>-2726万</t>
  </si>
  <si>
    <t>-39.9亿</t>
  </si>
  <si>
    <t>北化股份</t>
  </si>
  <si>
    <t>-628万</t>
  </si>
  <si>
    <t>42.1万</t>
  </si>
  <si>
    <t>-442万</t>
  </si>
  <si>
    <t>开尔新材</t>
  </si>
  <si>
    <t>4642万</t>
  </si>
  <si>
    <t>-157万</t>
  </si>
  <si>
    <t>-159万</t>
  </si>
  <si>
    <t>-144万</t>
  </si>
  <si>
    <t>津膜科技</t>
  </si>
  <si>
    <t>-172万</t>
  </si>
  <si>
    <t>66.0万</t>
  </si>
  <si>
    <t>-87.8万</t>
  </si>
  <si>
    <t>-242万</t>
  </si>
  <si>
    <t>桂林旅游</t>
  </si>
  <si>
    <t>-302万</t>
  </si>
  <si>
    <t>*ST宜化</t>
  </si>
  <si>
    <t>-4.13亿</t>
  </si>
  <si>
    <t>-3.88亿</t>
  </si>
  <si>
    <t>-38.6亿</t>
  </si>
  <si>
    <t>平潭发展</t>
  </si>
  <si>
    <t>-906万</t>
  </si>
  <si>
    <t>-780万</t>
  </si>
  <si>
    <t>-500万</t>
  </si>
  <si>
    <t>-2.30亿</t>
  </si>
  <si>
    <t>株冶集团</t>
  </si>
  <si>
    <t>-3092万</t>
  </si>
  <si>
    <t>1453万</t>
  </si>
  <si>
    <t>-3089万</t>
  </si>
  <si>
    <t>-3213万</t>
  </si>
  <si>
    <t>-13.1亿</t>
  </si>
  <si>
    <t>天宸股份</t>
  </si>
  <si>
    <t>-427万</t>
  </si>
  <si>
    <t>5584万</t>
  </si>
  <si>
    <t>硅宝科技</t>
  </si>
  <si>
    <t>-15.0万</t>
  </si>
  <si>
    <t>9.40万</t>
  </si>
  <si>
    <t>-9.94万</t>
  </si>
  <si>
    <t>6634万</t>
  </si>
  <si>
    <t>4948万</t>
  </si>
  <si>
    <t>思源电气</t>
  </si>
  <si>
    <t>-2526万</t>
  </si>
  <si>
    <t>-1883万</t>
  </si>
  <si>
    <t>-754万</t>
  </si>
  <si>
    <t>3814万</t>
  </si>
  <si>
    <t>6404万</t>
  </si>
  <si>
    <t>中油工程</t>
  </si>
  <si>
    <t>9754万</t>
  </si>
  <si>
    <t>-2934万</t>
  </si>
  <si>
    <t>927亿</t>
  </si>
  <si>
    <t>841亿</t>
  </si>
  <si>
    <t>683亿</t>
  </si>
  <si>
    <t>*ST新亿</t>
  </si>
  <si>
    <t>-24.2亿</t>
  </si>
  <si>
    <t>恒天海龙</t>
  </si>
  <si>
    <t>-2.10万</t>
  </si>
  <si>
    <t>-48.4万</t>
  </si>
  <si>
    <t>3909万</t>
  </si>
  <si>
    <t>建设机械</t>
  </si>
  <si>
    <t>-615万</t>
  </si>
  <si>
    <t>星网锐捷</t>
  </si>
  <si>
    <t>-4344万</t>
  </si>
  <si>
    <t>-4295万</t>
  </si>
  <si>
    <t>-668万</t>
  </si>
  <si>
    <t>南洋股份</t>
  </si>
  <si>
    <t>-2106万</t>
  </si>
  <si>
    <t>-2021万</t>
  </si>
  <si>
    <t>-1692万</t>
  </si>
  <si>
    <t>深深房Ａ</t>
  </si>
  <si>
    <t>-957万</t>
  </si>
  <si>
    <t>-917万</t>
  </si>
  <si>
    <t>-598万</t>
  </si>
  <si>
    <t>2869万</t>
  </si>
  <si>
    <t>航发动力</t>
  </si>
  <si>
    <t>-4267万</t>
  </si>
  <si>
    <t>-3211万</t>
  </si>
  <si>
    <t>-5770万</t>
  </si>
  <si>
    <t>519亿</t>
  </si>
  <si>
    <t>-37.4亿</t>
  </si>
  <si>
    <t>金龙汽车</t>
  </si>
  <si>
    <t>-1872万</t>
  </si>
  <si>
    <t>-2088万</t>
  </si>
  <si>
    <t>两面针</t>
  </si>
  <si>
    <t>-586万</t>
  </si>
  <si>
    <t>-423万</t>
  </si>
  <si>
    <t>天山股份</t>
  </si>
  <si>
    <t>-1708万</t>
  </si>
  <si>
    <t>宝钛股份</t>
  </si>
  <si>
    <t>博通股份</t>
  </si>
  <si>
    <t>6246万</t>
  </si>
  <si>
    <t>9.54万</t>
  </si>
  <si>
    <t>-30.8万</t>
  </si>
  <si>
    <t>-8714万</t>
  </si>
  <si>
    <t>首航节能</t>
  </si>
  <si>
    <t>3.78万</t>
  </si>
  <si>
    <t>4648万</t>
  </si>
  <si>
    <t>-1878万</t>
  </si>
  <si>
    <t>26.7万</t>
  </si>
  <si>
    <t>-1845万</t>
  </si>
  <si>
    <t>-1758万</t>
  </si>
  <si>
    <t>特 尔 佳</t>
  </si>
  <si>
    <t>-132万</t>
  </si>
  <si>
    <t>-76.1万</t>
  </si>
  <si>
    <t>-87.7万</t>
  </si>
  <si>
    <t>6130万</t>
  </si>
  <si>
    <t>77.2万</t>
  </si>
  <si>
    <t>晨曦航空</t>
  </si>
  <si>
    <t>87.2万</t>
  </si>
  <si>
    <t>434万</t>
  </si>
  <si>
    <t>航天科技</t>
  </si>
  <si>
    <t>82.6万</t>
  </si>
  <si>
    <t>-1046万</t>
  </si>
  <si>
    <t>迪威迅</t>
  </si>
  <si>
    <t>5895万</t>
  </si>
  <si>
    <t>-3.71万</t>
  </si>
  <si>
    <t>-3.88万</t>
  </si>
  <si>
    <t>-208万</t>
  </si>
  <si>
    <t>8103万</t>
  </si>
  <si>
    <t>亚星锚链</t>
  </si>
  <si>
    <t>-1381万</t>
  </si>
  <si>
    <t>-1297万</t>
  </si>
  <si>
    <t>-866万</t>
  </si>
  <si>
    <t>7682万</t>
  </si>
  <si>
    <t>*ST东南</t>
  </si>
  <si>
    <t>-681万</t>
  </si>
  <si>
    <t>-647万</t>
  </si>
  <si>
    <t>-646万</t>
  </si>
  <si>
    <t>中航沈飞</t>
  </si>
  <si>
    <t>-1918万</t>
  </si>
  <si>
    <t>-2426万</t>
  </si>
  <si>
    <t>-1905万</t>
  </si>
  <si>
    <t>-2229万</t>
  </si>
  <si>
    <t>-3.85亿</t>
  </si>
  <si>
    <t>中远海能</t>
  </si>
  <si>
    <t>-3960万</t>
  </si>
  <si>
    <t>-3903万</t>
  </si>
  <si>
    <t>-8488万</t>
  </si>
  <si>
    <t>591亿</t>
  </si>
  <si>
    <t>新易盛</t>
  </si>
  <si>
    <t>-424万</t>
  </si>
  <si>
    <t>36.1万</t>
  </si>
  <si>
    <t>-422万</t>
  </si>
  <si>
    <t>-364万</t>
  </si>
  <si>
    <t>高新发展</t>
  </si>
  <si>
    <t>4.85万</t>
  </si>
  <si>
    <t>-32.6万</t>
  </si>
  <si>
    <t>-246万</t>
  </si>
  <si>
    <t>通合科技</t>
  </si>
  <si>
    <t>-148万</t>
  </si>
  <si>
    <t>大连港</t>
  </si>
  <si>
    <t>-5149万</t>
  </si>
  <si>
    <t>-4339万</t>
  </si>
  <si>
    <t>-6273万</t>
  </si>
  <si>
    <t>安居宝</t>
  </si>
  <si>
    <t>9299万</t>
  </si>
  <si>
    <t>-579万</t>
  </si>
  <si>
    <t>-403万</t>
  </si>
  <si>
    <t>2960万</t>
  </si>
  <si>
    <t>*ST东凌</t>
  </si>
  <si>
    <t>8574万</t>
  </si>
  <si>
    <t>-26.6亿</t>
  </si>
  <si>
    <t>泰达股份</t>
  </si>
  <si>
    <t>-2697万</t>
  </si>
  <si>
    <t>2854万</t>
  </si>
  <si>
    <t>-2625万</t>
  </si>
  <si>
    <t>-1310万</t>
  </si>
  <si>
    <t>天域生态</t>
  </si>
  <si>
    <t>3.15万</t>
  </si>
  <si>
    <t>-330万</t>
  </si>
  <si>
    <t>6957万</t>
  </si>
  <si>
    <t>平高电气</t>
  </si>
  <si>
    <t>-2802万</t>
  </si>
  <si>
    <t>-2721万</t>
  </si>
  <si>
    <t>-3198万</t>
  </si>
  <si>
    <t>97.7亿</t>
  </si>
  <si>
    <t>3293万</t>
  </si>
  <si>
    <t>神开股份</t>
  </si>
  <si>
    <t>55.6万</t>
  </si>
  <si>
    <t>-308万</t>
  </si>
  <si>
    <t>-385万</t>
  </si>
  <si>
    <t>常山北明</t>
  </si>
  <si>
    <t>-2312万</t>
  </si>
  <si>
    <t>-2169万</t>
  </si>
  <si>
    <t>栖霞建设</t>
  </si>
  <si>
    <t>-1871万</t>
  </si>
  <si>
    <t>-1964万</t>
  </si>
  <si>
    <t>-1246万</t>
  </si>
  <si>
    <t>晋西车轴</t>
  </si>
  <si>
    <t>-1108万</t>
  </si>
  <si>
    <t>-1087万</t>
  </si>
  <si>
    <t>-1197万</t>
  </si>
  <si>
    <t>集泰股份</t>
  </si>
  <si>
    <t>39.1万</t>
  </si>
  <si>
    <t>-186万</t>
  </si>
  <si>
    <t>9795万</t>
  </si>
  <si>
    <t>浙江世宝</t>
  </si>
  <si>
    <t>-555万</t>
  </si>
  <si>
    <t>5856万</t>
  </si>
  <si>
    <t>海航科技</t>
  </si>
  <si>
    <t>-1073万</t>
  </si>
  <si>
    <t>-5150万</t>
  </si>
  <si>
    <t>8585万</t>
  </si>
  <si>
    <t>1124亿</t>
  </si>
  <si>
    <t>821亿</t>
  </si>
  <si>
    <t>947亿</t>
  </si>
  <si>
    <t>香梨股份</t>
  </si>
  <si>
    <t>-107万</t>
  </si>
  <si>
    <t>-1.30亿</t>
  </si>
  <si>
    <t>2942万</t>
  </si>
  <si>
    <t>1104万</t>
  </si>
  <si>
    <t>新五丰</t>
  </si>
  <si>
    <t>-475万</t>
  </si>
  <si>
    <t>-474万</t>
  </si>
  <si>
    <t>湖南天雁</t>
  </si>
  <si>
    <t>-281万</t>
  </si>
  <si>
    <t>-215万</t>
  </si>
  <si>
    <t>-8.55亿</t>
  </si>
  <si>
    <t>5922万</t>
  </si>
  <si>
    <t>航天通信</t>
  </si>
  <si>
    <t>1391万</t>
  </si>
  <si>
    <t>-301万</t>
  </si>
  <si>
    <t>-1298万</t>
  </si>
  <si>
    <t>维科技术</t>
  </si>
  <si>
    <t>-595万</t>
  </si>
  <si>
    <t>-550万</t>
  </si>
  <si>
    <t>-558万</t>
  </si>
  <si>
    <t>6293万</t>
  </si>
  <si>
    <t>天晟新材</t>
  </si>
  <si>
    <t>-377万</t>
  </si>
  <si>
    <t>-1.24万</t>
  </si>
  <si>
    <t>-261万</t>
  </si>
  <si>
    <t>-468万</t>
  </si>
  <si>
    <t>金隅集团</t>
  </si>
  <si>
    <t>-6.60亿</t>
  </si>
  <si>
    <t>6070万</t>
  </si>
  <si>
    <t>-6.52亿</t>
  </si>
  <si>
    <t>2353亿</t>
  </si>
  <si>
    <t>1459亿</t>
  </si>
  <si>
    <t>1662亿</t>
  </si>
  <si>
    <t>508亿</t>
  </si>
  <si>
    <t>ST明科</t>
  </si>
  <si>
    <t>-379万</t>
  </si>
  <si>
    <t>-12.8亿</t>
  </si>
  <si>
    <t>冠城大通</t>
  </si>
  <si>
    <t>-1213万</t>
  </si>
  <si>
    <t>86.7万</t>
  </si>
  <si>
    <t>-3023万</t>
  </si>
  <si>
    <t>*ST海投</t>
  </si>
  <si>
    <t>-589万</t>
  </si>
  <si>
    <t>-8267万</t>
  </si>
  <si>
    <t>-723万</t>
  </si>
  <si>
    <t>-11.6亿</t>
  </si>
  <si>
    <t>洪都航空</t>
  </si>
  <si>
    <t>-2270万</t>
  </si>
  <si>
    <t>-45.1万</t>
  </si>
  <si>
    <t>-2237万</t>
  </si>
  <si>
    <t>-2091万</t>
  </si>
  <si>
    <t>龙源技术</t>
  </si>
  <si>
    <t>-850万</t>
  </si>
  <si>
    <t>-826万</t>
  </si>
  <si>
    <t>海联讯</t>
  </si>
  <si>
    <t>1544万</t>
  </si>
  <si>
    <t>-449万</t>
  </si>
  <si>
    <t>3786万</t>
  </si>
  <si>
    <t>8288万</t>
  </si>
  <si>
    <t>三晖电气</t>
  </si>
  <si>
    <t>-179万</t>
  </si>
  <si>
    <t>-180万</t>
  </si>
  <si>
    <t>万马科技</t>
  </si>
  <si>
    <t>3350万</t>
  </si>
  <si>
    <t>-557万</t>
  </si>
  <si>
    <t>-201万</t>
  </si>
  <si>
    <t>7448万</t>
  </si>
  <si>
    <t>希努尔</t>
  </si>
  <si>
    <t>7.39万</t>
  </si>
  <si>
    <t>-822万</t>
  </si>
  <si>
    <t>-823万</t>
  </si>
  <si>
    <t>-894万</t>
  </si>
  <si>
    <t>川润股份</t>
  </si>
  <si>
    <t>-620万</t>
  </si>
  <si>
    <t>-525万</t>
  </si>
  <si>
    <t>8756万</t>
  </si>
  <si>
    <t>日出东方</t>
  </si>
  <si>
    <t>-2139万</t>
  </si>
  <si>
    <t>-2103万</t>
  </si>
  <si>
    <t>四方股份</t>
  </si>
  <si>
    <t>-2421万</t>
  </si>
  <si>
    <t>-2054万</t>
  </si>
  <si>
    <t>兴齐眼药</t>
  </si>
  <si>
    <t>5272万</t>
  </si>
  <si>
    <t>8892万</t>
  </si>
  <si>
    <t>-311万</t>
  </si>
  <si>
    <t>8737万</t>
  </si>
  <si>
    <t>天壕环境</t>
  </si>
  <si>
    <t>-1275万</t>
  </si>
  <si>
    <t>-1251万</t>
  </si>
  <si>
    <t>-1631万</t>
  </si>
  <si>
    <t>*ST天马</t>
  </si>
  <si>
    <t>-2022万</t>
  </si>
  <si>
    <t>8460万</t>
  </si>
  <si>
    <t>-1862万</t>
  </si>
  <si>
    <t>-2358万</t>
  </si>
  <si>
    <t>科力远</t>
  </si>
  <si>
    <t>-3006万</t>
  </si>
  <si>
    <t>1703万</t>
  </si>
  <si>
    <t>-2900万</t>
  </si>
  <si>
    <t>-993万</t>
  </si>
  <si>
    <t>北方导航</t>
  </si>
  <si>
    <t>521万</t>
  </si>
  <si>
    <t>-1016万</t>
  </si>
  <si>
    <t>大港股份</t>
  </si>
  <si>
    <t>-2049万</t>
  </si>
  <si>
    <t>-18.0万</t>
  </si>
  <si>
    <t>-2066万</t>
  </si>
  <si>
    <t>飞鹿股份</t>
  </si>
  <si>
    <t>-187万</t>
  </si>
  <si>
    <t>69.6万</t>
  </si>
  <si>
    <t>金龙机电</t>
  </si>
  <si>
    <t>-1323万</t>
  </si>
  <si>
    <t>-1722万</t>
  </si>
  <si>
    <t>-2097万</t>
  </si>
  <si>
    <t>6902万</t>
  </si>
  <si>
    <t>通宇通讯</t>
  </si>
  <si>
    <t>-980万</t>
  </si>
  <si>
    <t>-998万</t>
  </si>
  <si>
    <t>大通燃气</t>
  </si>
  <si>
    <t>-456万</t>
  </si>
  <si>
    <t>72.5万</t>
  </si>
  <si>
    <t>-451万</t>
  </si>
  <si>
    <t>-574万</t>
  </si>
  <si>
    <t>我乐家居</t>
  </si>
  <si>
    <t>-383万</t>
  </si>
  <si>
    <t>明星电缆</t>
  </si>
  <si>
    <t>-873万</t>
  </si>
  <si>
    <t>-872万</t>
  </si>
  <si>
    <t>-745万</t>
  </si>
  <si>
    <t>4605万</t>
  </si>
  <si>
    <t>京威股份</t>
  </si>
  <si>
    <t>4.59万</t>
  </si>
  <si>
    <t>-1248万</t>
  </si>
  <si>
    <t>-1944万</t>
  </si>
  <si>
    <t>-1274万</t>
  </si>
  <si>
    <t>-2705万</t>
  </si>
  <si>
    <t>纵横通信</t>
  </si>
  <si>
    <t>-344万</t>
  </si>
  <si>
    <t>茂硕电源</t>
  </si>
  <si>
    <t>-569万</t>
  </si>
  <si>
    <t>-566万</t>
  </si>
  <si>
    <t>-461万</t>
  </si>
  <si>
    <t>9510万</t>
  </si>
  <si>
    <t>融捷股份</t>
  </si>
  <si>
    <t>-538万</t>
  </si>
  <si>
    <t>-505万</t>
  </si>
  <si>
    <t>-415万</t>
  </si>
  <si>
    <t>-2039万</t>
  </si>
  <si>
    <t>5285万</t>
  </si>
  <si>
    <t>电广传媒</t>
  </si>
  <si>
    <t>4520万</t>
  </si>
  <si>
    <t>-5400万</t>
  </si>
  <si>
    <t>凤凰光学</t>
  </si>
  <si>
    <t>-5.28万</t>
  </si>
  <si>
    <t>-233万</t>
  </si>
  <si>
    <t>朗源股份</t>
  </si>
  <si>
    <t>-432万</t>
  </si>
  <si>
    <t>-42.3万</t>
  </si>
  <si>
    <t>-457万</t>
  </si>
  <si>
    <t>6944万</t>
  </si>
  <si>
    <t>4301万</t>
  </si>
  <si>
    <t>7406万</t>
  </si>
  <si>
    <t>华力创通</t>
  </si>
  <si>
    <t>7920万</t>
  </si>
  <si>
    <t>-28.8万</t>
  </si>
  <si>
    <t>-1047万</t>
  </si>
  <si>
    <t>-892万</t>
  </si>
  <si>
    <t>6863万</t>
  </si>
  <si>
    <t>新时达</t>
  </si>
  <si>
    <t>-1229万</t>
  </si>
  <si>
    <t>龙建股份</t>
  </si>
  <si>
    <t>-310万</t>
  </si>
  <si>
    <t>-609万</t>
  </si>
  <si>
    <t>世联行</t>
  </si>
  <si>
    <t>-1833万</t>
  </si>
  <si>
    <t>-2846万</t>
  </si>
  <si>
    <t>安彩高科</t>
  </si>
  <si>
    <t>-596万</t>
  </si>
  <si>
    <t>-6.86万</t>
  </si>
  <si>
    <t>-1074万</t>
  </si>
  <si>
    <t>-22.4亿</t>
  </si>
  <si>
    <t>江龙船艇</t>
  </si>
  <si>
    <t>5531万</t>
  </si>
  <si>
    <t>-104万</t>
  </si>
  <si>
    <t>-176万</t>
  </si>
  <si>
    <t>8856万</t>
  </si>
  <si>
    <t>南风股份</t>
  </si>
  <si>
    <t>-22.4万</t>
  </si>
  <si>
    <t>-1778万</t>
  </si>
  <si>
    <t>莱宝高科</t>
  </si>
  <si>
    <t>-1882万</t>
  </si>
  <si>
    <t>70.8万</t>
  </si>
  <si>
    <t>-1877万</t>
  </si>
  <si>
    <t>-2134万</t>
  </si>
  <si>
    <t>深南电A</t>
  </si>
  <si>
    <t>-1226万</t>
  </si>
  <si>
    <t>-53.2万</t>
  </si>
  <si>
    <t>-1306万</t>
  </si>
  <si>
    <t>-1093万</t>
  </si>
  <si>
    <t>9367万</t>
  </si>
  <si>
    <t>国机通用</t>
  </si>
  <si>
    <t>-282万</t>
  </si>
  <si>
    <t>双成药业</t>
  </si>
  <si>
    <t>9577万</t>
  </si>
  <si>
    <t>-686万</t>
  </si>
  <si>
    <t>-640万</t>
  </si>
  <si>
    <t>鸿博股份</t>
  </si>
  <si>
    <t>-649万</t>
  </si>
  <si>
    <t>-602万</t>
  </si>
  <si>
    <t>-951万</t>
  </si>
  <si>
    <t>雄帝科技</t>
  </si>
  <si>
    <t>-356万</t>
  </si>
  <si>
    <t>-359万</t>
  </si>
  <si>
    <t>和科达</t>
  </si>
  <si>
    <t>5730万</t>
  </si>
  <si>
    <t>6616万</t>
  </si>
  <si>
    <t>青龙管业</t>
  </si>
  <si>
    <t>8901万</t>
  </si>
  <si>
    <t>-1204万</t>
  </si>
  <si>
    <t>-1237万</t>
  </si>
  <si>
    <t>-1062万</t>
  </si>
  <si>
    <t>2659万</t>
  </si>
  <si>
    <t>南山控股</t>
  </si>
  <si>
    <t>4525万</t>
  </si>
  <si>
    <t>-3490万</t>
  </si>
  <si>
    <t>江苏阳光</t>
  </si>
  <si>
    <t>44.7万</t>
  </si>
  <si>
    <t>-1193万</t>
  </si>
  <si>
    <t>-59.9万</t>
  </si>
  <si>
    <t>正元智慧</t>
  </si>
  <si>
    <t>6291万</t>
  </si>
  <si>
    <t>-770万</t>
  </si>
  <si>
    <t>-771万</t>
  </si>
  <si>
    <t>-328万</t>
  </si>
  <si>
    <t>先进数通</t>
  </si>
  <si>
    <t>9814万</t>
  </si>
  <si>
    <t>-37.8万</t>
  </si>
  <si>
    <t>-445万</t>
  </si>
  <si>
    <t>6002万</t>
  </si>
  <si>
    <t>54.0万</t>
  </si>
  <si>
    <t>海螺型材</t>
  </si>
  <si>
    <t>-1629万</t>
  </si>
  <si>
    <t>-1625万</t>
  </si>
  <si>
    <t>-1533万</t>
  </si>
  <si>
    <t>6516万</t>
  </si>
  <si>
    <t>全志科技</t>
  </si>
  <si>
    <t>-1028万</t>
  </si>
  <si>
    <t>-897万</t>
  </si>
  <si>
    <t>-1290万</t>
  </si>
  <si>
    <t>2086万</t>
  </si>
  <si>
    <t>航发科技</t>
  </si>
  <si>
    <t>-966万</t>
  </si>
  <si>
    <t>-921万</t>
  </si>
  <si>
    <t>-1166万</t>
  </si>
  <si>
    <t>中体产业</t>
  </si>
  <si>
    <t>-1823万</t>
  </si>
  <si>
    <t>-1828万</t>
  </si>
  <si>
    <t>8446万</t>
  </si>
  <si>
    <t>深冷股份</t>
  </si>
  <si>
    <t>6403万</t>
  </si>
  <si>
    <t>3539万</t>
  </si>
  <si>
    <t>-420万</t>
  </si>
  <si>
    <t>1393万</t>
  </si>
  <si>
    <t>升达林业</t>
  </si>
  <si>
    <t>-961万</t>
  </si>
  <si>
    <t>-25.8万</t>
  </si>
  <si>
    <t>-956万</t>
  </si>
  <si>
    <t>-1078万</t>
  </si>
  <si>
    <t>西安旅游</t>
  </si>
  <si>
    <t>-529万</t>
  </si>
  <si>
    <t>9919万</t>
  </si>
  <si>
    <t>融钰集团</t>
  </si>
  <si>
    <t>-321万</t>
  </si>
  <si>
    <t>-317万</t>
  </si>
  <si>
    <t>-831万</t>
  </si>
  <si>
    <t>62.1万</t>
  </si>
  <si>
    <t>江苏索普</t>
  </si>
  <si>
    <t>-467万</t>
  </si>
  <si>
    <t>10.1万</t>
  </si>
  <si>
    <t>-346万</t>
  </si>
  <si>
    <t>8504万</t>
  </si>
  <si>
    <t>6207万</t>
  </si>
  <si>
    <t>三棵树</t>
  </si>
  <si>
    <t>-727万</t>
  </si>
  <si>
    <t>1101万</t>
  </si>
  <si>
    <t>雄韬股份</t>
  </si>
  <si>
    <t>-1747万</t>
  </si>
  <si>
    <t>47.9万</t>
  </si>
  <si>
    <t>-1790万</t>
  </si>
  <si>
    <t>-1515万</t>
  </si>
  <si>
    <t>中迪投资</t>
  </si>
  <si>
    <t>-1185万</t>
  </si>
  <si>
    <t>-1060万</t>
  </si>
  <si>
    <t>-1102万</t>
  </si>
  <si>
    <t>9238万</t>
  </si>
  <si>
    <t>国际实业</t>
  </si>
  <si>
    <t>-1653万</t>
  </si>
  <si>
    <t>-1654万</t>
  </si>
  <si>
    <t>-1458万</t>
  </si>
  <si>
    <t>9226万</t>
  </si>
  <si>
    <t>万马股份</t>
  </si>
  <si>
    <t>-397万</t>
  </si>
  <si>
    <t>-2646万</t>
  </si>
  <si>
    <t>-2825万</t>
  </si>
  <si>
    <t>粤宏远Ａ</t>
  </si>
  <si>
    <t>-1562万</t>
  </si>
  <si>
    <t>-1573万</t>
  </si>
  <si>
    <t>京天利</t>
  </si>
  <si>
    <t>8061万</t>
  </si>
  <si>
    <t>48.3万</t>
  </si>
  <si>
    <t>9664万</t>
  </si>
  <si>
    <t>3968万</t>
  </si>
  <si>
    <t>6346万</t>
  </si>
  <si>
    <t>华录百纳</t>
  </si>
  <si>
    <t>-5485万</t>
  </si>
  <si>
    <t>-5461万</t>
  </si>
  <si>
    <t>-4661万</t>
  </si>
  <si>
    <t>申科股份</t>
  </si>
  <si>
    <t>-380万</t>
  </si>
  <si>
    <t>4456万</t>
  </si>
  <si>
    <t>6860万</t>
  </si>
  <si>
    <t>华媒控股</t>
  </si>
  <si>
    <t>-642万</t>
  </si>
  <si>
    <t>-1309万</t>
  </si>
  <si>
    <t>-2.35亿</t>
  </si>
  <si>
    <t>哈高科</t>
  </si>
  <si>
    <t>3386万</t>
  </si>
  <si>
    <t>-466万</t>
  </si>
  <si>
    <t>6541万</t>
  </si>
  <si>
    <t>9454万</t>
  </si>
  <si>
    <t>*ST工新</t>
  </si>
  <si>
    <t>-3791万</t>
  </si>
  <si>
    <t>-6.36万</t>
  </si>
  <si>
    <t>-3233万</t>
  </si>
  <si>
    <t>农发种业</t>
  </si>
  <si>
    <t>-1985万</t>
  </si>
  <si>
    <t>-1057万</t>
  </si>
  <si>
    <t>贝肯能源</t>
  </si>
  <si>
    <t>9862万</t>
  </si>
  <si>
    <t>957万</t>
  </si>
  <si>
    <t>-688万</t>
  </si>
  <si>
    <t>63.8万</t>
  </si>
  <si>
    <t>-672万</t>
  </si>
  <si>
    <t>47.4万</t>
  </si>
  <si>
    <t>兰州黄河</t>
  </si>
  <si>
    <t>46.4万</t>
  </si>
  <si>
    <t>-183万</t>
  </si>
  <si>
    <t>华平股份</t>
  </si>
  <si>
    <t>-1154万</t>
  </si>
  <si>
    <t>-1153万</t>
  </si>
  <si>
    <t>-930万</t>
  </si>
  <si>
    <t>西藏矿业</t>
  </si>
  <si>
    <t>9090万</t>
  </si>
  <si>
    <t>-1725万</t>
  </si>
  <si>
    <t>-86.5万</t>
  </si>
  <si>
    <t>-1764万</t>
  </si>
  <si>
    <t>-1768万</t>
  </si>
  <si>
    <t>-2111万</t>
  </si>
  <si>
    <t>5133万</t>
  </si>
  <si>
    <t>冰轮环境</t>
  </si>
  <si>
    <t>-1936万</t>
  </si>
  <si>
    <t>-2017万</t>
  </si>
  <si>
    <t>-2265万</t>
  </si>
  <si>
    <t>宏达矿业</t>
  </si>
  <si>
    <t>-1525万</t>
  </si>
  <si>
    <t>-1528万</t>
  </si>
  <si>
    <t>-1520万</t>
  </si>
  <si>
    <t>中航电子</t>
  </si>
  <si>
    <t>-8324万</t>
  </si>
  <si>
    <t>-6750万</t>
  </si>
  <si>
    <t>-5956万</t>
  </si>
  <si>
    <t>网达软件</t>
  </si>
  <si>
    <t>3229万</t>
  </si>
  <si>
    <t>5039万</t>
  </si>
  <si>
    <t>钱江生化</t>
  </si>
  <si>
    <t>9884万</t>
  </si>
  <si>
    <t>-335万</t>
  </si>
  <si>
    <t>-199万</t>
  </si>
  <si>
    <t>惠泉啤酒</t>
  </si>
  <si>
    <t>-1004万</t>
  </si>
  <si>
    <t>-1005万</t>
  </si>
  <si>
    <t>-953万</t>
  </si>
  <si>
    <t>9905万</t>
  </si>
  <si>
    <t>宝德股份</t>
  </si>
  <si>
    <t>-1233万</t>
  </si>
  <si>
    <t>-1230万</t>
  </si>
  <si>
    <t>国盛金控</t>
  </si>
  <si>
    <t>新光圆成</t>
  </si>
  <si>
    <t>4.65万</t>
  </si>
  <si>
    <t>-8381万</t>
  </si>
  <si>
    <t>-8292万</t>
  </si>
  <si>
    <t>-6885万</t>
  </si>
  <si>
    <t>乐通股份</t>
  </si>
  <si>
    <t>津滨发展</t>
  </si>
  <si>
    <t>3666万</t>
  </si>
  <si>
    <t>-981万</t>
  </si>
  <si>
    <t>-3.01万</t>
  </si>
  <si>
    <t>-1035万</t>
  </si>
  <si>
    <t>-8.23亿</t>
  </si>
  <si>
    <t>885万</t>
  </si>
  <si>
    <t>神州泰岳</t>
  </si>
  <si>
    <t>-4943万</t>
  </si>
  <si>
    <t>-218万</t>
  </si>
  <si>
    <t>-4945万</t>
  </si>
  <si>
    <t>-4620万</t>
  </si>
  <si>
    <t>亚泰集团</t>
  </si>
  <si>
    <t>-1.22亿</t>
  </si>
  <si>
    <t>574亿</t>
  </si>
  <si>
    <t>华资实业</t>
  </si>
  <si>
    <t>99.8万</t>
  </si>
  <si>
    <t>-2035万</t>
  </si>
  <si>
    <t>-903万</t>
  </si>
  <si>
    <t>亚振家居</t>
  </si>
  <si>
    <t>6296万</t>
  </si>
  <si>
    <t>7662万</t>
  </si>
  <si>
    <t>-1699万</t>
  </si>
  <si>
    <t>-815万</t>
  </si>
  <si>
    <t>安利股份</t>
  </si>
  <si>
    <t>-808万</t>
  </si>
  <si>
    <t>-82.0万</t>
  </si>
  <si>
    <t>-832万</t>
  </si>
  <si>
    <t>-913万</t>
  </si>
  <si>
    <t>云南城投</t>
  </si>
  <si>
    <t>-4128万</t>
  </si>
  <si>
    <t>-2157万</t>
  </si>
  <si>
    <t>-4217万</t>
  </si>
  <si>
    <t>-4988万</t>
  </si>
  <si>
    <t>784亿</t>
  </si>
  <si>
    <t>697亿</t>
  </si>
  <si>
    <t>张家界</t>
  </si>
  <si>
    <t>-1687万</t>
  </si>
  <si>
    <t>-1690万</t>
  </si>
  <si>
    <t>-1488万</t>
  </si>
  <si>
    <t>盛洋科技</t>
  </si>
  <si>
    <t>-511万</t>
  </si>
  <si>
    <t>中国出版</t>
  </si>
  <si>
    <t>-6466万</t>
  </si>
  <si>
    <t>-6356万</t>
  </si>
  <si>
    <t>-5551万</t>
  </si>
  <si>
    <t>新开普</t>
  </si>
  <si>
    <t>-1464万</t>
  </si>
  <si>
    <t>-1475万</t>
  </si>
  <si>
    <t>8782万</t>
  </si>
  <si>
    <t>荣安地产</t>
  </si>
  <si>
    <t>9405万</t>
  </si>
  <si>
    <t>-6109万</t>
  </si>
  <si>
    <t>-93.2万</t>
  </si>
  <si>
    <t>-6026万</t>
  </si>
  <si>
    <t>-4104万</t>
  </si>
  <si>
    <t>-16.9亿</t>
  </si>
  <si>
    <t>华测检测</t>
  </si>
  <si>
    <t>4.37万</t>
  </si>
  <si>
    <t>-2052万</t>
  </si>
  <si>
    <t>-1353万</t>
  </si>
  <si>
    <t>-2428万</t>
  </si>
  <si>
    <t>8583万</t>
  </si>
  <si>
    <t>银河生物</t>
  </si>
  <si>
    <t>-1969万</t>
  </si>
  <si>
    <t>-1891万</t>
  </si>
  <si>
    <t>-2048万</t>
  </si>
  <si>
    <t>-2.23亿</t>
  </si>
  <si>
    <t>阳光股份</t>
  </si>
  <si>
    <t>-36.0万</t>
  </si>
  <si>
    <t>-2008万</t>
  </si>
  <si>
    <t>-2919万</t>
  </si>
  <si>
    <t>标准股份</t>
  </si>
  <si>
    <t>-888万</t>
  </si>
  <si>
    <t>-907万</t>
  </si>
  <si>
    <t>-1188万</t>
  </si>
  <si>
    <t>3122万</t>
  </si>
  <si>
    <t>绿盟科技</t>
  </si>
  <si>
    <t>-2767万</t>
  </si>
  <si>
    <t>-2760万</t>
  </si>
  <si>
    <t>-2849万</t>
  </si>
  <si>
    <t>2653万</t>
  </si>
  <si>
    <t>长春燃气</t>
  </si>
  <si>
    <t>-2109万</t>
  </si>
  <si>
    <t>-2110万</t>
  </si>
  <si>
    <t>-2212万</t>
  </si>
  <si>
    <t>华电重工</t>
  </si>
  <si>
    <t>-3455万</t>
  </si>
  <si>
    <t>-3430万</t>
  </si>
  <si>
    <t>-3608万</t>
  </si>
  <si>
    <t>美尔雅</t>
  </si>
  <si>
    <t>-590万</t>
  </si>
  <si>
    <t>-568万</t>
  </si>
  <si>
    <t>-1266万</t>
  </si>
  <si>
    <t>信达地产</t>
  </si>
  <si>
    <t>-1.09亿</t>
  </si>
  <si>
    <t>-9812万</t>
  </si>
  <si>
    <t>-1.01亿</t>
  </si>
  <si>
    <t>746亿</t>
  </si>
  <si>
    <t>大连重工</t>
  </si>
  <si>
    <t>4.41万</t>
  </si>
  <si>
    <t>-8387万</t>
  </si>
  <si>
    <t>-8413万</t>
  </si>
  <si>
    <t>-6830万</t>
  </si>
  <si>
    <t>信隆健康</t>
  </si>
  <si>
    <t>-1241万</t>
  </si>
  <si>
    <t>-546万</t>
  </si>
  <si>
    <t>7174万</t>
  </si>
  <si>
    <t>6092万</t>
  </si>
  <si>
    <t>六国化工</t>
  </si>
  <si>
    <t>-4722万</t>
  </si>
  <si>
    <t>-4730万</t>
  </si>
  <si>
    <t>-2172万</t>
  </si>
  <si>
    <t>安达维尔</t>
  </si>
  <si>
    <t>-1041万</t>
  </si>
  <si>
    <t>-1003万</t>
  </si>
  <si>
    <t>9587万</t>
  </si>
  <si>
    <t>8810万</t>
  </si>
  <si>
    <t>8451万</t>
  </si>
  <si>
    <t>海默科技</t>
  </si>
  <si>
    <t>-2191万</t>
  </si>
  <si>
    <t>-2069万</t>
  </si>
  <si>
    <t>-1873万</t>
  </si>
  <si>
    <t>同方股份</t>
  </si>
  <si>
    <t>-2.75亿</t>
  </si>
  <si>
    <t>-2.24亿</t>
  </si>
  <si>
    <t>德力股份</t>
  </si>
  <si>
    <t>-1521万</t>
  </si>
  <si>
    <t>-1503万</t>
  </si>
  <si>
    <t>-1606万</t>
  </si>
  <si>
    <t>实达集团</t>
  </si>
  <si>
    <t>-3558万</t>
  </si>
  <si>
    <t>-3058万</t>
  </si>
  <si>
    <t>广哈通信</t>
  </si>
  <si>
    <t>1587万</t>
  </si>
  <si>
    <t>-669万</t>
  </si>
  <si>
    <t>-593万</t>
  </si>
  <si>
    <t>7019万</t>
  </si>
  <si>
    <t>天和防务</t>
  </si>
  <si>
    <t>3591万</t>
  </si>
  <si>
    <t>-1550万</t>
  </si>
  <si>
    <t>-1299万</t>
  </si>
  <si>
    <t>云铝股份</t>
  </si>
  <si>
    <t>-1.49亿</t>
  </si>
  <si>
    <t>-1.05亿</t>
  </si>
  <si>
    <t>362亿</t>
  </si>
  <si>
    <t>时代万恒</t>
  </si>
  <si>
    <t>83.1万</t>
  </si>
  <si>
    <t>-1538万</t>
  </si>
  <si>
    <t>万里马</t>
  </si>
  <si>
    <t>9731万</t>
  </si>
  <si>
    <t>-492万</t>
  </si>
  <si>
    <t>-485万</t>
  </si>
  <si>
    <t>9535万</t>
  </si>
  <si>
    <t>科融环境</t>
  </si>
  <si>
    <t>7712万</t>
  </si>
  <si>
    <t>-2259万</t>
  </si>
  <si>
    <t>-2163万</t>
  </si>
  <si>
    <t>-1496万</t>
  </si>
  <si>
    <t>双良节能</t>
  </si>
  <si>
    <t>-2392万</t>
  </si>
  <si>
    <t>-2335万</t>
  </si>
  <si>
    <t>-2258万</t>
  </si>
  <si>
    <t>霞客环保</t>
  </si>
  <si>
    <t>-325万</t>
  </si>
  <si>
    <t>-11.3亿</t>
  </si>
  <si>
    <t>西部黄金</t>
  </si>
  <si>
    <t>-1970万</t>
  </si>
  <si>
    <t>79.7万</t>
  </si>
  <si>
    <t>-1849万</t>
  </si>
  <si>
    <t>南岭民爆</t>
  </si>
  <si>
    <t>-2153万</t>
  </si>
  <si>
    <t>-2208万</t>
  </si>
  <si>
    <t>永安林业</t>
  </si>
  <si>
    <t>9.00万</t>
  </si>
  <si>
    <t>-2430万</t>
  </si>
  <si>
    <t>中航三鑫</t>
  </si>
  <si>
    <t>-1718万</t>
  </si>
  <si>
    <t>-300万</t>
  </si>
  <si>
    <t>-1813万</t>
  </si>
  <si>
    <t>-787万</t>
  </si>
  <si>
    <t>-7.37亿</t>
  </si>
  <si>
    <t>华映科技</t>
  </si>
  <si>
    <t>-1.88亿</t>
  </si>
  <si>
    <t>-1.42亿</t>
  </si>
  <si>
    <t>98.4亿</t>
  </si>
  <si>
    <t>坚朗五金</t>
  </si>
  <si>
    <t>-2881万</t>
  </si>
  <si>
    <t>-2850万</t>
  </si>
  <si>
    <t>-2928万</t>
  </si>
  <si>
    <t>捷顺科技</t>
  </si>
  <si>
    <t>6752万</t>
  </si>
  <si>
    <t>-3505万</t>
  </si>
  <si>
    <t>-2617万</t>
  </si>
  <si>
    <t>-2507万</t>
  </si>
  <si>
    <t>天津普林</t>
  </si>
  <si>
    <t>-488万</t>
  </si>
  <si>
    <t>-487万</t>
  </si>
  <si>
    <t>麦迪科技</t>
  </si>
  <si>
    <t>-545万</t>
  </si>
  <si>
    <t>-498万</t>
  </si>
  <si>
    <t>*ST中基</t>
  </si>
  <si>
    <t>-1128万</t>
  </si>
  <si>
    <t>-1092万</t>
  </si>
  <si>
    <t>汉邦高科</t>
  </si>
  <si>
    <t>8287万</t>
  </si>
  <si>
    <t>-1366万</t>
  </si>
  <si>
    <t>-1369万</t>
  </si>
  <si>
    <t>远大控股</t>
  </si>
  <si>
    <t>-5580万</t>
  </si>
  <si>
    <t>-5498万</t>
  </si>
  <si>
    <t>-2920万</t>
  </si>
  <si>
    <t>深深宝Ａ</t>
  </si>
  <si>
    <t>5747万</t>
  </si>
  <si>
    <t>-1159万</t>
  </si>
  <si>
    <t>-9.03万</t>
  </si>
  <si>
    <t>-1160万</t>
  </si>
  <si>
    <t>-1082万</t>
  </si>
  <si>
    <t>7352万</t>
  </si>
  <si>
    <t>5175万</t>
  </si>
  <si>
    <t>长高集团</t>
  </si>
  <si>
    <t>-1677万</t>
  </si>
  <si>
    <t>-52.8万</t>
  </si>
  <si>
    <t>-1652万</t>
  </si>
  <si>
    <t>-1583万</t>
  </si>
  <si>
    <t>大龙地产</t>
  </si>
  <si>
    <t>-2720万</t>
  </si>
  <si>
    <t>-2710万</t>
  </si>
  <si>
    <t>-2582万</t>
  </si>
  <si>
    <t>7287万</t>
  </si>
  <si>
    <t>中文在线</t>
  </si>
  <si>
    <t>-3070万</t>
  </si>
  <si>
    <t>-3073万</t>
  </si>
  <si>
    <t>-3093万</t>
  </si>
  <si>
    <t>*ST罗顿</t>
  </si>
  <si>
    <t>-269万</t>
  </si>
  <si>
    <t>-728万</t>
  </si>
  <si>
    <t>SST前锋</t>
  </si>
  <si>
    <t>20.6万</t>
  </si>
  <si>
    <t>-324万</t>
  </si>
  <si>
    <t>-304万</t>
  </si>
  <si>
    <t>-8399万</t>
  </si>
  <si>
    <t>东华测试</t>
  </si>
  <si>
    <t>7547万</t>
  </si>
  <si>
    <t>-548万</t>
  </si>
  <si>
    <t>-494万</t>
  </si>
  <si>
    <t>7862万</t>
  </si>
  <si>
    <t>3746万</t>
  </si>
  <si>
    <t>深天地Ａ</t>
  </si>
  <si>
    <t>-777万</t>
  </si>
  <si>
    <t>-849万</t>
  </si>
  <si>
    <t>-486万</t>
  </si>
  <si>
    <t>铁汉生态</t>
  </si>
  <si>
    <t>-7260万</t>
  </si>
  <si>
    <t>1687万</t>
  </si>
  <si>
    <t>-7213万</t>
  </si>
  <si>
    <t>步森股份</t>
  </si>
  <si>
    <t>-563万</t>
  </si>
  <si>
    <t>-585万</t>
  </si>
  <si>
    <t>银之杰</t>
  </si>
  <si>
    <t>-1478万</t>
  </si>
  <si>
    <t>-1829万</t>
  </si>
  <si>
    <t>-1351万</t>
  </si>
  <si>
    <t>-1596万</t>
  </si>
  <si>
    <t>西安饮食</t>
  </si>
  <si>
    <t>-825万</t>
  </si>
  <si>
    <t>-838万</t>
  </si>
  <si>
    <t>-803万</t>
  </si>
  <si>
    <t>5551万</t>
  </si>
  <si>
    <t>海伦哲</t>
  </si>
  <si>
    <t>-95.2万</t>
  </si>
  <si>
    <t>-1950万</t>
  </si>
  <si>
    <t>-1880万</t>
  </si>
  <si>
    <t>奥 特 迅</t>
  </si>
  <si>
    <t>-1202万</t>
  </si>
  <si>
    <t>-1201万</t>
  </si>
  <si>
    <t>2817万</t>
  </si>
  <si>
    <t>力盛赛车</t>
  </si>
  <si>
    <t>-622万</t>
  </si>
  <si>
    <t>-601万</t>
  </si>
  <si>
    <t>-496万</t>
  </si>
  <si>
    <t>7297万</t>
  </si>
  <si>
    <t>中核科技</t>
  </si>
  <si>
    <t>-1530万</t>
  </si>
  <si>
    <t>-1506万</t>
  </si>
  <si>
    <t>-1570万</t>
  </si>
  <si>
    <t>新晨科技</t>
  </si>
  <si>
    <t>5573万</t>
  </si>
  <si>
    <t>9161万</t>
  </si>
  <si>
    <t>-674万</t>
  </si>
  <si>
    <t>-738万</t>
  </si>
  <si>
    <t>59.2万</t>
  </si>
  <si>
    <t>赛象科技</t>
  </si>
  <si>
    <t>-1459万</t>
  </si>
  <si>
    <t>12.9万</t>
  </si>
  <si>
    <t>-1434万</t>
  </si>
  <si>
    <t>-1508万</t>
  </si>
  <si>
    <t>三湘印象</t>
  </si>
  <si>
    <t>-9081万</t>
  </si>
  <si>
    <t>-9077万</t>
  </si>
  <si>
    <t>-7954万</t>
  </si>
  <si>
    <t>锐奇股份</t>
  </si>
  <si>
    <t>-1679万</t>
  </si>
  <si>
    <t>-1663万</t>
  </si>
  <si>
    <t>-1305万</t>
  </si>
  <si>
    <t>中捷资源</t>
  </si>
  <si>
    <t>-1294万</t>
  </si>
  <si>
    <t>-1255万</t>
  </si>
  <si>
    <t>-1143万</t>
  </si>
  <si>
    <t>-3.01亿</t>
  </si>
  <si>
    <t>尚品宅配</t>
  </si>
  <si>
    <t>-4000万</t>
  </si>
  <si>
    <t>3476万</t>
  </si>
  <si>
    <t>-4061万</t>
  </si>
  <si>
    <t>-3298万</t>
  </si>
  <si>
    <t>宝莫股份</t>
  </si>
  <si>
    <t>-1259万</t>
  </si>
  <si>
    <t>-279万</t>
  </si>
  <si>
    <t>-1263万</t>
  </si>
  <si>
    <t>中葡股份</t>
  </si>
  <si>
    <t>-3103万</t>
  </si>
  <si>
    <t>-3101万</t>
  </si>
  <si>
    <t>-3027万</t>
  </si>
  <si>
    <t>-15.7亿</t>
  </si>
  <si>
    <t>立昂技术</t>
  </si>
  <si>
    <t>8805万</t>
  </si>
  <si>
    <t>-556万</t>
  </si>
  <si>
    <t>星光农机</t>
  </si>
  <si>
    <t>-1668万</t>
  </si>
  <si>
    <t>54.2万</t>
  </si>
  <si>
    <t>-1534万</t>
  </si>
  <si>
    <t>-1421万</t>
  </si>
  <si>
    <t>高澜股份</t>
  </si>
  <si>
    <t>6763万</t>
  </si>
  <si>
    <t>-3.56万</t>
  </si>
  <si>
    <t>5203万</t>
  </si>
  <si>
    <t>成飞集成</t>
  </si>
  <si>
    <t>-3890万</t>
  </si>
  <si>
    <t>-3860万</t>
  </si>
  <si>
    <t>-2466万</t>
  </si>
  <si>
    <t>海马汽车</t>
  </si>
  <si>
    <t>-9699万</t>
  </si>
  <si>
    <t>-8638万</t>
  </si>
  <si>
    <t>亚士创能</t>
  </si>
  <si>
    <t>-1688万</t>
  </si>
  <si>
    <t>-1636万</t>
  </si>
  <si>
    <t>-1719万</t>
  </si>
  <si>
    <t>欣龙控股</t>
  </si>
  <si>
    <t>-1009万</t>
  </si>
  <si>
    <t>-964万</t>
  </si>
  <si>
    <t>-3.20亿</t>
  </si>
  <si>
    <t>海航投资</t>
  </si>
  <si>
    <t>5899万</t>
  </si>
  <si>
    <t>-5061万</t>
  </si>
  <si>
    <t>-5294万</t>
  </si>
  <si>
    <t>同为股份</t>
  </si>
  <si>
    <t>-1008万</t>
  </si>
  <si>
    <t>18.9万</t>
  </si>
  <si>
    <t>XD金证股</t>
  </si>
  <si>
    <t>-2551万</t>
  </si>
  <si>
    <t>-2547万</t>
  </si>
  <si>
    <t>-2497万</t>
  </si>
  <si>
    <t>6629万</t>
  </si>
  <si>
    <t>云南旅游</t>
  </si>
  <si>
    <t>-2398万</t>
  </si>
  <si>
    <t>-2288万</t>
  </si>
  <si>
    <t>6664万</t>
  </si>
  <si>
    <t>大庆华科</t>
  </si>
  <si>
    <t>-746万</t>
  </si>
  <si>
    <t>-743万</t>
  </si>
  <si>
    <t>4831万</t>
  </si>
  <si>
    <t>盐湖股份</t>
  </si>
  <si>
    <t>-2.11亿</t>
  </si>
  <si>
    <t>-2877万</t>
  </si>
  <si>
    <t>-2.74亿</t>
  </si>
  <si>
    <t>恒立实业</t>
  </si>
  <si>
    <t>-345万</t>
  </si>
  <si>
    <t>-254万</t>
  </si>
  <si>
    <t>-4.38亿</t>
  </si>
  <si>
    <t>1963万</t>
  </si>
  <si>
    <t>德创环保</t>
  </si>
  <si>
    <t>6175万</t>
  </si>
  <si>
    <t>-794万</t>
  </si>
  <si>
    <t>远 望 谷</t>
  </si>
  <si>
    <t>-2525万</t>
  </si>
  <si>
    <t>-2434万</t>
  </si>
  <si>
    <t>-2250万</t>
  </si>
  <si>
    <t>7116万</t>
  </si>
  <si>
    <t>弘业股份</t>
  </si>
  <si>
    <t>-2136万</t>
  </si>
  <si>
    <t>精伦电子</t>
  </si>
  <si>
    <t>9197万</t>
  </si>
  <si>
    <t>-320万</t>
  </si>
  <si>
    <t>凯文教育</t>
  </si>
  <si>
    <t>-3972万</t>
  </si>
  <si>
    <t>5.43万</t>
  </si>
  <si>
    <t>-3932万</t>
  </si>
  <si>
    <t>-3011万</t>
  </si>
  <si>
    <t>-2062万</t>
  </si>
  <si>
    <t>超讯通信</t>
  </si>
  <si>
    <t>4536万</t>
  </si>
  <si>
    <t>-497万</t>
  </si>
  <si>
    <t>-504万</t>
  </si>
  <si>
    <t>华中数控</t>
  </si>
  <si>
    <t>-2905万</t>
  </si>
  <si>
    <t>-2893万</t>
  </si>
  <si>
    <t>-1576万</t>
  </si>
  <si>
    <t>悦心健康</t>
  </si>
  <si>
    <t>-1276万</t>
  </si>
  <si>
    <t>61.8万</t>
  </si>
  <si>
    <t>-1205万</t>
  </si>
  <si>
    <t>7690万</t>
  </si>
  <si>
    <t>安控科技</t>
  </si>
  <si>
    <t>-1781万</t>
  </si>
  <si>
    <t>-1770万</t>
  </si>
  <si>
    <t>-1945万</t>
  </si>
  <si>
    <t>国统股份</t>
  </si>
  <si>
    <t>4444万</t>
  </si>
  <si>
    <t>-1429万</t>
  </si>
  <si>
    <t>-1373万</t>
  </si>
  <si>
    <t>-1293万</t>
  </si>
  <si>
    <t>东晶电子</t>
  </si>
  <si>
    <t>4851万</t>
  </si>
  <si>
    <t>-650万</t>
  </si>
  <si>
    <t>9848万</t>
  </si>
  <si>
    <t>ST坊展</t>
  </si>
  <si>
    <t>-288万</t>
  </si>
  <si>
    <t>-3.31亿</t>
  </si>
  <si>
    <t>芭田股份</t>
  </si>
  <si>
    <t>-2986万</t>
  </si>
  <si>
    <t>-80.0万</t>
  </si>
  <si>
    <t>-3154万</t>
  </si>
  <si>
    <t>-2733万</t>
  </si>
  <si>
    <t>凤凰股份</t>
  </si>
  <si>
    <t>-4305万</t>
  </si>
  <si>
    <t>-4299万</t>
  </si>
  <si>
    <t>-4635万</t>
  </si>
  <si>
    <t>2387万</t>
  </si>
  <si>
    <t>诚迈科技</t>
  </si>
  <si>
    <t>-684万</t>
  </si>
  <si>
    <t>-682万</t>
  </si>
  <si>
    <t>-645万</t>
  </si>
  <si>
    <t>8752万</t>
  </si>
  <si>
    <t>越博动力</t>
  </si>
  <si>
    <t>7850万</t>
  </si>
  <si>
    <t>-1063万</t>
  </si>
  <si>
    <t>-996万</t>
  </si>
  <si>
    <t>ST南化</t>
  </si>
  <si>
    <t>-429万</t>
  </si>
  <si>
    <t>3147万</t>
  </si>
  <si>
    <t>烽火电子</t>
  </si>
  <si>
    <t>-1729万</t>
  </si>
  <si>
    <t>-1914万</t>
  </si>
  <si>
    <t>银宝山新</t>
  </si>
  <si>
    <t>-2350万</t>
  </si>
  <si>
    <t>-2388万</t>
  </si>
  <si>
    <t>-1658万</t>
  </si>
  <si>
    <t>光正集团</t>
  </si>
  <si>
    <t>-1121万</t>
  </si>
  <si>
    <t>84.1万</t>
  </si>
  <si>
    <t>-1068万</t>
  </si>
  <si>
    <t>-1155万</t>
  </si>
  <si>
    <t>-5622万</t>
  </si>
  <si>
    <t>美年健康</t>
  </si>
  <si>
    <t>4.21万</t>
  </si>
  <si>
    <t>-9832万</t>
  </si>
  <si>
    <t>京蓝科技</t>
  </si>
  <si>
    <t>-8306万</t>
  </si>
  <si>
    <t>-8230万</t>
  </si>
  <si>
    <t>-8024万</t>
  </si>
  <si>
    <t>亚太实业</t>
  </si>
  <si>
    <t>-4.18亿</t>
  </si>
  <si>
    <t>7304万</t>
  </si>
  <si>
    <t>海油工程</t>
  </si>
  <si>
    <t>-4.24亿</t>
  </si>
  <si>
    <t>-3084万</t>
  </si>
  <si>
    <t>-4.00亿</t>
  </si>
  <si>
    <t>-3.60亿</t>
  </si>
  <si>
    <t>星徽精密</t>
  </si>
  <si>
    <t>9179万</t>
  </si>
  <si>
    <t>-1540万</t>
  </si>
  <si>
    <t>-1228万</t>
  </si>
  <si>
    <t>-818万</t>
  </si>
  <si>
    <t>雪峰科技</t>
  </si>
  <si>
    <t>-1507万</t>
  </si>
  <si>
    <t>-41.9万</t>
  </si>
  <si>
    <t>-1523万</t>
  </si>
  <si>
    <t>-1846万</t>
  </si>
  <si>
    <t>8330万</t>
  </si>
  <si>
    <t>兰石重装</t>
  </si>
  <si>
    <t>-4822万</t>
  </si>
  <si>
    <t>-4712万</t>
  </si>
  <si>
    <t>-5327万</t>
  </si>
  <si>
    <t>闻泰科技</t>
  </si>
  <si>
    <t>-5409万</t>
  </si>
  <si>
    <t>22.0万</t>
  </si>
  <si>
    <t>-5446万</t>
  </si>
  <si>
    <t>-5721万</t>
  </si>
  <si>
    <t>开创国际</t>
  </si>
  <si>
    <t>-2269万</t>
  </si>
  <si>
    <t>-2253万</t>
  </si>
  <si>
    <t>-2458万</t>
  </si>
  <si>
    <t>3020万</t>
  </si>
  <si>
    <t>博迈科</t>
  </si>
  <si>
    <t>2553万</t>
  </si>
  <si>
    <t>-4591万</t>
  </si>
  <si>
    <t>-4570万</t>
  </si>
  <si>
    <t>-3913万</t>
  </si>
  <si>
    <t>天山生物</t>
  </si>
  <si>
    <t>-532万</t>
  </si>
  <si>
    <t>-543万</t>
  </si>
  <si>
    <t>-530万</t>
  </si>
  <si>
    <t>顺威股份</t>
  </si>
  <si>
    <t>-1921万</t>
  </si>
  <si>
    <t>-1683万</t>
  </si>
  <si>
    <t>2311万</t>
  </si>
  <si>
    <t>6072万</t>
  </si>
  <si>
    <t>甘肃电投</t>
  </si>
  <si>
    <t>-9381万</t>
  </si>
  <si>
    <t>-9396万</t>
  </si>
  <si>
    <t>-9380万</t>
  </si>
  <si>
    <t>南京化纤</t>
  </si>
  <si>
    <t>-1926万</t>
  </si>
  <si>
    <t>青海华鼎</t>
  </si>
  <si>
    <t>-3191万</t>
  </si>
  <si>
    <t>-3183万</t>
  </si>
  <si>
    <t>-2985万</t>
  </si>
  <si>
    <t>8544万</t>
  </si>
  <si>
    <t>华星创业</t>
  </si>
  <si>
    <t>-1941万</t>
  </si>
  <si>
    <t>-1257万</t>
  </si>
  <si>
    <t>炼石有色</t>
  </si>
  <si>
    <t>-2061万</t>
  </si>
  <si>
    <t>-2400万</t>
  </si>
  <si>
    <t>-2552万</t>
  </si>
  <si>
    <t>广泽股份</t>
  </si>
  <si>
    <t>-2671万</t>
  </si>
  <si>
    <t>-2610万</t>
  </si>
  <si>
    <t>-2014万</t>
  </si>
  <si>
    <t>-9.50亿</t>
  </si>
  <si>
    <t>斯太尔</t>
  </si>
  <si>
    <t>-3433万</t>
  </si>
  <si>
    <t>-3115万</t>
  </si>
  <si>
    <t>-3135万</t>
  </si>
  <si>
    <t>-4.03亿</t>
  </si>
  <si>
    <t>珠海中富</t>
  </si>
  <si>
    <t>-877万</t>
  </si>
  <si>
    <t>-1135万</t>
  </si>
  <si>
    <t>-13.5亿</t>
  </si>
  <si>
    <t>天首发展</t>
  </si>
  <si>
    <t>-1023万</t>
  </si>
  <si>
    <t>-86.0万</t>
  </si>
  <si>
    <t>-891万</t>
  </si>
  <si>
    <t>顾地科技</t>
  </si>
  <si>
    <t>-2340万</t>
  </si>
  <si>
    <t>-2286万</t>
  </si>
  <si>
    <t>-1903万</t>
  </si>
  <si>
    <t>5238万</t>
  </si>
  <si>
    <t>用友网络</t>
  </si>
  <si>
    <t>-5365万</t>
  </si>
  <si>
    <t>-5125万</t>
  </si>
  <si>
    <t>先锋新材</t>
  </si>
  <si>
    <t>-1839万</t>
  </si>
  <si>
    <t>-1622万</t>
  </si>
  <si>
    <t>-1217万</t>
  </si>
  <si>
    <t>9174万</t>
  </si>
  <si>
    <t>华升股份</t>
  </si>
  <si>
    <t>-1345万</t>
  </si>
  <si>
    <t>-1344万</t>
  </si>
  <si>
    <t>-1114万</t>
  </si>
  <si>
    <t>4029万</t>
  </si>
  <si>
    <t>嘉凯城</t>
  </si>
  <si>
    <t>-8848万</t>
  </si>
  <si>
    <t>-9198万</t>
  </si>
  <si>
    <t>-9050万</t>
  </si>
  <si>
    <t>-9.01亿</t>
  </si>
  <si>
    <t>天成控股</t>
  </si>
  <si>
    <t>-2178万</t>
  </si>
  <si>
    <t>-2082万</t>
  </si>
  <si>
    <t>6402万</t>
  </si>
  <si>
    <t>*ST慧业</t>
  </si>
  <si>
    <t>-7120万</t>
  </si>
  <si>
    <t>-7124万</t>
  </si>
  <si>
    <t>-5606万</t>
  </si>
  <si>
    <t>9944万</t>
  </si>
  <si>
    <t>金莱特</t>
  </si>
  <si>
    <t>-1408万</t>
  </si>
  <si>
    <t>-1407万</t>
  </si>
  <si>
    <t>海能达</t>
  </si>
  <si>
    <t>-1.27亿</t>
  </si>
  <si>
    <t>威 尔 泰</t>
  </si>
  <si>
    <t>1708万</t>
  </si>
  <si>
    <t>-315万</t>
  </si>
  <si>
    <t>-312万</t>
  </si>
  <si>
    <t>37.5万</t>
  </si>
  <si>
    <t>朗新科技</t>
  </si>
  <si>
    <t>5494万</t>
  </si>
  <si>
    <t>-2929万</t>
  </si>
  <si>
    <t>1396万</t>
  </si>
  <si>
    <t>-2508万</t>
  </si>
  <si>
    <t>九安医疗</t>
  </si>
  <si>
    <t>-2482万</t>
  </si>
  <si>
    <t>-90.0万</t>
  </si>
  <si>
    <t>-2439万</t>
  </si>
  <si>
    <t>-2520万</t>
  </si>
  <si>
    <t>ST沪科</t>
  </si>
  <si>
    <t>-110万</t>
  </si>
  <si>
    <t>-7.67亿</t>
  </si>
  <si>
    <t>5771万</t>
  </si>
  <si>
    <t>光一科技</t>
  </si>
  <si>
    <t>-2079万</t>
  </si>
  <si>
    <t>-1935万</t>
  </si>
  <si>
    <t>仁智股份</t>
  </si>
  <si>
    <t>-1417万</t>
  </si>
  <si>
    <t>-1431万</t>
  </si>
  <si>
    <t>-1264万</t>
  </si>
  <si>
    <t>中海油服</t>
  </si>
  <si>
    <t>-6.38亿</t>
  </si>
  <si>
    <t>-6.12亿</t>
  </si>
  <si>
    <t>708亿</t>
  </si>
  <si>
    <t>置信电气</t>
  </si>
  <si>
    <t>-6643万</t>
  </si>
  <si>
    <t>-6610万</t>
  </si>
  <si>
    <t>-6667万</t>
  </si>
  <si>
    <t>汇源通信</t>
  </si>
  <si>
    <t>7233万</t>
  </si>
  <si>
    <t>-619万</t>
  </si>
  <si>
    <t>-446万</t>
  </si>
  <si>
    <t>-4136万</t>
  </si>
  <si>
    <t>6429万</t>
  </si>
  <si>
    <t>罗普斯金</t>
  </si>
  <si>
    <t>5.79万</t>
  </si>
  <si>
    <t>-2840万</t>
  </si>
  <si>
    <t>-2741万</t>
  </si>
  <si>
    <t>-2790万</t>
  </si>
  <si>
    <t>789万</t>
  </si>
  <si>
    <t>*ST创兴</t>
  </si>
  <si>
    <t>-5.49万</t>
  </si>
  <si>
    <t>-4.36亿</t>
  </si>
  <si>
    <t>6098万</t>
  </si>
  <si>
    <t>9270万</t>
  </si>
  <si>
    <t>宁夏建材</t>
  </si>
  <si>
    <t>-9783万</t>
  </si>
  <si>
    <t>-8928万</t>
  </si>
  <si>
    <t>-8684万</t>
  </si>
  <si>
    <t>中环装备</t>
  </si>
  <si>
    <t>-2397万</t>
  </si>
  <si>
    <t>-131万</t>
  </si>
  <si>
    <t>-2399万</t>
  </si>
  <si>
    <t>-2530万</t>
  </si>
  <si>
    <t>7191万</t>
  </si>
  <si>
    <t>天顺股份</t>
  </si>
  <si>
    <t>3477万</t>
  </si>
  <si>
    <t>-851万</t>
  </si>
  <si>
    <t>海得控制</t>
  </si>
  <si>
    <t>-2000万</t>
  </si>
  <si>
    <t>-80.8万</t>
  </si>
  <si>
    <t>-1917万</t>
  </si>
  <si>
    <t>-2148万</t>
  </si>
  <si>
    <t>1092万</t>
  </si>
  <si>
    <t>西部建设</t>
  </si>
  <si>
    <t>-82.9万</t>
  </si>
  <si>
    <t>焦作万方</t>
  </si>
  <si>
    <t>-9151万</t>
  </si>
  <si>
    <t>-5191万</t>
  </si>
  <si>
    <t>56.9万</t>
  </si>
  <si>
    <t>-5308万</t>
  </si>
  <si>
    <t>-6877万</t>
  </si>
  <si>
    <t>嘉麟杰</t>
  </si>
  <si>
    <t>文一科技</t>
  </si>
  <si>
    <t>6467万</t>
  </si>
  <si>
    <t>-977万</t>
  </si>
  <si>
    <t>-864万</t>
  </si>
  <si>
    <t>青松建化</t>
  </si>
  <si>
    <t>-1138万</t>
  </si>
  <si>
    <t>-1.07亿</t>
  </si>
  <si>
    <t>-8067万</t>
  </si>
  <si>
    <t>-7.47亿</t>
  </si>
  <si>
    <t>卫 士 通</t>
  </si>
  <si>
    <t>954万</t>
  </si>
  <si>
    <t>-8568万</t>
  </si>
  <si>
    <t>美好置业</t>
  </si>
  <si>
    <t>全新好</t>
  </si>
  <si>
    <t>-971万</t>
  </si>
  <si>
    <t>-2.82万</t>
  </si>
  <si>
    <t>-972万</t>
  </si>
  <si>
    <t>-773万</t>
  </si>
  <si>
    <t>-1.33亿</t>
  </si>
  <si>
    <t>6910万</t>
  </si>
  <si>
    <t>天沃科技</t>
  </si>
  <si>
    <t>-4499万</t>
  </si>
  <si>
    <t>-25.2万</t>
  </si>
  <si>
    <t>-4383万</t>
  </si>
  <si>
    <t>-5491万</t>
  </si>
  <si>
    <t>大连圣亚</t>
  </si>
  <si>
    <t>-1014万</t>
  </si>
  <si>
    <t>三变科技</t>
  </si>
  <si>
    <t>-768万</t>
  </si>
  <si>
    <t>8425万</t>
  </si>
  <si>
    <t>人民网</t>
  </si>
  <si>
    <t>-6040万</t>
  </si>
  <si>
    <t>-6011万</t>
  </si>
  <si>
    <t>-5787万</t>
  </si>
  <si>
    <t>中孚信息</t>
  </si>
  <si>
    <t>-651万</t>
  </si>
  <si>
    <t>-641万</t>
  </si>
  <si>
    <t>6662万</t>
  </si>
  <si>
    <t>民和股份</t>
  </si>
  <si>
    <t>-1551万</t>
  </si>
  <si>
    <t>-539万</t>
  </si>
  <si>
    <t>-1557万</t>
  </si>
  <si>
    <t>-1563万</t>
  </si>
  <si>
    <t>-5.58亿</t>
  </si>
  <si>
    <t>神雾环保</t>
  </si>
  <si>
    <t>-6061万</t>
  </si>
  <si>
    <t>-5949万</t>
  </si>
  <si>
    <t>-5907万</t>
  </si>
  <si>
    <t>中原特钢</t>
  </si>
  <si>
    <t>-3386万</t>
  </si>
  <si>
    <t>27.3万</t>
  </si>
  <si>
    <t>-3343万</t>
  </si>
  <si>
    <t>-7665万</t>
  </si>
  <si>
    <t>太化股份</t>
  </si>
  <si>
    <t>-724万</t>
  </si>
  <si>
    <t>-1180万</t>
  </si>
  <si>
    <t>-1198万</t>
  </si>
  <si>
    <t>-6.08亿</t>
  </si>
  <si>
    <t>万集科技</t>
  </si>
  <si>
    <t>3976万</t>
  </si>
  <si>
    <t>7516万</t>
  </si>
  <si>
    <t>-1874万</t>
  </si>
  <si>
    <t>-35.4万</t>
  </si>
  <si>
    <t>-1876万</t>
  </si>
  <si>
    <t>宝色股份</t>
  </si>
  <si>
    <t>-1312万</t>
  </si>
  <si>
    <t>-1172万</t>
  </si>
  <si>
    <t>-1303万</t>
  </si>
  <si>
    <t>吉鑫科技</t>
  </si>
  <si>
    <t>-6454万</t>
  </si>
  <si>
    <t>-5.64万</t>
  </si>
  <si>
    <t>-6475万</t>
  </si>
  <si>
    <t>-5542万</t>
  </si>
  <si>
    <t>海南矿业</t>
  </si>
  <si>
    <t>6.51万</t>
  </si>
  <si>
    <t>-1.39亿</t>
  </si>
  <si>
    <t>-2.85亿</t>
  </si>
  <si>
    <t>华东科技</t>
  </si>
  <si>
    <t>-4.02亿</t>
  </si>
  <si>
    <t>-6.65亿</t>
  </si>
  <si>
    <t>华控赛格</t>
  </si>
  <si>
    <t>3866万</t>
  </si>
  <si>
    <t>-1590万</t>
  </si>
  <si>
    <t>-17.2亿</t>
  </si>
  <si>
    <t>京汉股份</t>
  </si>
  <si>
    <t>-5333万</t>
  </si>
  <si>
    <t>-4685万</t>
  </si>
  <si>
    <t>-4382万</t>
  </si>
  <si>
    <t>98.0亿</t>
  </si>
  <si>
    <t>2352万</t>
  </si>
  <si>
    <t>*ST东电</t>
  </si>
  <si>
    <t>-807万</t>
  </si>
  <si>
    <t>-483万</t>
  </si>
  <si>
    <t>-20.4亿</t>
  </si>
  <si>
    <t>3446万</t>
  </si>
  <si>
    <t>动力源</t>
  </si>
  <si>
    <t>-3457万</t>
  </si>
  <si>
    <t>-6.23万</t>
  </si>
  <si>
    <t>-3263万</t>
  </si>
  <si>
    <t>-3242万</t>
  </si>
  <si>
    <t>航天机电</t>
  </si>
  <si>
    <t>-1.37亿</t>
  </si>
  <si>
    <t>356万</t>
  </si>
  <si>
    <t>-7.86亿</t>
  </si>
  <si>
    <t>金亚科技</t>
  </si>
  <si>
    <t>-367万</t>
  </si>
  <si>
    <t>-410万</t>
  </si>
  <si>
    <t>-5.38亿</t>
  </si>
  <si>
    <t>8799万</t>
  </si>
  <si>
    <t>厚普股份</t>
  </si>
  <si>
    <t>6493万</t>
  </si>
  <si>
    <t>-4084万</t>
  </si>
  <si>
    <t>-4089万</t>
  </si>
  <si>
    <t>-4008万</t>
  </si>
  <si>
    <t>294万</t>
  </si>
  <si>
    <t>航天长峰</t>
  </si>
  <si>
    <t>-1910万</t>
  </si>
  <si>
    <t>-1925万</t>
  </si>
  <si>
    <t>-2319万</t>
  </si>
  <si>
    <t>晓程科技</t>
  </si>
  <si>
    <t>4.80万</t>
  </si>
  <si>
    <t>-2305万</t>
  </si>
  <si>
    <t>ST运盛</t>
  </si>
  <si>
    <t>-962万</t>
  </si>
  <si>
    <t>-909万</t>
  </si>
  <si>
    <t>-660万</t>
  </si>
  <si>
    <t>-1.24亿</t>
  </si>
  <si>
    <t>方正科技</t>
  </si>
  <si>
    <t>-7225万</t>
  </si>
  <si>
    <t>-4.93万</t>
  </si>
  <si>
    <t>-7135万</t>
  </si>
  <si>
    <t>-7627万</t>
  </si>
  <si>
    <t>古鳌科技</t>
  </si>
  <si>
    <t>6489万</t>
  </si>
  <si>
    <t>-1316万</t>
  </si>
  <si>
    <t>-1330万</t>
  </si>
  <si>
    <t>华天酒店</t>
  </si>
  <si>
    <t>-9716万</t>
  </si>
  <si>
    <t>-9713万</t>
  </si>
  <si>
    <t>-7391万</t>
  </si>
  <si>
    <t>宇顺电子</t>
  </si>
  <si>
    <t>7407万</t>
  </si>
  <si>
    <t>-1053万</t>
  </si>
  <si>
    <t>-1048万</t>
  </si>
  <si>
    <t>-1212万</t>
  </si>
  <si>
    <t>-15.4亿</t>
  </si>
  <si>
    <t>獐子岛</t>
  </si>
  <si>
    <t>-874万</t>
  </si>
  <si>
    <t>-887万</t>
  </si>
  <si>
    <t>-900万</t>
  </si>
  <si>
    <t>-15.8亿</t>
  </si>
  <si>
    <t>三泰控股</t>
  </si>
  <si>
    <t>-8807万</t>
  </si>
  <si>
    <t>-1975万</t>
  </si>
  <si>
    <t>-8796万</t>
  </si>
  <si>
    <t>-8794万</t>
  </si>
  <si>
    <t>-8.87亿</t>
  </si>
  <si>
    <t>祁连山</t>
  </si>
  <si>
    <t>-1.63亿</t>
  </si>
  <si>
    <t>*ST哈空</t>
  </si>
  <si>
    <t>6730万</t>
  </si>
  <si>
    <t>-1555万</t>
  </si>
  <si>
    <t>20.3万</t>
  </si>
  <si>
    <t>7778万</t>
  </si>
  <si>
    <t>东方钽业</t>
  </si>
  <si>
    <t>-2910万</t>
  </si>
  <si>
    <t>-34.3万</t>
  </si>
  <si>
    <t>-2906万</t>
  </si>
  <si>
    <t>-2898万</t>
  </si>
  <si>
    <t>-8.13亿</t>
  </si>
  <si>
    <t>科创信息</t>
  </si>
  <si>
    <t>-1011万</t>
  </si>
  <si>
    <t>博思软件</t>
  </si>
  <si>
    <t>7585万</t>
  </si>
  <si>
    <t>达华智能</t>
  </si>
  <si>
    <t>-7497万</t>
  </si>
  <si>
    <t>-1613万</t>
  </si>
  <si>
    <t>-7505万</t>
  </si>
  <si>
    <t>-7770万</t>
  </si>
  <si>
    <t>绿庭投资</t>
  </si>
  <si>
    <t>-1777万</t>
  </si>
  <si>
    <t>-1773万</t>
  </si>
  <si>
    <t>-1850万</t>
  </si>
  <si>
    <t>-6.94亿</t>
  </si>
  <si>
    <t>ST中安</t>
  </si>
  <si>
    <t>-4964万</t>
  </si>
  <si>
    <t>20.7万</t>
  </si>
  <si>
    <t>-4737万</t>
  </si>
  <si>
    <t>-5767万</t>
  </si>
  <si>
    <t>-3.58亿</t>
  </si>
  <si>
    <t>四创电子</t>
  </si>
  <si>
    <t>-5691万</t>
  </si>
  <si>
    <t>-5695万</t>
  </si>
  <si>
    <t>-5893万</t>
  </si>
  <si>
    <t>暴风集团</t>
  </si>
  <si>
    <t>-1.13亿</t>
  </si>
  <si>
    <t>-2954万</t>
  </si>
  <si>
    <t>3740万</t>
  </si>
  <si>
    <t>易联众</t>
  </si>
  <si>
    <t>8068万</t>
  </si>
  <si>
    <t>闽东电力</t>
  </si>
  <si>
    <t>-6111万</t>
  </si>
  <si>
    <t>-2087万</t>
  </si>
  <si>
    <t>-6187万</t>
  </si>
  <si>
    <t>-6214万</t>
  </si>
  <si>
    <t>熙菱信息</t>
  </si>
  <si>
    <t>-652万</t>
  </si>
  <si>
    <t>-656万</t>
  </si>
  <si>
    <t>-687万</t>
  </si>
  <si>
    <t>9449万</t>
  </si>
  <si>
    <t>湘电股份</t>
  </si>
  <si>
    <t>-1.94亿</t>
  </si>
  <si>
    <t>-1.82亿</t>
  </si>
  <si>
    <t>*ST凡谷</t>
  </si>
  <si>
    <t>-4114万</t>
  </si>
  <si>
    <t>-4067万</t>
  </si>
  <si>
    <t>-4193万</t>
  </si>
  <si>
    <t>-1.44亿</t>
  </si>
  <si>
    <t>三维丝</t>
  </si>
  <si>
    <t>-4167万</t>
  </si>
  <si>
    <t>-4192万</t>
  </si>
  <si>
    <t>-3877万</t>
  </si>
  <si>
    <t>同洲电子</t>
  </si>
  <si>
    <t>-2867万</t>
  </si>
  <si>
    <t>-2647万</t>
  </si>
  <si>
    <t>-2655万</t>
  </si>
  <si>
    <t>-8.10亿</t>
  </si>
  <si>
    <t>腾达建设</t>
  </si>
  <si>
    <t>-2976万</t>
  </si>
  <si>
    <t>科蓝软件</t>
  </si>
  <si>
    <t>7306万</t>
  </si>
  <si>
    <t>-2513万</t>
  </si>
  <si>
    <t>91.5万</t>
  </si>
  <si>
    <t>-1976万</t>
  </si>
  <si>
    <t>*ST圣莱</t>
  </si>
  <si>
    <t>-845万</t>
  </si>
  <si>
    <t>-841万</t>
  </si>
  <si>
    <t>8457万</t>
  </si>
  <si>
    <t>32.2万</t>
  </si>
  <si>
    <t>向日葵</t>
  </si>
  <si>
    <t>-4389万</t>
  </si>
  <si>
    <t>-3988万</t>
  </si>
  <si>
    <t>-3864万</t>
  </si>
  <si>
    <t>-1.28亿</t>
  </si>
  <si>
    <t>名雕股份</t>
  </si>
  <si>
    <t>-2323万</t>
  </si>
  <si>
    <t>-2235万</t>
  </si>
  <si>
    <t>-1816万</t>
  </si>
  <si>
    <t>积成电子</t>
  </si>
  <si>
    <t>-5792万</t>
  </si>
  <si>
    <t>-5332万</t>
  </si>
  <si>
    <t>-5225万</t>
  </si>
  <si>
    <t>海南橡胶</t>
  </si>
  <si>
    <t>4249万</t>
  </si>
  <si>
    <t>-2.79亿</t>
  </si>
  <si>
    <t>-2.53亿</t>
  </si>
  <si>
    <t>-5.40亿</t>
  </si>
  <si>
    <t>万方发展</t>
  </si>
  <si>
    <t>-949万</t>
  </si>
  <si>
    <t>-149万</t>
  </si>
  <si>
    <t>-1.79亿</t>
  </si>
  <si>
    <t>中房股份</t>
  </si>
  <si>
    <t>-893万</t>
  </si>
  <si>
    <t>-15.4万</t>
  </si>
  <si>
    <t>-3.99亿</t>
  </si>
  <si>
    <t>共达电声</t>
  </si>
  <si>
    <t>-1385万</t>
  </si>
  <si>
    <t>-1450万</t>
  </si>
  <si>
    <t>理工光科</t>
  </si>
  <si>
    <t>3426万</t>
  </si>
  <si>
    <t>-1494万</t>
  </si>
  <si>
    <t>-1502万</t>
  </si>
  <si>
    <t>9949万</t>
  </si>
  <si>
    <t>9047万</t>
  </si>
  <si>
    <t>湘邮科技</t>
  </si>
  <si>
    <t>-631万</t>
  </si>
  <si>
    <t>4.95万</t>
  </si>
  <si>
    <t>-635万</t>
  </si>
  <si>
    <t>豫能控股</t>
  </si>
  <si>
    <t>-2.93亿</t>
  </si>
  <si>
    <t>-1467万</t>
  </si>
  <si>
    <t>-2.01亿</t>
  </si>
  <si>
    <t>-1.70亿</t>
  </si>
  <si>
    <t>福田汽车</t>
  </si>
  <si>
    <t>-7.80亿</t>
  </si>
  <si>
    <t>-7.41亿</t>
  </si>
  <si>
    <t>-6.04亿</t>
  </si>
  <si>
    <t>663亿</t>
  </si>
  <si>
    <t>元祖股份</t>
  </si>
  <si>
    <t>-2971万</t>
  </si>
  <si>
    <t>-2883万</t>
  </si>
  <si>
    <t>-2983万</t>
  </si>
  <si>
    <t>中孚实业</t>
  </si>
  <si>
    <t>-3.65亿</t>
  </si>
  <si>
    <t>-1.80亿</t>
  </si>
  <si>
    <t>-3.59亿</t>
  </si>
  <si>
    <t>三特索道</t>
  </si>
  <si>
    <t>-1674万</t>
  </si>
  <si>
    <t>-2753万</t>
  </si>
  <si>
    <t>维信诺</t>
  </si>
  <si>
    <t>-1.92亿</t>
  </si>
  <si>
    <t>-4.55亿</t>
  </si>
  <si>
    <t>长白山</t>
  </si>
  <si>
    <t>-3200万</t>
  </si>
  <si>
    <t>-3199万</t>
  </si>
  <si>
    <t>-3192万</t>
  </si>
  <si>
    <t>远大智能</t>
  </si>
  <si>
    <t>-5236万</t>
  </si>
  <si>
    <t>-5228万</t>
  </si>
  <si>
    <t>-5156万</t>
  </si>
  <si>
    <t>协鑫集成</t>
  </si>
  <si>
    <t>-1.21亿</t>
  </si>
  <si>
    <t>-37.3亿</t>
  </si>
  <si>
    <t>山东金泰</t>
  </si>
  <si>
    <t>-4.11亿</t>
  </si>
  <si>
    <t>56.8万</t>
  </si>
  <si>
    <t>5569万</t>
  </si>
  <si>
    <t>合金投资</t>
  </si>
  <si>
    <t>1568万</t>
  </si>
  <si>
    <t>-636万</t>
  </si>
  <si>
    <t>-553万</t>
  </si>
  <si>
    <t>-3.45亿</t>
  </si>
  <si>
    <t>9267万</t>
  </si>
  <si>
    <t>弘信电子</t>
  </si>
  <si>
    <t>6604万</t>
  </si>
  <si>
    <t>-2545万</t>
  </si>
  <si>
    <t>-1834万</t>
  </si>
  <si>
    <t>桂东电力</t>
  </si>
  <si>
    <t>-6928万</t>
  </si>
  <si>
    <t>-6595万</t>
  </si>
  <si>
    <t>-7463万</t>
  </si>
  <si>
    <t>南天信息</t>
  </si>
  <si>
    <t>-5678万</t>
  </si>
  <si>
    <t>-5562万</t>
  </si>
  <si>
    <t>长城动漫</t>
  </si>
  <si>
    <t>-1769万</t>
  </si>
  <si>
    <t>-1639万</t>
  </si>
  <si>
    <t>京城股份</t>
  </si>
  <si>
    <t>-2443万</t>
  </si>
  <si>
    <t>-7.33万</t>
  </si>
  <si>
    <t>-2418万</t>
  </si>
  <si>
    <t>-2165万</t>
  </si>
  <si>
    <t>-5.89亿</t>
  </si>
  <si>
    <t>高斯贝尔</t>
  </si>
  <si>
    <t>8765万</t>
  </si>
  <si>
    <t>-2793万</t>
  </si>
  <si>
    <t>41.2万</t>
  </si>
  <si>
    <t>-2455万</t>
  </si>
  <si>
    <t>-2477万</t>
  </si>
  <si>
    <t>剑桥科技</t>
  </si>
  <si>
    <t>9787万</t>
  </si>
  <si>
    <t>2447万</t>
  </si>
  <si>
    <t>-4112万</t>
  </si>
  <si>
    <t>深南股份</t>
  </si>
  <si>
    <t>-1357万</t>
  </si>
  <si>
    <t>-3.70亿</t>
  </si>
  <si>
    <t>东方网络</t>
  </si>
  <si>
    <t>-4414万</t>
  </si>
  <si>
    <t>-4408万</t>
  </si>
  <si>
    <t>-4086万</t>
  </si>
  <si>
    <t>-1.55亿</t>
  </si>
  <si>
    <t>9530万</t>
  </si>
  <si>
    <t>ST慧球</t>
  </si>
  <si>
    <t>-292万</t>
  </si>
  <si>
    <t>-8.15亿</t>
  </si>
  <si>
    <t>千山药机</t>
  </si>
  <si>
    <t>-8763万</t>
  </si>
  <si>
    <t>-8441万</t>
  </si>
  <si>
    <t>-7793万</t>
  </si>
  <si>
    <t>-6279万</t>
  </si>
  <si>
    <t>国科微</t>
  </si>
  <si>
    <t>-4708万</t>
  </si>
  <si>
    <t>-3790万</t>
  </si>
  <si>
    <t>7763万</t>
  </si>
  <si>
    <t>3212万</t>
  </si>
  <si>
    <t>美丽生态</t>
  </si>
  <si>
    <t>8099万</t>
  </si>
  <si>
    <t>-4691万</t>
  </si>
  <si>
    <t>-4656万</t>
  </si>
  <si>
    <t>-12.2亿</t>
  </si>
  <si>
    <t>6067万</t>
  </si>
  <si>
    <t>9885万</t>
  </si>
  <si>
    <t>宁波富邦</t>
  </si>
  <si>
    <t>-554万</t>
  </si>
  <si>
    <t>3743万</t>
  </si>
  <si>
    <t>404万</t>
  </si>
  <si>
    <t>国新健康</t>
  </si>
  <si>
    <t>-6107万</t>
  </si>
  <si>
    <t>72.7万</t>
  </si>
  <si>
    <t>-6105万</t>
  </si>
  <si>
    <t>-5864万</t>
  </si>
  <si>
    <t>4182万</t>
  </si>
  <si>
    <t>中弘股份</t>
  </si>
  <si>
    <t>-3.08亿</t>
  </si>
  <si>
    <t>-734万</t>
  </si>
  <si>
    <t>-3.05亿</t>
  </si>
  <si>
    <t>-3.15亿</t>
  </si>
  <si>
    <t>-19.6亿</t>
  </si>
  <si>
    <t>*ST三维</t>
  </si>
  <si>
    <t>-2991万</t>
  </si>
  <si>
    <t>-2982万</t>
  </si>
  <si>
    <t>-2895万</t>
  </si>
  <si>
    <t>-11.1亿</t>
  </si>
  <si>
    <t>信息发展</t>
  </si>
  <si>
    <t>6830万</t>
  </si>
  <si>
    <t>3392万</t>
  </si>
  <si>
    <t>4382万</t>
  </si>
  <si>
    <t>-2243万</t>
  </si>
  <si>
    <t>-1824万</t>
  </si>
  <si>
    <t>凯发电气</t>
  </si>
  <si>
    <t>-4274万</t>
  </si>
  <si>
    <t>-4177万</t>
  </si>
  <si>
    <t>国电南自</t>
  </si>
  <si>
    <t>华东数控</t>
  </si>
  <si>
    <t>-3686万</t>
  </si>
  <si>
    <t>-3613万</t>
  </si>
  <si>
    <t>-3132万</t>
  </si>
  <si>
    <t>-4.64亿</t>
  </si>
  <si>
    <t>5535万</t>
  </si>
  <si>
    <t>敦煌种业</t>
  </si>
  <si>
    <t>8565万</t>
  </si>
  <si>
    <t>-5513万</t>
  </si>
  <si>
    <t>-5579万</t>
  </si>
  <si>
    <t>-4137万</t>
  </si>
  <si>
    <t>丝路视觉</t>
  </si>
  <si>
    <t>6230万</t>
  </si>
  <si>
    <t>-2882万</t>
  </si>
  <si>
    <t>-1894万</t>
  </si>
  <si>
    <t>7869万</t>
  </si>
  <si>
    <t>中润资源</t>
  </si>
  <si>
    <t>-5104万</t>
  </si>
  <si>
    <t>-5130万</t>
  </si>
  <si>
    <t>-4626万</t>
  </si>
  <si>
    <t>-9066万</t>
  </si>
  <si>
    <t>8631万</t>
  </si>
  <si>
    <t>5126万</t>
  </si>
  <si>
    <t>盈方微</t>
  </si>
  <si>
    <t>3270万</t>
  </si>
  <si>
    <t>-1791万</t>
  </si>
  <si>
    <t>-1787万</t>
  </si>
  <si>
    <t>-1734万</t>
  </si>
  <si>
    <t>-2.45亿</t>
  </si>
  <si>
    <t>东易日盛</t>
  </si>
  <si>
    <t>7589万</t>
  </si>
  <si>
    <t>-4625万</t>
  </si>
  <si>
    <t>840万</t>
  </si>
  <si>
    <t>-4495万</t>
  </si>
  <si>
    <t>-6207万</t>
  </si>
  <si>
    <t>惠天热电</t>
  </si>
  <si>
    <t>-7563万</t>
  </si>
  <si>
    <t>-7601万</t>
  </si>
  <si>
    <t>-6300万</t>
  </si>
  <si>
    <t>漳泽电力</t>
  </si>
  <si>
    <t>-4.23亿</t>
  </si>
  <si>
    <t>-3.43亿</t>
  </si>
  <si>
    <t>-7.73亿</t>
  </si>
  <si>
    <t>天龙光电</t>
  </si>
  <si>
    <t>-5.37万</t>
  </si>
  <si>
    <t>-1320万</t>
  </si>
  <si>
    <t>-1218万</t>
  </si>
  <si>
    <t>-8.17亿</t>
  </si>
  <si>
    <t>石化机械</t>
  </si>
  <si>
    <t>-8463万</t>
  </si>
  <si>
    <t>-1.00亿</t>
  </si>
  <si>
    <t>信威集团</t>
  </si>
  <si>
    <t>5566万</t>
  </si>
  <si>
    <t>-5.74亿</t>
  </si>
  <si>
    <t>-4.93亿</t>
  </si>
  <si>
    <t>冀东水泥</t>
  </si>
  <si>
    <t>-6.24亿</t>
  </si>
  <si>
    <t>-6.22亿</t>
  </si>
  <si>
    <t>-4.86亿</t>
  </si>
  <si>
    <t>*ST藏旅</t>
  </si>
  <si>
    <t>-2322万</t>
  </si>
  <si>
    <t>-2348万</t>
  </si>
  <si>
    <t>-2309万</t>
  </si>
  <si>
    <t>中国软件</t>
  </si>
  <si>
    <t>-1.50亿</t>
  </si>
  <si>
    <t>风神股份</t>
  </si>
  <si>
    <t>-1.03亿</t>
  </si>
  <si>
    <t>-7.78亿</t>
  </si>
  <si>
    <t>*ST上普</t>
  </si>
  <si>
    <t>6806万</t>
  </si>
  <si>
    <t>-1934万</t>
  </si>
  <si>
    <t>-1978万</t>
  </si>
  <si>
    <t>-10.2亿</t>
  </si>
  <si>
    <t>8051万</t>
  </si>
  <si>
    <t>上海莱士</t>
  </si>
  <si>
    <t>18.1万</t>
  </si>
  <si>
    <t>-8.04亿</t>
  </si>
  <si>
    <t>-8.05亿</t>
  </si>
  <si>
    <t>*ST天业</t>
  </si>
  <si>
    <t>-8202万</t>
  </si>
  <si>
    <t>56.4万</t>
  </si>
  <si>
    <t>-8107万</t>
  </si>
  <si>
    <t>-9838万</t>
  </si>
  <si>
    <t>西部牧业</t>
  </si>
  <si>
    <t>-3283万</t>
  </si>
  <si>
    <t>-3743万</t>
  </si>
  <si>
    <t>-3575万</t>
  </si>
  <si>
    <t>-2.73亿</t>
  </si>
  <si>
    <t>飞乐音响</t>
  </si>
  <si>
    <t>-1.99亿</t>
  </si>
  <si>
    <t>-1.96亿</t>
  </si>
  <si>
    <t>-1.98亿</t>
  </si>
  <si>
    <t>*ST金宇</t>
  </si>
  <si>
    <t>-834万</t>
  </si>
  <si>
    <t>-898万</t>
  </si>
  <si>
    <t>-490万</t>
  </si>
  <si>
    <t>-9896万</t>
  </si>
  <si>
    <t>7826万</t>
  </si>
  <si>
    <t>*ST天化</t>
  </si>
  <si>
    <t>-64.4万</t>
  </si>
  <si>
    <t>8688万</t>
  </si>
  <si>
    <t>-33.3亿</t>
  </si>
  <si>
    <t>ST锐电</t>
  </si>
  <si>
    <t>-7917万</t>
  </si>
  <si>
    <t>-7779万</t>
  </si>
  <si>
    <t>-106亿</t>
  </si>
  <si>
    <t>神雾节能</t>
  </si>
  <si>
    <t>-6678万</t>
  </si>
  <si>
    <t>-35.8万</t>
  </si>
  <si>
    <t>-6656万</t>
  </si>
  <si>
    <t>-6673万</t>
  </si>
  <si>
    <t>康达尔</t>
  </si>
  <si>
    <t>-4862万</t>
  </si>
  <si>
    <t>-34.7万</t>
  </si>
  <si>
    <t>-5634万</t>
  </si>
  <si>
    <t>-4678万</t>
  </si>
  <si>
    <t>建科院</t>
  </si>
  <si>
    <t>3667万</t>
  </si>
  <si>
    <t>-2933万</t>
  </si>
  <si>
    <t>-2724万</t>
  </si>
  <si>
    <t>-2678万</t>
  </si>
  <si>
    <t>5218万</t>
  </si>
  <si>
    <t>弘高创意</t>
  </si>
  <si>
    <t>-7775万</t>
  </si>
  <si>
    <t>-7848万</t>
  </si>
  <si>
    <t>-6521万</t>
  </si>
  <si>
    <t>津劝业</t>
  </si>
  <si>
    <t>-3560万</t>
  </si>
  <si>
    <t>-769万</t>
  </si>
  <si>
    <t>-2.14亿</t>
  </si>
  <si>
    <t>西部资源</t>
  </si>
  <si>
    <t>-51.6万</t>
  </si>
  <si>
    <t>-3174万</t>
  </si>
  <si>
    <t>-2878万</t>
  </si>
  <si>
    <t>-7.38亿</t>
  </si>
  <si>
    <t>申华控股</t>
  </si>
  <si>
    <t>ST昌鱼</t>
  </si>
  <si>
    <t>-1101万</t>
  </si>
  <si>
    <t>-1067万</t>
  </si>
  <si>
    <t>-5.30亿</t>
  </si>
  <si>
    <t>6199万</t>
  </si>
  <si>
    <t>安凯客车</t>
  </si>
  <si>
    <t>-9387万</t>
  </si>
  <si>
    <t>-9385万</t>
  </si>
  <si>
    <t>-8198万</t>
  </si>
  <si>
    <t>思特奇</t>
  </si>
  <si>
    <t>-4919万</t>
  </si>
  <si>
    <t>47.7万</t>
  </si>
  <si>
    <t>-4921万</t>
  </si>
  <si>
    <t>-4925万</t>
  </si>
  <si>
    <t>绿景控股</t>
  </si>
  <si>
    <t>-6.91万</t>
  </si>
  <si>
    <t>-989万</t>
  </si>
  <si>
    <t>-978万</t>
  </si>
  <si>
    <t>-9527万</t>
  </si>
  <si>
    <t>2400万</t>
  </si>
  <si>
    <t>坚瑞沃能</t>
  </si>
  <si>
    <t>-3.51亿</t>
  </si>
  <si>
    <t>-204万</t>
  </si>
  <si>
    <t>-3.19亿</t>
  </si>
  <si>
    <t>-35.1亿</t>
  </si>
  <si>
    <t>凯瑞德</t>
  </si>
  <si>
    <t>4231万</t>
  </si>
  <si>
    <t>-520万</t>
  </si>
  <si>
    <t>-3.50亿</t>
  </si>
  <si>
    <t>*ST 中绒</t>
  </si>
  <si>
    <t>4.75万</t>
  </si>
  <si>
    <t>-1.67亿</t>
  </si>
  <si>
    <t>-65.2万</t>
  </si>
  <si>
    <t>-1.64亿</t>
  </si>
  <si>
    <t>-1.66亿</t>
  </si>
  <si>
    <t>-21.0亿</t>
  </si>
  <si>
    <t>*ST众和</t>
  </si>
  <si>
    <t>-5219万</t>
  </si>
  <si>
    <t>47.1万</t>
  </si>
  <si>
    <t>-5264万</t>
  </si>
  <si>
    <t>-5117万</t>
  </si>
  <si>
    <t>-12.5亿</t>
  </si>
  <si>
    <t>-5.84亿</t>
  </si>
  <si>
    <t>云投生态</t>
  </si>
  <si>
    <t>-3888万</t>
  </si>
  <si>
    <t>-3919万</t>
  </si>
  <si>
    <t>-5.92亿</t>
  </si>
  <si>
    <t>7964万</t>
  </si>
  <si>
    <t>南纺股份</t>
  </si>
  <si>
    <t>-4456万</t>
  </si>
  <si>
    <t>-2819万</t>
  </si>
  <si>
    <t>-4482万</t>
  </si>
  <si>
    <t>-4467万</t>
  </si>
  <si>
    <t>-1.41亿</t>
  </si>
  <si>
    <t>5168万</t>
  </si>
  <si>
    <t>华塑控股</t>
  </si>
  <si>
    <t>天津松江</t>
  </si>
  <si>
    <t>4.13万</t>
  </si>
  <si>
    <t>-1.60亿</t>
  </si>
  <si>
    <t>-8.20亿</t>
  </si>
  <si>
    <t>*ST椰岛</t>
  </si>
  <si>
    <t>-8628万</t>
  </si>
  <si>
    <t>-2653万</t>
  </si>
  <si>
    <t>保变电气</t>
  </si>
  <si>
    <t>-6506万</t>
  </si>
  <si>
    <t>-6324万</t>
  </si>
  <si>
    <t>-5937万</t>
  </si>
  <si>
    <t>-45.9亿</t>
  </si>
  <si>
    <t>*ST华泽</t>
  </si>
  <si>
    <t>-1.11亿</t>
  </si>
  <si>
    <t>-1.15亿</t>
  </si>
  <si>
    <t>7346万</t>
  </si>
  <si>
    <t>-3053万</t>
  </si>
  <si>
    <t>*ST德奥</t>
  </si>
  <si>
    <t>-2695万</t>
  </si>
  <si>
    <t>-2699万</t>
  </si>
  <si>
    <t>-2395万</t>
  </si>
  <si>
    <t>-4.97亿</t>
  </si>
  <si>
    <t>山东地矿</t>
  </si>
  <si>
    <t>-1.18亿</t>
  </si>
  <si>
    <t>南宁糖业</t>
  </si>
  <si>
    <t>-7.07亿</t>
  </si>
  <si>
    <t>商业城</t>
  </si>
  <si>
    <t>-2440万</t>
  </si>
  <si>
    <t>-2.76亿</t>
  </si>
  <si>
    <t>*ST信通</t>
  </si>
  <si>
    <t>-17.3亿</t>
  </si>
  <si>
    <t>*ST海润</t>
  </si>
  <si>
    <t>-1.95亿</t>
  </si>
  <si>
    <t>-49.7亿</t>
  </si>
  <si>
    <t>ST景谷</t>
  </si>
  <si>
    <t>-661万</t>
  </si>
  <si>
    <t>-4.05亿</t>
  </si>
  <si>
    <t>天津磁卡</t>
  </si>
  <si>
    <t>-336万</t>
  </si>
  <si>
    <t>-1291万</t>
  </si>
  <si>
    <t>-7.46亿</t>
  </si>
  <si>
    <t>6289万</t>
  </si>
  <si>
    <t>*ST双环</t>
  </si>
  <si>
    <t>-9490万</t>
  </si>
  <si>
    <t>-9375万</t>
  </si>
  <si>
    <t>-14.5亿</t>
  </si>
  <si>
    <t>南华生物</t>
  </si>
  <si>
    <t>1710万</t>
  </si>
  <si>
    <t>-633万</t>
  </si>
  <si>
    <t>-4.70亿</t>
  </si>
  <si>
    <t>ST仰帆</t>
  </si>
  <si>
    <t>-211万</t>
  </si>
  <si>
    <t>-156万</t>
  </si>
  <si>
    <t>-4.21亿</t>
  </si>
  <si>
    <t>5182万</t>
  </si>
  <si>
    <t>*ST云网</t>
  </si>
  <si>
    <t>-604万</t>
  </si>
  <si>
    <t>6364万</t>
  </si>
  <si>
    <t>乐视网</t>
  </si>
  <si>
    <t>-4.45亿</t>
  </si>
  <si>
    <t>-3.07亿</t>
  </si>
  <si>
    <t>-125亿</t>
  </si>
  <si>
    <t>退市吉恩</t>
  </si>
  <si>
    <t>-69.5万</t>
  </si>
  <si>
    <t>-71.1亿</t>
  </si>
  <si>
    <t>-8.90亿</t>
  </si>
  <si>
    <t>莲花健康</t>
  </si>
  <si>
    <t>-3472万</t>
  </si>
  <si>
    <t>-31.5万</t>
  </si>
  <si>
    <t>-3511万</t>
  </si>
  <si>
    <t>-3031万</t>
  </si>
  <si>
    <t>-14.4亿</t>
  </si>
  <si>
    <t>*ST厦华</t>
  </si>
  <si>
    <t>-53.1万</t>
  </si>
  <si>
    <t>-28.8亿</t>
  </si>
  <si>
    <t>5411万</t>
  </si>
  <si>
    <t>5562万</t>
  </si>
  <si>
    <t>75.0万</t>
  </si>
  <si>
    <t>一汽夏利</t>
  </si>
  <si>
    <t>7230万</t>
  </si>
  <si>
    <t>-36.5亿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</si>
</sst>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640"/>
  <sheetViews>
    <sheetView tabSelected="1" workbookViewId="0">
      <pane ySplit="1" topLeftCell="A2790" activePane="bottomLeft" state="frozen"/>
      <selection pane="bottomLeft" activeCell="N3037" sqref="N3037"/>
    </sheetView>
  </sheetViews>
  <sheetFormatPr defaultColWidth="9" defaultRowHeight="14.6"/>
  <cols>
    <col min="1" max="1" width="5.69140625" customWidth="1"/>
    <col min="2" max="2" width="7.765625" customWidth="1"/>
    <col min="3" max="3" width="9.69140625" customWidth="1"/>
    <col min="4" max="4" width="11.84375" customWidth="1"/>
    <col min="5" max="5" width="7.69140625" customWidth="1"/>
    <col min="6" max="6" width="8.69140625" customWidth="1"/>
    <col min="7" max="7" width="7.69140625" style="2" customWidth="1"/>
    <col min="8" max="9" width="7.07421875" customWidth="1"/>
    <col min="10" max="11" width="8.69140625" customWidth="1"/>
    <col min="12" max="12" width="11.765625" customWidth="1"/>
    <col min="13" max="13" width="8.69140625" customWidth="1"/>
    <col min="14" max="14" width="10.07421875" customWidth="1"/>
    <col min="15" max="33" width="8.07421875" customWidth="1"/>
    <col min="35" max="35" width="10.765625"/>
  </cols>
  <sheetData>
    <row r="1" spans="1:35" s="1" customFormat="1" ht="43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>
      <c r="A2">
        <v>1</v>
      </c>
      <c r="B2" t="str">
        <f>"002188"</f>
        <v>002188</v>
      </c>
      <c r="C2" t="s">
        <v>35</v>
      </c>
      <c r="D2" s="4">
        <v>43190</v>
      </c>
      <c r="E2" t="s">
        <v>36</v>
      </c>
      <c r="F2" t="s">
        <v>37</v>
      </c>
      <c r="G2">
        <v>8617</v>
      </c>
      <c r="H2">
        <v>-0.28000000000000003</v>
      </c>
      <c r="I2">
        <v>-0.24</v>
      </c>
      <c r="J2">
        <v>268.13</v>
      </c>
      <c r="K2" t="s">
        <v>38</v>
      </c>
      <c r="L2">
        <v>-82.44</v>
      </c>
      <c r="M2" t="s">
        <v>39</v>
      </c>
      <c r="N2" t="s">
        <v>40</v>
      </c>
      <c r="O2" t="s">
        <v>41</v>
      </c>
      <c r="P2" t="s">
        <v>41</v>
      </c>
      <c r="Q2">
        <v>-2178.9699999999998</v>
      </c>
      <c r="R2" t="s">
        <v>42</v>
      </c>
      <c r="S2">
        <v>-6.72</v>
      </c>
      <c r="T2">
        <v>-96.68</v>
      </c>
      <c r="U2" t="s">
        <v>43</v>
      </c>
      <c r="V2" t="s">
        <v>44</v>
      </c>
      <c r="W2" t="s">
        <v>45</v>
      </c>
      <c r="X2">
        <v>268.13</v>
      </c>
      <c r="Y2" t="s">
        <v>46</v>
      </c>
      <c r="Z2" t="s">
        <v>47</v>
      </c>
      <c r="AA2" t="s">
        <v>48</v>
      </c>
      <c r="AB2">
        <v>-14.87</v>
      </c>
      <c r="AC2" t="s">
        <v>49</v>
      </c>
      <c r="AD2">
        <v>-10.87</v>
      </c>
      <c r="AE2" t="s">
        <v>50</v>
      </c>
      <c r="AF2">
        <v>5.45</v>
      </c>
      <c r="AG2">
        <v>0</v>
      </c>
      <c r="AH2">
        <v>0</v>
      </c>
      <c r="AI2" s="4">
        <v>39408</v>
      </c>
    </row>
    <row r="3" spans="1:35">
      <c r="A3">
        <v>2</v>
      </c>
      <c r="B3" t="str">
        <f>"600247"</f>
        <v>600247</v>
      </c>
      <c r="C3" t="s">
        <v>51</v>
      </c>
      <c r="D3" s="4">
        <v>43190</v>
      </c>
      <c r="E3" t="s">
        <v>52</v>
      </c>
      <c r="F3" t="s">
        <v>52</v>
      </c>
      <c r="G3" t="s">
        <v>53</v>
      </c>
      <c r="H3">
        <v>0.08</v>
      </c>
      <c r="I3">
        <v>0.09</v>
      </c>
      <c r="J3">
        <v>157.05000000000001</v>
      </c>
      <c r="K3" t="s">
        <v>54</v>
      </c>
      <c r="L3">
        <v>-88.8</v>
      </c>
      <c r="M3" t="s">
        <v>55</v>
      </c>
      <c r="N3">
        <v>0</v>
      </c>
      <c r="O3" t="s">
        <v>56</v>
      </c>
      <c r="P3" t="s">
        <v>57</v>
      </c>
      <c r="Q3">
        <v>108.46</v>
      </c>
      <c r="R3" t="s">
        <v>58</v>
      </c>
      <c r="S3">
        <v>-1.73</v>
      </c>
      <c r="T3">
        <v>12.04</v>
      </c>
      <c r="U3" t="s">
        <v>59</v>
      </c>
      <c r="V3" t="s">
        <v>60</v>
      </c>
      <c r="W3" t="s">
        <v>61</v>
      </c>
      <c r="X3">
        <v>157.05000000000001</v>
      </c>
      <c r="Y3" t="s">
        <v>62</v>
      </c>
      <c r="Z3" t="s">
        <v>63</v>
      </c>
      <c r="AA3" t="s">
        <v>64</v>
      </c>
      <c r="AB3">
        <v>58.09</v>
      </c>
      <c r="AC3" t="s">
        <v>65</v>
      </c>
      <c r="AD3">
        <v>3.19</v>
      </c>
      <c r="AE3" t="s">
        <v>66</v>
      </c>
      <c r="AF3">
        <v>0.65</v>
      </c>
      <c r="AG3">
        <v>0</v>
      </c>
      <c r="AH3">
        <v>0</v>
      </c>
      <c r="AI3" s="4">
        <v>36853</v>
      </c>
    </row>
    <row r="4" spans="1:35">
      <c r="A4">
        <v>3</v>
      </c>
      <c r="B4" t="str">
        <f>"600806"</f>
        <v>600806</v>
      </c>
      <c r="C4" t="s">
        <v>67</v>
      </c>
      <c r="D4" s="4">
        <v>43190</v>
      </c>
      <c r="E4" t="s">
        <v>68</v>
      </c>
      <c r="F4" t="s">
        <v>69</v>
      </c>
      <c r="G4" t="s">
        <v>70</v>
      </c>
      <c r="H4">
        <v>-0.11</v>
      </c>
      <c r="I4">
        <v>-0.18</v>
      </c>
      <c r="J4">
        <v>83.58</v>
      </c>
      <c r="K4" t="s">
        <v>71</v>
      </c>
      <c r="L4">
        <v>8.9700000000000006</v>
      </c>
      <c r="M4" t="s">
        <v>72</v>
      </c>
      <c r="N4">
        <v>0</v>
      </c>
      <c r="O4" t="s">
        <v>73</v>
      </c>
      <c r="P4" t="s">
        <v>74</v>
      </c>
      <c r="Q4">
        <v>5.0599999999999996</v>
      </c>
      <c r="R4" t="s">
        <v>75</v>
      </c>
      <c r="S4">
        <v>-1.44</v>
      </c>
      <c r="T4">
        <v>3.47</v>
      </c>
      <c r="U4" t="s">
        <v>76</v>
      </c>
      <c r="V4" t="s">
        <v>77</v>
      </c>
      <c r="W4" t="s">
        <v>78</v>
      </c>
      <c r="X4">
        <v>83.58</v>
      </c>
      <c r="Y4" t="s">
        <v>79</v>
      </c>
      <c r="Z4" t="s">
        <v>80</v>
      </c>
      <c r="AA4" t="s">
        <v>81</v>
      </c>
      <c r="AB4">
        <v>-8.27</v>
      </c>
      <c r="AC4" t="s">
        <v>82</v>
      </c>
      <c r="AD4">
        <v>-5.83</v>
      </c>
      <c r="AE4" t="s">
        <v>83</v>
      </c>
      <c r="AF4">
        <v>0.04</v>
      </c>
      <c r="AG4">
        <v>0</v>
      </c>
      <c r="AH4" t="s">
        <v>84</v>
      </c>
      <c r="AI4" s="4">
        <v>34337</v>
      </c>
    </row>
    <row r="5" spans="1:35">
      <c r="A5">
        <v>4</v>
      </c>
      <c r="B5" t="str">
        <f>"300747"</f>
        <v>300747</v>
      </c>
      <c r="C5" t="s">
        <v>85</v>
      </c>
      <c r="D5" s="4">
        <v>43100</v>
      </c>
      <c r="E5" t="s">
        <v>86</v>
      </c>
      <c r="F5" t="s">
        <v>87</v>
      </c>
      <c r="G5">
        <v>0</v>
      </c>
      <c r="H5">
        <v>0.88</v>
      </c>
      <c r="I5">
        <v>4.6500000000000004</v>
      </c>
      <c r="J5">
        <v>70.45</v>
      </c>
      <c r="K5" t="s">
        <v>88</v>
      </c>
      <c r="L5">
        <v>82.01</v>
      </c>
      <c r="M5" t="s">
        <v>89</v>
      </c>
      <c r="N5">
        <v>0</v>
      </c>
      <c r="O5" t="s">
        <v>90</v>
      </c>
      <c r="P5" t="s">
        <v>91</v>
      </c>
      <c r="Q5">
        <v>211.31</v>
      </c>
      <c r="R5" t="s">
        <v>52</v>
      </c>
      <c r="S5">
        <v>2.63</v>
      </c>
      <c r="T5">
        <v>46.6</v>
      </c>
      <c r="U5" t="s">
        <v>63</v>
      </c>
      <c r="V5" t="s">
        <v>92</v>
      </c>
      <c r="W5" t="s">
        <v>93</v>
      </c>
      <c r="X5">
        <v>70.45</v>
      </c>
      <c r="Y5" t="s">
        <v>94</v>
      </c>
      <c r="Z5" t="s">
        <v>95</v>
      </c>
      <c r="AA5" t="s">
        <v>96</v>
      </c>
      <c r="AB5">
        <v>8.19</v>
      </c>
      <c r="AC5" t="s">
        <v>97</v>
      </c>
      <c r="AD5">
        <v>67.08</v>
      </c>
      <c r="AE5" t="s">
        <v>98</v>
      </c>
      <c r="AF5">
        <v>0.33</v>
      </c>
      <c r="AG5">
        <v>0</v>
      </c>
      <c r="AH5">
        <v>0</v>
      </c>
      <c r="AI5" t="s">
        <v>99</v>
      </c>
    </row>
    <row r="6" spans="1:35">
      <c r="A6">
        <v>5</v>
      </c>
      <c r="B6" t="str">
        <f>"000720"</f>
        <v>000720</v>
      </c>
      <c r="C6" t="s">
        <v>100</v>
      </c>
      <c r="D6" s="4">
        <v>43190</v>
      </c>
      <c r="E6" t="s">
        <v>101</v>
      </c>
      <c r="F6" t="s">
        <v>102</v>
      </c>
      <c r="G6" t="s">
        <v>103</v>
      </c>
      <c r="H6">
        <v>0.45</v>
      </c>
      <c r="I6">
        <v>1.31</v>
      </c>
      <c r="J6">
        <v>41.4</v>
      </c>
      <c r="K6" t="s">
        <v>104</v>
      </c>
      <c r="L6">
        <v>-33.229999999999997</v>
      </c>
      <c r="M6" t="s">
        <v>105</v>
      </c>
      <c r="N6" t="s">
        <v>106</v>
      </c>
      <c r="O6" t="s">
        <v>107</v>
      </c>
      <c r="P6" t="s">
        <v>108</v>
      </c>
      <c r="Q6">
        <v>1343.26</v>
      </c>
      <c r="R6" t="s">
        <v>109</v>
      </c>
      <c r="S6">
        <v>-0.33</v>
      </c>
      <c r="T6">
        <v>18.059999999999999</v>
      </c>
      <c r="U6" t="s">
        <v>110</v>
      </c>
      <c r="V6" t="s">
        <v>111</v>
      </c>
      <c r="W6" t="s">
        <v>112</v>
      </c>
      <c r="X6">
        <v>41.4</v>
      </c>
      <c r="Y6" t="s">
        <v>113</v>
      </c>
      <c r="Z6" t="s">
        <v>114</v>
      </c>
      <c r="AA6" t="s">
        <v>115</v>
      </c>
      <c r="AB6">
        <v>2.85</v>
      </c>
      <c r="AC6" t="s">
        <v>115</v>
      </c>
      <c r="AD6">
        <v>30.01</v>
      </c>
      <c r="AE6" t="s">
        <v>116</v>
      </c>
      <c r="AF6">
        <v>0.53</v>
      </c>
      <c r="AG6">
        <v>0</v>
      </c>
      <c r="AH6">
        <v>0</v>
      </c>
      <c r="AI6" s="4">
        <v>35559</v>
      </c>
    </row>
    <row r="7" spans="1:35">
      <c r="A7">
        <v>6</v>
      </c>
      <c r="B7" t="str">
        <f>"300361"</f>
        <v>300361</v>
      </c>
      <c r="C7" t="s">
        <v>117</v>
      </c>
      <c r="D7" s="4">
        <v>41547</v>
      </c>
      <c r="E7" t="s">
        <v>118</v>
      </c>
      <c r="F7">
        <v>0</v>
      </c>
      <c r="G7">
        <v>0</v>
      </c>
      <c r="H7">
        <v>1.27</v>
      </c>
      <c r="I7">
        <v>3.75</v>
      </c>
      <c r="J7">
        <v>37.47</v>
      </c>
      <c r="K7" t="s">
        <v>119</v>
      </c>
      <c r="L7">
        <v>33.619999999999997</v>
      </c>
      <c r="M7" t="s">
        <v>120</v>
      </c>
      <c r="N7">
        <v>0</v>
      </c>
      <c r="O7" t="s">
        <v>121</v>
      </c>
      <c r="P7" t="s">
        <v>122</v>
      </c>
      <c r="Q7">
        <v>39.11</v>
      </c>
      <c r="R7" t="s">
        <v>123</v>
      </c>
      <c r="S7">
        <v>2.12</v>
      </c>
      <c r="T7">
        <v>93.48</v>
      </c>
      <c r="U7" t="s">
        <v>124</v>
      </c>
      <c r="V7" t="s">
        <v>125</v>
      </c>
      <c r="W7" t="s">
        <v>126</v>
      </c>
      <c r="X7">
        <v>37.47</v>
      </c>
      <c r="Y7" t="s">
        <v>127</v>
      </c>
      <c r="Z7" t="s">
        <v>128</v>
      </c>
      <c r="AA7" t="s">
        <v>129</v>
      </c>
      <c r="AB7">
        <v>19.47</v>
      </c>
      <c r="AC7" t="s">
        <v>130</v>
      </c>
      <c r="AD7">
        <v>59</v>
      </c>
      <c r="AE7" t="s">
        <v>131</v>
      </c>
      <c r="AF7">
        <v>0.47</v>
      </c>
      <c r="AG7">
        <v>0</v>
      </c>
      <c r="AH7">
        <v>0</v>
      </c>
      <c r="AI7" t="s">
        <v>99</v>
      </c>
    </row>
    <row r="8" spans="1:35">
      <c r="A8">
        <v>7</v>
      </c>
      <c r="B8" t="str">
        <f>"300272"</f>
        <v>300272</v>
      </c>
      <c r="C8" t="s">
        <v>132</v>
      </c>
      <c r="D8" s="4">
        <v>43190</v>
      </c>
      <c r="E8" t="s">
        <v>133</v>
      </c>
      <c r="F8" t="s">
        <v>134</v>
      </c>
      <c r="G8" s="2" t="s">
        <v>135</v>
      </c>
      <c r="H8">
        <v>0.89</v>
      </c>
      <c r="I8">
        <v>2.82</v>
      </c>
      <c r="J8">
        <v>36.94</v>
      </c>
      <c r="K8" t="s">
        <v>136</v>
      </c>
      <c r="L8">
        <v>18.48</v>
      </c>
      <c r="M8" t="s">
        <v>137</v>
      </c>
      <c r="N8" t="s">
        <v>138</v>
      </c>
      <c r="O8" t="s">
        <v>137</v>
      </c>
      <c r="P8" t="s">
        <v>139</v>
      </c>
      <c r="Q8">
        <v>3011.83</v>
      </c>
      <c r="R8" t="s">
        <v>140</v>
      </c>
      <c r="S8">
        <v>1.1599999999999999</v>
      </c>
      <c r="T8">
        <v>30.94</v>
      </c>
      <c r="U8" t="s">
        <v>141</v>
      </c>
      <c r="V8" t="s">
        <v>142</v>
      </c>
      <c r="W8" t="s">
        <v>143</v>
      </c>
      <c r="X8">
        <v>36.94</v>
      </c>
      <c r="Y8" t="s">
        <v>144</v>
      </c>
      <c r="Z8" t="s">
        <v>145</v>
      </c>
      <c r="AA8" t="s">
        <v>146</v>
      </c>
      <c r="AB8">
        <v>3.82</v>
      </c>
      <c r="AC8" t="s">
        <v>147</v>
      </c>
      <c r="AD8">
        <v>76.08</v>
      </c>
      <c r="AE8" t="s">
        <v>148</v>
      </c>
      <c r="AF8">
        <v>0.5</v>
      </c>
      <c r="AG8">
        <v>0</v>
      </c>
      <c r="AH8">
        <v>0</v>
      </c>
      <c r="AI8" s="4">
        <v>40849</v>
      </c>
    </row>
    <row r="9" spans="1:35">
      <c r="A9">
        <v>8</v>
      </c>
      <c r="B9" t="str">
        <f>"603486"</f>
        <v>603486</v>
      </c>
      <c r="C9" t="s">
        <v>149</v>
      </c>
      <c r="D9" s="4">
        <v>43100</v>
      </c>
      <c r="E9" t="s">
        <v>150</v>
      </c>
      <c r="F9" t="s">
        <v>151</v>
      </c>
      <c r="G9">
        <v>0</v>
      </c>
      <c r="H9">
        <v>0.23</v>
      </c>
      <c r="I9">
        <v>5.27</v>
      </c>
      <c r="J9">
        <v>35.200000000000003</v>
      </c>
      <c r="K9" t="s">
        <v>152</v>
      </c>
      <c r="L9">
        <v>38.89</v>
      </c>
      <c r="M9" t="s">
        <v>153</v>
      </c>
      <c r="N9" t="s">
        <v>154</v>
      </c>
      <c r="O9" t="s">
        <v>155</v>
      </c>
      <c r="P9" t="s">
        <v>156</v>
      </c>
      <c r="Q9">
        <v>636.48</v>
      </c>
      <c r="R9" t="s">
        <v>157</v>
      </c>
      <c r="S9">
        <v>1.1499999999999999</v>
      </c>
      <c r="T9">
        <v>36.58</v>
      </c>
      <c r="U9" t="s">
        <v>158</v>
      </c>
      <c r="V9" t="s">
        <v>159</v>
      </c>
      <c r="W9" t="s">
        <v>160</v>
      </c>
      <c r="X9">
        <v>35.200000000000003</v>
      </c>
      <c r="Y9" t="s">
        <v>161</v>
      </c>
      <c r="Z9" t="s">
        <v>162</v>
      </c>
      <c r="AA9" t="s">
        <v>163</v>
      </c>
      <c r="AB9">
        <v>12.95</v>
      </c>
      <c r="AC9" t="s">
        <v>164</v>
      </c>
      <c r="AD9">
        <v>46.49</v>
      </c>
      <c r="AE9" t="s">
        <v>165</v>
      </c>
      <c r="AF9">
        <v>2.74</v>
      </c>
      <c r="AG9">
        <v>0</v>
      </c>
      <c r="AH9">
        <v>0</v>
      </c>
      <c r="AI9" s="4">
        <v>43248</v>
      </c>
    </row>
    <row r="10" spans="1:35">
      <c r="A10">
        <v>9</v>
      </c>
      <c r="B10" t="str">
        <f>"600319"</f>
        <v>600319</v>
      </c>
      <c r="C10" t="s">
        <v>166</v>
      </c>
      <c r="D10" s="4">
        <v>43190</v>
      </c>
      <c r="E10" t="s">
        <v>167</v>
      </c>
      <c r="F10" t="s">
        <v>167</v>
      </c>
      <c r="G10" t="s">
        <v>168</v>
      </c>
      <c r="H10">
        <v>0.04</v>
      </c>
      <c r="I10">
        <v>0.14000000000000001</v>
      </c>
      <c r="J10">
        <v>29.6</v>
      </c>
      <c r="K10" t="s">
        <v>169</v>
      </c>
      <c r="L10">
        <v>7.75</v>
      </c>
      <c r="M10" t="s">
        <v>170</v>
      </c>
      <c r="N10">
        <v>0</v>
      </c>
      <c r="O10" t="s">
        <v>171</v>
      </c>
      <c r="P10" t="s">
        <v>171</v>
      </c>
      <c r="Q10">
        <v>5366.2</v>
      </c>
      <c r="R10" t="s">
        <v>172</v>
      </c>
      <c r="S10">
        <v>-3.72</v>
      </c>
      <c r="T10">
        <v>10.84</v>
      </c>
      <c r="U10" t="s">
        <v>173</v>
      </c>
      <c r="V10" t="s">
        <v>174</v>
      </c>
      <c r="W10" t="s">
        <v>175</v>
      </c>
      <c r="X10">
        <v>29.6</v>
      </c>
      <c r="Y10" t="s">
        <v>176</v>
      </c>
      <c r="Z10" t="s">
        <v>124</v>
      </c>
      <c r="AA10" t="s">
        <v>177</v>
      </c>
      <c r="AB10">
        <v>47.8</v>
      </c>
      <c r="AC10" t="s">
        <v>178</v>
      </c>
      <c r="AD10">
        <v>3.07</v>
      </c>
      <c r="AE10" t="s">
        <v>179</v>
      </c>
      <c r="AF10">
        <v>2.7</v>
      </c>
      <c r="AG10">
        <v>0</v>
      </c>
      <c r="AH10">
        <v>0</v>
      </c>
      <c r="AI10" s="4">
        <v>36976</v>
      </c>
    </row>
    <row r="11" spans="1:35">
      <c r="A11">
        <v>10</v>
      </c>
      <c r="B11" t="str">
        <f>"603650"</f>
        <v>603650</v>
      </c>
      <c r="C11" t="s">
        <v>180</v>
      </c>
      <c r="D11" s="4">
        <v>43100</v>
      </c>
      <c r="E11" t="s">
        <v>181</v>
      </c>
      <c r="F11" t="s">
        <v>182</v>
      </c>
      <c r="G11">
        <v>0</v>
      </c>
      <c r="H11">
        <v>0.19</v>
      </c>
      <c r="I11">
        <v>2.17</v>
      </c>
      <c r="J11">
        <v>27.99</v>
      </c>
      <c r="K11" t="s">
        <v>183</v>
      </c>
      <c r="L11">
        <v>9.7100000000000009</v>
      </c>
      <c r="M11" t="s">
        <v>184</v>
      </c>
      <c r="N11">
        <v>0</v>
      </c>
      <c r="O11" t="s">
        <v>185</v>
      </c>
      <c r="P11" t="s">
        <v>186</v>
      </c>
      <c r="Q11">
        <v>19.84</v>
      </c>
      <c r="R11" t="s">
        <v>78</v>
      </c>
      <c r="S11">
        <v>0.69</v>
      </c>
      <c r="T11">
        <v>35.630000000000003</v>
      </c>
      <c r="U11" t="s">
        <v>187</v>
      </c>
      <c r="V11" t="s">
        <v>141</v>
      </c>
      <c r="W11" t="s">
        <v>188</v>
      </c>
      <c r="X11">
        <v>27.99</v>
      </c>
      <c r="Y11" t="s">
        <v>189</v>
      </c>
      <c r="Z11" t="s">
        <v>190</v>
      </c>
      <c r="AA11" t="s">
        <v>191</v>
      </c>
      <c r="AB11">
        <v>5.68</v>
      </c>
      <c r="AC11" t="s">
        <v>192</v>
      </c>
      <c r="AD11">
        <v>62.4</v>
      </c>
      <c r="AE11" t="s">
        <v>193</v>
      </c>
      <c r="AF11">
        <v>0.36</v>
      </c>
      <c r="AG11">
        <v>0</v>
      </c>
      <c r="AH11">
        <v>0</v>
      </c>
      <c r="AI11" t="s">
        <v>99</v>
      </c>
    </row>
    <row r="12" spans="1:35">
      <c r="A12">
        <v>11</v>
      </c>
      <c r="B12" t="str">
        <f>"002257"</f>
        <v>002257</v>
      </c>
      <c r="C12" t="s">
        <v>194</v>
      </c>
      <c r="D12" s="4">
        <v>39447</v>
      </c>
      <c r="E12" t="s">
        <v>195</v>
      </c>
      <c r="F12">
        <v>0</v>
      </c>
      <c r="G12">
        <v>0</v>
      </c>
      <c r="H12">
        <v>1.1499999999999999</v>
      </c>
      <c r="I12">
        <v>4.66</v>
      </c>
      <c r="J12">
        <v>26.62</v>
      </c>
      <c r="K12" t="s">
        <v>196</v>
      </c>
      <c r="L12">
        <v>25.42</v>
      </c>
      <c r="M12" t="s">
        <v>197</v>
      </c>
      <c r="N12">
        <v>0</v>
      </c>
      <c r="O12" t="s">
        <v>198</v>
      </c>
      <c r="P12" t="s">
        <v>199</v>
      </c>
      <c r="Q12">
        <v>56.18</v>
      </c>
      <c r="R12" t="s">
        <v>200</v>
      </c>
      <c r="S12">
        <v>2.5299999999999998</v>
      </c>
      <c r="T12">
        <v>42.6</v>
      </c>
      <c r="U12" t="s">
        <v>201</v>
      </c>
      <c r="V12" t="s">
        <v>202</v>
      </c>
      <c r="W12" t="s">
        <v>203</v>
      </c>
      <c r="X12">
        <v>26.62</v>
      </c>
      <c r="Y12" t="s">
        <v>204</v>
      </c>
      <c r="Z12" t="s">
        <v>205</v>
      </c>
      <c r="AA12" t="s">
        <v>206</v>
      </c>
      <c r="AB12">
        <v>4.68</v>
      </c>
      <c r="AC12" t="s">
        <v>204</v>
      </c>
      <c r="AD12">
        <v>49.67</v>
      </c>
      <c r="AE12" t="s">
        <v>207</v>
      </c>
      <c r="AF12">
        <v>0.86</v>
      </c>
      <c r="AG12">
        <v>0</v>
      </c>
      <c r="AH12">
        <v>0</v>
      </c>
      <c r="AI12" t="s">
        <v>99</v>
      </c>
    </row>
    <row r="13" spans="1:35">
      <c r="A13">
        <v>12</v>
      </c>
      <c r="B13" t="str">
        <f>"600671"</f>
        <v>600671</v>
      </c>
      <c r="C13" t="s">
        <v>208</v>
      </c>
      <c r="D13" s="4">
        <v>43190</v>
      </c>
      <c r="E13" t="s">
        <v>209</v>
      </c>
      <c r="F13" t="s">
        <v>209</v>
      </c>
      <c r="G13" t="s">
        <v>210</v>
      </c>
      <c r="H13">
        <v>0.17</v>
      </c>
      <c r="I13">
        <v>0.72</v>
      </c>
      <c r="J13">
        <v>26.25</v>
      </c>
      <c r="K13" t="s">
        <v>211</v>
      </c>
      <c r="L13">
        <v>280.98</v>
      </c>
      <c r="M13" t="s">
        <v>212</v>
      </c>
      <c r="N13">
        <v>0</v>
      </c>
      <c r="O13" t="s">
        <v>213</v>
      </c>
      <c r="P13" t="s">
        <v>214</v>
      </c>
      <c r="Q13">
        <v>755.39</v>
      </c>
      <c r="R13" t="s">
        <v>215</v>
      </c>
      <c r="S13">
        <v>-0.9</v>
      </c>
      <c r="T13">
        <v>33.03</v>
      </c>
      <c r="U13" t="s">
        <v>216</v>
      </c>
      <c r="V13" t="s">
        <v>217</v>
      </c>
      <c r="W13" t="s">
        <v>93</v>
      </c>
      <c r="X13">
        <v>26.25</v>
      </c>
      <c r="Y13" t="s">
        <v>218</v>
      </c>
      <c r="Z13" t="s">
        <v>219</v>
      </c>
      <c r="AA13" t="s">
        <v>197</v>
      </c>
      <c r="AB13">
        <v>22.45</v>
      </c>
      <c r="AC13" t="s">
        <v>220</v>
      </c>
      <c r="AD13">
        <v>18.13</v>
      </c>
      <c r="AE13" t="s">
        <v>221</v>
      </c>
      <c r="AF13">
        <v>0.42</v>
      </c>
      <c r="AG13">
        <v>0</v>
      </c>
      <c r="AH13">
        <v>0</v>
      </c>
      <c r="AI13" s="4">
        <v>34204</v>
      </c>
    </row>
    <row r="14" spans="1:35">
      <c r="A14">
        <v>13</v>
      </c>
      <c r="B14" t="str">
        <f>"000717"</f>
        <v>000717</v>
      </c>
      <c r="C14" t="s">
        <v>222</v>
      </c>
      <c r="D14" s="4">
        <v>43190</v>
      </c>
      <c r="E14" t="s">
        <v>223</v>
      </c>
      <c r="F14" t="s">
        <v>223</v>
      </c>
      <c r="G14" t="s">
        <v>224</v>
      </c>
      <c r="H14">
        <v>0.35</v>
      </c>
      <c r="I14">
        <v>1.58</v>
      </c>
      <c r="J14">
        <v>25</v>
      </c>
      <c r="K14" t="s">
        <v>225</v>
      </c>
      <c r="L14">
        <v>15.89</v>
      </c>
      <c r="M14" t="s">
        <v>226</v>
      </c>
      <c r="N14" t="s">
        <v>227</v>
      </c>
      <c r="O14" t="s">
        <v>226</v>
      </c>
      <c r="P14" t="s">
        <v>226</v>
      </c>
      <c r="Q14">
        <v>410.42</v>
      </c>
      <c r="R14" t="s">
        <v>228</v>
      </c>
      <c r="S14">
        <v>-1.02</v>
      </c>
      <c r="T14">
        <v>16.3</v>
      </c>
      <c r="U14" t="s">
        <v>229</v>
      </c>
      <c r="V14" t="s">
        <v>230</v>
      </c>
      <c r="W14" t="s">
        <v>231</v>
      </c>
      <c r="X14">
        <v>25</v>
      </c>
      <c r="Y14" t="s">
        <v>232</v>
      </c>
      <c r="Z14" t="s">
        <v>233</v>
      </c>
      <c r="AA14" t="s">
        <v>234</v>
      </c>
      <c r="AB14">
        <v>4.1399999999999997</v>
      </c>
      <c r="AC14" t="s">
        <v>235</v>
      </c>
      <c r="AD14">
        <v>27.57</v>
      </c>
      <c r="AE14" t="s">
        <v>236</v>
      </c>
      <c r="AF14">
        <v>1.33</v>
      </c>
      <c r="AG14">
        <v>0</v>
      </c>
      <c r="AH14">
        <v>0</v>
      </c>
      <c r="AI14" s="4">
        <v>35558</v>
      </c>
    </row>
    <row r="15" spans="1:35">
      <c r="A15">
        <v>14</v>
      </c>
      <c r="B15" t="str">
        <f>"300251"</f>
        <v>300251</v>
      </c>
      <c r="C15" t="s">
        <v>237</v>
      </c>
      <c r="D15" s="4">
        <v>43190</v>
      </c>
      <c r="E15" t="s">
        <v>238</v>
      </c>
      <c r="F15" t="s">
        <v>239</v>
      </c>
      <c r="G15" t="s">
        <v>240</v>
      </c>
      <c r="H15">
        <v>0.68</v>
      </c>
      <c r="I15">
        <v>3.35</v>
      </c>
      <c r="J15">
        <v>21.17</v>
      </c>
      <c r="K15" t="s">
        <v>241</v>
      </c>
      <c r="L15">
        <v>-34.25</v>
      </c>
      <c r="M15" t="s">
        <v>242</v>
      </c>
      <c r="N15" t="s">
        <v>243</v>
      </c>
      <c r="O15" t="s">
        <v>244</v>
      </c>
      <c r="P15" t="s">
        <v>119</v>
      </c>
      <c r="Q15">
        <v>976.95</v>
      </c>
      <c r="R15" t="s">
        <v>245</v>
      </c>
      <c r="S15">
        <v>1.3</v>
      </c>
      <c r="T15">
        <v>37.76</v>
      </c>
      <c r="U15" t="s">
        <v>246</v>
      </c>
      <c r="V15" t="s">
        <v>247</v>
      </c>
      <c r="W15" t="s">
        <v>248</v>
      </c>
      <c r="X15">
        <v>21.17</v>
      </c>
      <c r="Y15" t="s">
        <v>249</v>
      </c>
      <c r="Z15" t="s">
        <v>250</v>
      </c>
      <c r="AA15" t="s">
        <v>251</v>
      </c>
      <c r="AB15">
        <v>2.75</v>
      </c>
      <c r="AC15" t="s">
        <v>252</v>
      </c>
      <c r="AD15">
        <v>76.069999999999993</v>
      </c>
      <c r="AE15" t="s">
        <v>253</v>
      </c>
      <c r="AF15">
        <v>0.85</v>
      </c>
      <c r="AG15">
        <v>0</v>
      </c>
      <c r="AH15">
        <v>0</v>
      </c>
      <c r="AI15" s="4">
        <v>40758</v>
      </c>
    </row>
    <row r="16" spans="1:35">
      <c r="A16">
        <v>15</v>
      </c>
      <c r="B16" t="str">
        <f>"300618"</f>
        <v>300618</v>
      </c>
      <c r="C16" t="s">
        <v>254</v>
      </c>
      <c r="D16" s="4">
        <v>43190</v>
      </c>
      <c r="E16" t="s">
        <v>255</v>
      </c>
      <c r="F16" t="s">
        <v>256</v>
      </c>
      <c r="G16" s="2">
        <v>3338</v>
      </c>
      <c r="H16">
        <v>1.33</v>
      </c>
      <c r="I16">
        <v>5.7</v>
      </c>
      <c r="J16">
        <v>20.82</v>
      </c>
      <c r="K16" t="s">
        <v>46</v>
      </c>
      <c r="L16">
        <v>218.67</v>
      </c>
      <c r="M16" t="s">
        <v>143</v>
      </c>
      <c r="N16" t="s">
        <v>257</v>
      </c>
      <c r="O16" t="s">
        <v>143</v>
      </c>
      <c r="P16" t="s">
        <v>258</v>
      </c>
      <c r="Q16">
        <v>412.52</v>
      </c>
      <c r="R16" t="s">
        <v>259</v>
      </c>
      <c r="S16">
        <v>3</v>
      </c>
      <c r="T16">
        <v>53.12</v>
      </c>
      <c r="U16" t="s">
        <v>260</v>
      </c>
      <c r="V16" t="s">
        <v>261</v>
      </c>
      <c r="W16" t="s">
        <v>262</v>
      </c>
      <c r="X16">
        <v>20.82</v>
      </c>
      <c r="Y16" t="s">
        <v>263</v>
      </c>
      <c r="Z16" t="s">
        <v>264</v>
      </c>
      <c r="AA16" t="s">
        <v>94</v>
      </c>
      <c r="AB16">
        <v>19.68</v>
      </c>
      <c r="AC16" t="s">
        <v>264</v>
      </c>
      <c r="AD16">
        <v>45.53</v>
      </c>
      <c r="AE16" t="s">
        <v>265</v>
      </c>
      <c r="AF16">
        <v>1.5</v>
      </c>
      <c r="AG16">
        <v>0</v>
      </c>
      <c r="AH16">
        <v>0</v>
      </c>
      <c r="AI16" s="4">
        <v>42800</v>
      </c>
    </row>
    <row r="17" spans="1:35">
      <c r="A17">
        <v>16</v>
      </c>
      <c r="B17" t="str">
        <f>"600423"</f>
        <v>600423</v>
      </c>
      <c r="C17" t="s">
        <v>266</v>
      </c>
      <c r="D17" s="4">
        <v>43190</v>
      </c>
      <c r="E17" t="s">
        <v>267</v>
      </c>
      <c r="F17" t="s">
        <v>267</v>
      </c>
      <c r="G17" t="s">
        <v>268</v>
      </c>
      <c r="H17">
        <v>0.02</v>
      </c>
      <c r="I17">
        <v>0.12</v>
      </c>
      <c r="J17">
        <v>18.96</v>
      </c>
      <c r="K17" t="s">
        <v>269</v>
      </c>
      <c r="L17">
        <v>32.54</v>
      </c>
      <c r="M17" t="s">
        <v>270</v>
      </c>
      <c r="N17">
        <v>0</v>
      </c>
      <c r="O17" t="s">
        <v>271</v>
      </c>
      <c r="P17" t="s">
        <v>271</v>
      </c>
      <c r="Q17">
        <v>-80.11</v>
      </c>
      <c r="R17" t="s">
        <v>272</v>
      </c>
      <c r="S17">
        <v>-2.4</v>
      </c>
      <c r="T17">
        <v>17.399999999999999</v>
      </c>
      <c r="U17" t="s">
        <v>273</v>
      </c>
      <c r="V17" t="s">
        <v>274</v>
      </c>
      <c r="W17" t="s">
        <v>275</v>
      </c>
      <c r="X17">
        <v>18.96</v>
      </c>
      <c r="Y17" t="s">
        <v>236</v>
      </c>
      <c r="Z17" t="s">
        <v>276</v>
      </c>
      <c r="AA17" t="s">
        <v>277</v>
      </c>
      <c r="AB17">
        <v>39.21</v>
      </c>
      <c r="AC17" t="s">
        <v>278</v>
      </c>
      <c r="AD17">
        <v>1.5</v>
      </c>
      <c r="AE17" t="s">
        <v>44</v>
      </c>
      <c r="AF17">
        <v>1.28</v>
      </c>
      <c r="AG17">
        <v>0</v>
      </c>
      <c r="AH17">
        <v>0</v>
      </c>
      <c r="AI17" s="4">
        <v>37819</v>
      </c>
    </row>
    <row r="18" spans="1:35">
      <c r="A18">
        <v>17</v>
      </c>
      <c r="B18" t="str">
        <f>"603706"</f>
        <v>603706</v>
      </c>
      <c r="C18" t="s">
        <v>279</v>
      </c>
      <c r="D18" s="4">
        <v>43100</v>
      </c>
      <c r="E18" t="s">
        <v>280</v>
      </c>
      <c r="F18">
        <v>0</v>
      </c>
      <c r="G18">
        <v>0</v>
      </c>
      <c r="H18">
        <v>0.16</v>
      </c>
      <c r="I18">
        <v>4.6100000000000003</v>
      </c>
      <c r="J18">
        <v>18.829999999999998</v>
      </c>
      <c r="K18" t="s">
        <v>123</v>
      </c>
      <c r="L18">
        <v>36.86</v>
      </c>
      <c r="M18" t="s">
        <v>256</v>
      </c>
      <c r="N18" t="s">
        <v>281</v>
      </c>
      <c r="O18" t="s">
        <v>282</v>
      </c>
      <c r="P18" t="s">
        <v>283</v>
      </c>
      <c r="Q18">
        <v>-32.450000000000003</v>
      </c>
      <c r="R18" t="s">
        <v>284</v>
      </c>
      <c r="S18">
        <v>1.46</v>
      </c>
      <c r="T18">
        <v>37.81</v>
      </c>
      <c r="U18" t="s">
        <v>285</v>
      </c>
      <c r="V18" t="s">
        <v>286</v>
      </c>
      <c r="W18" t="s">
        <v>143</v>
      </c>
      <c r="X18">
        <v>18.829999999999998</v>
      </c>
      <c r="Y18" t="s">
        <v>217</v>
      </c>
      <c r="Z18" t="s">
        <v>200</v>
      </c>
      <c r="AA18" t="s">
        <v>287</v>
      </c>
      <c r="AB18" t="s">
        <v>288</v>
      </c>
      <c r="AC18" t="s">
        <v>289</v>
      </c>
      <c r="AD18">
        <v>67.52</v>
      </c>
      <c r="AE18" t="s">
        <v>290</v>
      </c>
      <c r="AF18">
        <v>1.4</v>
      </c>
      <c r="AG18">
        <v>0</v>
      </c>
      <c r="AH18">
        <v>0</v>
      </c>
      <c r="AI18" t="s">
        <v>99</v>
      </c>
    </row>
    <row r="19" spans="1:35">
      <c r="A19">
        <v>18</v>
      </c>
      <c r="B19" t="str">
        <f>"300176"</f>
        <v>300176</v>
      </c>
      <c r="C19" t="s">
        <v>291</v>
      </c>
      <c r="D19" s="4">
        <v>43190</v>
      </c>
      <c r="E19" t="s">
        <v>292</v>
      </c>
      <c r="F19" t="s">
        <v>293</v>
      </c>
      <c r="G19" s="2" t="s">
        <v>294</v>
      </c>
      <c r="H19">
        <v>1.0900000000000001</v>
      </c>
      <c r="I19">
        <v>5.94</v>
      </c>
      <c r="J19">
        <v>18.23</v>
      </c>
      <c r="K19" t="s">
        <v>295</v>
      </c>
      <c r="L19">
        <v>184.08</v>
      </c>
      <c r="M19" t="s">
        <v>296</v>
      </c>
      <c r="N19">
        <v>0</v>
      </c>
      <c r="O19" t="s">
        <v>296</v>
      </c>
      <c r="P19" t="s">
        <v>262</v>
      </c>
      <c r="Q19">
        <v>1564.37</v>
      </c>
      <c r="R19" t="s">
        <v>297</v>
      </c>
      <c r="S19">
        <v>3.62</v>
      </c>
      <c r="T19">
        <v>71.069999999999993</v>
      </c>
      <c r="U19" t="s">
        <v>239</v>
      </c>
      <c r="V19" t="s">
        <v>298</v>
      </c>
      <c r="W19" t="s">
        <v>299</v>
      </c>
      <c r="X19">
        <v>18.23</v>
      </c>
      <c r="Y19" t="s">
        <v>173</v>
      </c>
      <c r="Z19" t="s">
        <v>300</v>
      </c>
      <c r="AA19" t="s">
        <v>64</v>
      </c>
      <c r="AB19">
        <v>13.45</v>
      </c>
      <c r="AC19" t="s">
        <v>124</v>
      </c>
      <c r="AD19">
        <v>48.37</v>
      </c>
      <c r="AE19" t="s">
        <v>301</v>
      </c>
      <c r="AF19">
        <v>1.0900000000000001</v>
      </c>
      <c r="AG19">
        <v>0</v>
      </c>
      <c r="AH19">
        <v>0</v>
      </c>
      <c r="AI19" s="4">
        <v>40589</v>
      </c>
    </row>
    <row r="20" spans="1:35">
      <c r="A20">
        <v>19</v>
      </c>
      <c r="B20" t="str">
        <f>"600516"</f>
        <v>600516</v>
      </c>
      <c r="C20" t="s">
        <v>302</v>
      </c>
      <c r="D20" s="4">
        <v>43190</v>
      </c>
      <c r="E20" t="s">
        <v>303</v>
      </c>
      <c r="F20" t="s">
        <v>304</v>
      </c>
      <c r="G20" s="2">
        <v>7204</v>
      </c>
      <c r="H20">
        <v>1.06</v>
      </c>
      <c r="I20">
        <v>4.6399999999999997</v>
      </c>
      <c r="J20">
        <v>17.79</v>
      </c>
      <c r="K20" t="s">
        <v>305</v>
      </c>
      <c r="L20">
        <v>408.4</v>
      </c>
      <c r="M20" t="s">
        <v>306</v>
      </c>
      <c r="N20" t="s">
        <v>307</v>
      </c>
      <c r="O20" t="s">
        <v>306</v>
      </c>
      <c r="P20" t="s">
        <v>308</v>
      </c>
      <c r="Q20">
        <v>2476.75</v>
      </c>
      <c r="R20" t="s">
        <v>309</v>
      </c>
      <c r="S20">
        <v>2.23</v>
      </c>
      <c r="T20">
        <v>83.14</v>
      </c>
      <c r="U20" t="s">
        <v>310</v>
      </c>
      <c r="V20" t="s">
        <v>311</v>
      </c>
      <c r="W20" t="s">
        <v>50</v>
      </c>
      <c r="X20">
        <v>17.79</v>
      </c>
      <c r="Y20" t="s">
        <v>312</v>
      </c>
      <c r="Z20" t="s">
        <v>313</v>
      </c>
      <c r="AA20" t="s">
        <v>314</v>
      </c>
      <c r="AB20">
        <v>5.19</v>
      </c>
      <c r="AC20" t="s">
        <v>315</v>
      </c>
      <c r="AD20">
        <v>74.040000000000006</v>
      </c>
      <c r="AE20" t="s">
        <v>316</v>
      </c>
      <c r="AF20">
        <v>1.28</v>
      </c>
      <c r="AG20">
        <v>0</v>
      </c>
      <c r="AH20">
        <v>0</v>
      </c>
      <c r="AI20" s="4">
        <v>37498</v>
      </c>
    </row>
    <row r="21" spans="1:35">
      <c r="A21">
        <v>20</v>
      </c>
      <c r="B21" t="str">
        <f>"603302"</f>
        <v>603302</v>
      </c>
      <c r="C21" t="s">
        <v>317</v>
      </c>
      <c r="D21" s="4">
        <v>43008</v>
      </c>
      <c r="E21" t="s">
        <v>204</v>
      </c>
      <c r="F21">
        <v>0</v>
      </c>
      <c r="G21">
        <v>0</v>
      </c>
      <c r="H21">
        <v>0.35</v>
      </c>
      <c r="I21">
        <v>2.21</v>
      </c>
      <c r="J21">
        <v>16.100000000000001</v>
      </c>
      <c r="K21" t="s">
        <v>318</v>
      </c>
      <c r="L21">
        <v>23.59</v>
      </c>
      <c r="M21" t="s">
        <v>319</v>
      </c>
      <c r="N21" t="s">
        <v>320</v>
      </c>
      <c r="O21" t="s">
        <v>321</v>
      </c>
      <c r="P21" t="s">
        <v>322</v>
      </c>
      <c r="Q21">
        <v>51.4</v>
      </c>
      <c r="R21" t="s">
        <v>160</v>
      </c>
      <c r="S21">
        <v>1.02</v>
      </c>
      <c r="T21">
        <v>36.9</v>
      </c>
      <c r="U21" t="s">
        <v>323</v>
      </c>
      <c r="V21" t="s">
        <v>324</v>
      </c>
      <c r="W21" t="s">
        <v>324</v>
      </c>
      <c r="X21">
        <v>16.100000000000001</v>
      </c>
      <c r="Y21" t="s">
        <v>325</v>
      </c>
      <c r="Z21" t="s">
        <v>64</v>
      </c>
      <c r="AA21" t="s">
        <v>326</v>
      </c>
      <c r="AB21">
        <v>3.52</v>
      </c>
      <c r="AC21" t="s">
        <v>327</v>
      </c>
      <c r="AD21">
        <v>72.040000000000006</v>
      </c>
      <c r="AE21" t="s">
        <v>328</v>
      </c>
      <c r="AF21">
        <v>0.05</v>
      </c>
      <c r="AG21">
        <v>0</v>
      </c>
      <c r="AH21">
        <v>0</v>
      </c>
      <c r="AI21" t="s">
        <v>99</v>
      </c>
    </row>
    <row r="22" spans="1:35">
      <c r="A22">
        <v>21</v>
      </c>
      <c r="B22" t="str">
        <f>"600678"</f>
        <v>600678</v>
      </c>
      <c r="C22" t="s">
        <v>329</v>
      </c>
      <c r="D22" s="4">
        <v>43190</v>
      </c>
      <c r="E22" t="s">
        <v>330</v>
      </c>
      <c r="F22" t="s">
        <v>330</v>
      </c>
      <c r="G22">
        <v>9514</v>
      </c>
      <c r="H22">
        <v>0.02</v>
      </c>
      <c r="I22">
        <v>0.1</v>
      </c>
      <c r="J22">
        <v>15.21</v>
      </c>
      <c r="K22" t="s">
        <v>331</v>
      </c>
      <c r="L22">
        <v>111.02</v>
      </c>
      <c r="M22" t="s">
        <v>332</v>
      </c>
      <c r="N22">
        <v>0</v>
      </c>
      <c r="O22" t="s">
        <v>332</v>
      </c>
      <c r="P22" t="s">
        <v>333</v>
      </c>
      <c r="Q22">
        <v>167.22</v>
      </c>
      <c r="R22" t="s">
        <v>334</v>
      </c>
      <c r="S22">
        <v>-1.86</v>
      </c>
      <c r="T22">
        <v>26.65</v>
      </c>
      <c r="U22" t="s">
        <v>335</v>
      </c>
      <c r="V22" t="s">
        <v>336</v>
      </c>
      <c r="W22" t="s">
        <v>337</v>
      </c>
      <c r="X22">
        <v>15.21</v>
      </c>
      <c r="Y22" t="s">
        <v>338</v>
      </c>
      <c r="Z22" t="s">
        <v>339</v>
      </c>
      <c r="AA22" t="s">
        <v>340</v>
      </c>
      <c r="AB22">
        <v>103.25</v>
      </c>
      <c r="AC22" t="s">
        <v>341</v>
      </c>
      <c r="AD22">
        <v>7.86</v>
      </c>
      <c r="AE22" t="s">
        <v>342</v>
      </c>
      <c r="AF22">
        <v>0.87</v>
      </c>
      <c r="AG22">
        <v>0</v>
      </c>
      <c r="AH22">
        <v>0</v>
      </c>
      <c r="AI22" s="4">
        <v>34250</v>
      </c>
    </row>
    <row r="23" spans="1:35">
      <c r="A23">
        <v>22</v>
      </c>
      <c r="B23" t="str">
        <f>"002709"</f>
        <v>002709</v>
      </c>
      <c r="C23" t="s">
        <v>343</v>
      </c>
      <c r="D23" s="4">
        <v>43190</v>
      </c>
      <c r="E23" t="s">
        <v>344</v>
      </c>
      <c r="F23" t="s">
        <v>345</v>
      </c>
      <c r="G23">
        <v>5271</v>
      </c>
      <c r="H23">
        <v>1.21</v>
      </c>
      <c r="I23">
        <v>8.33</v>
      </c>
      <c r="J23">
        <v>15.19</v>
      </c>
      <c r="K23" t="s">
        <v>346</v>
      </c>
      <c r="L23">
        <v>14.95</v>
      </c>
      <c r="M23" t="s">
        <v>347</v>
      </c>
      <c r="N23" t="s">
        <v>348</v>
      </c>
      <c r="O23" t="s">
        <v>347</v>
      </c>
      <c r="P23" t="s">
        <v>349</v>
      </c>
      <c r="Q23">
        <v>543.42999999999995</v>
      </c>
      <c r="R23" t="s">
        <v>350</v>
      </c>
      <c r="S23">
        <v>4</v>
      </c>
      <c r="T23">
        <v>24.98</v>
      </c>
      <c r="U23" t="s">
        <v>351</v>
      </c>
      <c r="V23" t="s">
        <v>352</v>
      </c>
      <c r="W23" t="s">
        <v>353</v>
      </c>
      <c r="X23">
        <v>15.19</v>
      </c>
      <c r="Y23" t="s">
        <v>300</v>
      </c>
      <c r="Z23" t="s">
        <v>354</v>
      </c>
      <c r="AA23" t="s">
        <v>355</v>
      </c>
      <c r="AB23">
        <v>4.53</v>
      </c>
      <c r="AC23" t="s">
        <v>356</v>
      </c>
      <c r="AD23">
        <v>67.87</v>
      </c>
      <c r="AE23" t="s">
        <v>295</v>
      </c>
      <c r="AF23">
        <v>3.16</v>
      </c>
      <c r="AG23">
        <v>0</v>
      </c>
      <c r="AH23">
        <v>0</v>
      </c>
      <c r="AI23" s="4">
        <v>41662</v>
      </c>
    </row>
    <row r="24" spans="1:35">
      <c r="A24">
        <v>23</v>
      </c>
      <c r="B24" t="str">
        <f>"002016"</f>
        <v>002016</v>
      </c>
      <c r="C24" t="s">
        <v>357</v>
      </c>
      <c r="D24" s="4">
        <v>43190</v>
      </c>
      <c r="E24" t="s">
        <v>358</v>
      </c>
      <c r="F24" t="s">
        <v>359</v>
      </c>
      <c r="G24" s="2" t="s">
        <v>360</v>
      </c>
      <c r="H24">
        <v>0.5</v>
      </c>
      <c r="I24">
        <v>2.85</v>
      </c>
      <c r="J24">
        <v>15.14</v>
      </c>
      <c r="K24" t="s">
        <v>361</v>
      </c>
      <c r="L24">
        <v>610.73</v>
      </c>
      <c r="M24" t="s">
        <v>362</v>
      </c>
      <c r="N24" t="s">
        <v>363</v>
      </c>
      <c r="O24" t="s">
        <v>364</v>
      </c>
      <c r="P24" t="s">
        <v>365</v>
      </c>
      <c r="Q24">
        <v>4073.76</v>
      </c>
      <c r="R24" t="s">
        <v>304</v>
      </c>
      <c r="S24">
        <v>1.4</v>
      </c>
      <c r="T24">
        <v>61.61</v>
      </c>
      <c r="U24" t="s">
        <v>366</v>
      </c>
      <c r="V24" t="s">
        <v>367</v>
      </c>
      <c r="W24" t="s">
        <v>368</v>
      </c>
      <c r="X24">
        <v>15.14</v>
      </c>
      <c r="Y24" t="s">
        <v>369</v>
      </c>
      <c r="Z24" t="s">
        <v>370</v>
      </c>
      <c r="AA24" t="s">
        <v>141</v>
      </c>
      <c r="AB24">
        <v>5.12</v>
      </c>
      <c r="AC24" t="s">
        <v>371</v>
      </c>
      <c r="AD24">
        <v>41.4</v>
      </c>
      <c r="AE24" t="s">
        <v>372</v>
      </c>
      <c r="AF24">
        <v>0.17</v>
      </c>
      <c r="AG24">
        <v>0</v>
      </c>
      <c r="AH24">
        <v>0</v>
      </c>
      <c r="AI24" s="4">
        <v>38176</v>
      </c>
    </row>
    <row r="25" spans="1:35">
      <c r="A25">
        <v>24</v>
      </c>
      <c r="B25" t="str">
        <f>"300646"</f>
        <v>300646</v>
      </c>
      <c r="C25" t="s">
        <v>373</v>
      </c>
      <c r="D25" s="4">
        <v>42735</v>
      </c>
      <c r="E25" t="s">
        <v>374</v>
      </c>
      <c r="F25">
        <v>0</v>
      </c>
      <c r="G25">
        <v>0</v>
      </c>
      <c r="H25">
        <v>0.48</v>
      </c>
      <c r="I25">
        <v>3.62</v>
      </c>
      <c r="J25">
        <v>14.31</v>
      </c>
      <c r="K25" t="s">
        <v>375</v>
      </c>
      <c r="L25">
        <v>8.6999999999999993</v>
      </c>
      <c r="M25" t="s">
        <v>376</v>
      </c>
      <c r="N25" t="s">
        <v>377</v>
      </c>
      <c r="O25" t="s">
        <v>378</v>
      </c>
      <c r="P25" t="s">
        <v>379</v>
      </c>
      <c r="Q25">
        <v>63.42</v>
      </c>
      <c r="R25" t="s">
        <v>64</v>
      </c>
      <c r="S25">
        <v>1.83</v>
      </c>
      <c r="T25">
        <v>44.33</v>
      </c>
      <c r="U25" t="s">
        <v>380</v>
      </c>
      <c r="V25" t="s">
        <v>372</v>
      </c>
      <c r="W25" t="s">
        <v>381</v>
      </c>
      <c r="X25">
        <v>14.31</v>
      </c>
      <c r="Y25" t="s">
        <v>143</v>
      </c>
      <c r="Z25" t="s">
        <v>382</v>
      </c>
      <c r="AA25" t="s">
        <v>383</v>
      </c>
      <c r="AB25" t="s">
        <v>288</v>
      </c>
      <c r="AC25" t="s">
        <v>90</v>
      </c>
      <c r="AD25">
        <v>48.75</v>
      </c>
      <c r="AE25" t="s">
        <v>384</v>
      </c>
      <c r="AF25">
        <v>0.24</v>
      </c>
      <c r="AG25">
        <v>0</v>
      </c>
      <c r="AH25">
        <v>0</v>
      </c>
      <c r="AI25" t="s">
        <v>99</v>
      </c>
    </row>
    <row r="26" spans="1:35">
      <c r="A26">
        <v>25</v>
      </c>
      <c r="B26" t="str">
        <f>"000932"</f>
        <v>000932</v>
      </c>
      <c r="C26" t="s">
        <v>385</v>
      </c>
      <c r="D26" s="4">
        <v>43190</v>
      </c>
      <c r="E26" t="s">
        <v>386</v>
      </c>
      <c r="F26" t="s">
        <v>386</v>
      </c>
      <c r="G26" t="s">
        <v>387</v>
      </c>
      <c r="H26">
        <v>0.51</v>
      </c>
      <c r="I26">
        <v>3.94</v>
      </c>
      <c r="J26">
        <v>13.81</v>
      </c>
      <c r="K26" t="s">
        <v>388</v>
      </c>
      <c r="L26">
        <v>11.17</v>
      </c>
      <c r="M26" t="s">
        <v>389</v>
      </c>
      <c r="N26" t="s">
        <v>390</v>
      </c>
      <c r="O26" t="s">
        <v>389</v>
      </c>
      <c r="P26" t="s">
        <v>391</v>
      </c>
      <c r="Q26">
        <v>398.74</v>
      </c>
      <c r="R26" t="s">
        <v>392</v>
      </c>
      <c r="S26">
        <v>0.33</v>
      </c>
      <c r="T26">
        <v>16.23</v>
      </c>
      <c r="U26" t="s">
        <v>393</v>
      </c>
      <c r="V26" t="s">
        <v>394</v>
      </c>
      <c r="W26" t="s">
        <v>395</v>
      </c>
      <c r="X26">
        <v>13.81</v>
      </c>
      <c r="Y26" t="s">
        <v>396</v>
      </c>
      <c r="Z26" t="s">
        <v>397</v>
      </c>
      <c r="AA26" t="s">
        <v>398</v>
      </c>
      <c r="AB26">
        <v>2.19</v>
      </c>
      <c r="AC26" t="s">
        <v>399</v>
      </c>
      <c r="AD26">
        <v>15.59</v>
      </c>
      <c r="AE26" t="s">
        <v>400</v>
      </c>
      <c r="AF26">
        <v>2.33</v>
      </c>
      <c r="AG26">
        <v>0</v>
      </c>
      <c r="AH26">
        <v>0</v>
      </c>
      <c r="AI26" s="4">
        <v>36375</v>
      </c>
    </row>
    <row r="27" spans="1:35">
      <c r="A27">
        <v>26</v>
      </c>
      <c r="B27" t="str">
        <f>"601003"</f>
        <v>601003</v>
      </c>
      <c r="C27" t="s">
        <v>401</v>
      </c>
      <c r="D27" s="4">
        <v>43190</v>
      </c>
      <c r="E27" t="s">
        <v>402</v>
      </c>
      <c r="F27" t="s">
        <v>402</v>
      </c>
      <c r="G27" s="2" t="s">
        <v>403</v>
      </c>
      <c r="H27">
        <v>0.41</v>
      </c>
      <c r="I27">
        <v>2.72</v>
      </c>
      <c r="J27">
        <v>13.55</v>
      </c>
      <c r="K27" t="s">
        <v>404</v>
      </c>
      <c r="L27">
        <v>25.49</v>
      </c>
      <c r="M27" t="s">
        <v>405</v>
      </c>
      <c r="N27" t="s">
        <v>406</v>
      </c>
      <c r="O27" t="s">
        <v>405</v>
      </c>
      <c r="P27" t="s">
        <v>407</v>
      </c>
      <c r="Q27">
        <v>416.3</v>
      </c>
      <c r="R27" t="s">
        <v>408</v>
      </c>
      <c r="S27">
        <v>1.1499999999999999</v>
      </c>
      <c r="T27">
        <v>12.51</v>
      </c>
      <c r="U27" t="s">
        <v>409</v>
      </c>
      <c r="V27" t="s">
        <v>410</v>
      </c>
      <c r="W27" t="s">
        <v>411</v>
      </c>
      <c r="X27">
        <v>13.55</v>
      </c>
      <c r="Y27" t="s">
        <v>412</v>
      </c>
      <c r="Z27" t="s">
        <v>413</v>
      </c>
      <c r="AA27" t="s">
        <v>359</v>
      </c>
      <c r="AB27">
        <v>2.6</v>
      </c>
      <c r="AC27" t="s">
        <v>414</v>
      </c>
      <c r="AD27">
        <v>36.619999999999997</v>
      </c>
      <c r="AE27" t="s">
        <v>415</v>
      </c>
      <c r="AF27">
        <v>0.08</v>
      </c>
      <c r="AG27">
        <v>0</v>
      </c>
      <c r="AH27">
        <v>0</v>
      </c>
      <c r="AI27" s="4">
        <v>39140</v>
      </c>
    </row>
    <row r="28" spans="1:35">
      <c r="A28">
        <v>27</v>
      </c>
      <c r="B28" t="str">
        <f>"600230"</f>
        <v>600230</v>
      </c>
      <c r="C28" t="s">
        <v>416</v>
      </c>
      <c r="D28" s="4">
        <v>43190</v>
      </c>
      <c r="E28" t="s">
        <v>349</v>
      </c>
      <c r="F28" t="s">
        <v>349</v>
      </c>
      <c r="G28">
        <v>6554</v>
      </c>
      <c r="H28">
        <v>0.97</v>
      </c>
      <c r="I28">
        <v>7.28</v>
      </c>
      <c r="J28">
        <v>13.51</v>
      </c>
      <c r="K28" t="s">
        <v>192</v>
      </c>
      <c r="L28">
        <v>9.1999999999999993</v>
      </c>
      <c r="M28" t="s">
        <v>417</v>
      </c>
      <c r="N28">
        <v>0</v>
      </c>
      <c r="O28" t="s">
        <v>417</v>
      </c>
      <c r="P28" t="s">
        <v>133</v>
      </c>
      <c r="Q28">
        <v>-6.38</v>
      </c>
      <c r="R28" t="s">
        <v>418</v>
      </c>
      <c r="S28">
        <v>4.54</v>
      </c>
      <c r="T28">
        <v>60.19</v>
      </c>
      <c r="U28" t="s">
        <v>245</v>
      </c>
      <c r="V28" t="s">
        <v>419</v>
      </c>
      <c r="W28" t="s">
        <v>420</v>
      </c>
      <c r="X28">
        <v>13.51</v>
      </c>
      <c r="Y28" t="s">
        <v>421</v>
      </c>
      <c r="Z28" t="s">
        <v>179</v>
      </c>
      <c r="AA28" t="s">
        <v>422</v>
      </c>
      <c r="AB28">
        <v>3.09</v>
      </c>
      <c r="AC28" t="s">
        <v>423</v>
      </c>
      <c r="AD28">
        <v>71.72</v>
      </c>
      <c r="AE28" t="s">
        <v>424</v>
      </c>
      <c r="AF28">
        <v>1.27</v>
      </c>
      <c r="AG28">
        <v>0</v>
      </c>
      <c r="AH28">
        <v>0</v>
      </c>
      <c r="AI28" s="4">
        <v>36622</v>
      </c>
    </row>
    <row r="29" spans="1:35">
      <c r="A29">
        <v>28</v>
      </c>
      <c r="B29" t="str">
        <f>"600309"</f>
        <v>600309</v>
      </c>
      <c r="C29" t="s">
        <v>425</v>
      </c>
      <c r="D29" s="4">
        <v>43190</v>
      </c>
      <c r="E29" t="s">
        <v>426</v>
      </c>
      <c r="F29" t="s">
        <v>426</v>
      </c>
      <c r="G29" s="2" t="s">
        <v>427</v>
      </c>
      <c r="H29">
        <v>1.3</v>
      </c>
      <c r="I29">
        <v>9.77</v>
      </c>
      <c r="J29">
        <v>13.47</v>
      </c>
      <c r="K29" t="s">
        <v>413</v>
      </c>
      <c r="L29">
        <v>23.57</v>
      </c>
      <c r="M29" t="s">
        <v>428</v>
      </c>
      <c r="N29" t="s">
        <v>429</v>
      </c>
      <c r="O29" t="s">
        <v>430</v>
      </c>
      <c r="P29" t="s">
        <v>431</v>
      </c>
      <c r="Q29">
        <v>61.53</v>
      </c>
      <c r="R29" t="s">
        <v>432</v>
      </c>
      <c r="S29">
        <v>6.86</v>
      </c>
      <c r="T29">
        <v>43.03</v>
      </c>
      <c r="U29" t="s">
        <v>433</v>
      </c>
      <c r="V29" t="s">
        <v>434</v>
      </c>
      <c r="W29" t="s">
        <v>435</v>
      </c>
      <c r="X29">
        <v>13.47</v>
      </c>
      <c r="Y29" t="s">
        <v>436</v>
      </c>
      <c r="Z29" t="s">
        <v>437</v>
      </c>
      <c r="AA29" t="s">
        <v>438</v>
      </c>
      <c r="AB29">
        <v>4.8499999999999996</v>
      </c>
      <c r="AC29" t="s">
        <v>439</v>
      </c>
      <c r="AD29">
        <v>40.22</v>
      </c>
      <c r="AE29" t="s">
        <v>440</v>
      </c>
      <c r="AF29">
        <v>0.88</v>
      </c>
      <c r="AG29">
        <v>0</v>
      </c>
      <c r="AH29">
        <v>0</v>
      </c>
      <c r="AI29" s="4">
        <v>36896</v>
      </c>
    </row>
    <row r="30" spans="1:35">
      <c r="A30">
        <v>29</v>
      </c>
      <c r="B30" t="str">
        <f>"600802"</f>
        <v>600802</v>
      </c>
      <c r="C30" t="s">
        <v>441</v>
      </c>
      <c r="D30" s="4">
        <v>43190</v>
      </c>
      <c r="E30" t="s">
        <v>375</v>
      </c>
      <c r="F30" t="s">
        <v>375</v>
      </c>
      <c r="G30">
        <v>8324</v>
      </c>
      <c r="H30">
        <v>0.23</v>
      </c>
      <c r="I30">
        <v>1.79</v>
      </c>
      <c r="J30">
        <v>13.4</v>
      </c>
      <c r="K30" t="s">
        <v>442</v>
      </c>
      <c r="L30">
        <v>41.57</v>
      </c>
      <c r="M30" t="s">
        <v>443</v>
      </c>
      <c r="N30" t="s">
        <v>444</v>
      </c>
      <c r="O30" t="s">
        <v>443</v>
      </c>
      <c r="P30" t="s">
        <v>445</v>
      </c>
      <c r="Q30">
        <v>298.63</v>
      </c>
      <c r="R30" t="s">
        <v>446</v>
      </c>
      <c r="S30">
        <v>-0.85</v>
      </c>
      <c r="T30">
        <v>29.57</v>
      </c>
      <c r="U30" t="s">
        <v>447</v>
      </c>
      <c r="V30" t="s">
        <v>448</v>
      </c>
      <c r="W30" t="s">
        <v>449</v>
      </c>
      <c r="X30">
        <v>13.4</v>
      </c>
      <c r="Y30" t="s">
        <v>450</v>
      </c>
      <c r="Z30" t="s">
        <v>451</v>
      </c>
      <c r="AA30" t="s">
        <v>452</v>
      </c>
      <c r="AB30">
        <v>3.96</v>
      </c>
      <c r="AC30" t="s">
        <v>453</v>
      </c>
      <c r="AD30">
        <v>17.440000000000001</v>
      </c>
      <c r="AE30" t="s">
        <v>454</v>
      </c>
      <c r="AF30">
        <v>0.56000000000000005</v>
      </c>
      <c r="AG30">
        <v>0</v>
      </c>
      <c r="AH30">
        <v>0</v>
      </c>
      <c r="AI30" s="4">
        <v>34337</v>
      </c>
    </row>
    <row r="31" spans="1:35">
      <c r="A31">
        <v>30</v>
      </c>
      <c r="B31" t="str">
        <f>"603799"</f>
        <v>603799</v>
      </c>
      <c r="C31" t="s">
        <v>455</v>
      </c>
      <c r="D31" s="4">
        <v>43190</v>
      </c>
      <c r="E31" t="s">
        <v>456</v>
      </c>
      <c r="F31" t="s">
        <v>181</v>
      </c>
      <c r="G31" s="2">
        <v>7848</v>
      </c>
      <c r="H31">
        <v>1.44</v>
      </c>
      <c r="I31">
        <v>11.39</v>
      </c>
      <c r="J31">
        <v>13.31</v>
      </c>
      <c r="K31" t="s">
        <v>457</v>
      </c>
      <c r="L31">
        <v>96.36</v>
      </c>
      <c r="M31" t="s">
        <v>458</v>
      </c>
      <c r="N31" t="s">
        <v>459</v>
      </c>
      <c r="O31" t="s">
        <v>460</v>
      </c>
      <c r="P31" t="s">
        <v>179</v>
      </c>
      <c r="Q31">
        <v>237.96</v>
      </c>
      <c r="R31" t="s">
        <v>461</v>
      </c>
      <c r="S31">
        <v>5.57</v>
      </c>
      <c r="T31">
        <v>35.11</v>
      </c>
      <c r="U31" t="s">
        <v>462</v>
      </c>
      <c r="V31" t="s">
        <v>463</v>
      </c>
      <c r="W31" t="s">
        <v>464</v>
      </c>
      <c r="X31">
        <v>13.31</v>
      </c>
      <c r="Y31" t="s">
        <v>465</v>
      </c>
      <c r="Z31" t="s">
        <v>466</v>
      </c>
      <c r="AA31" t="s">
        <v>176</v>
      </c>
      <c r="AB31">
        <v>7.75</v>
      </c>
      <c r="AC31" t="s">
        <v>467</v>
      </c>
      <c r="AD31">
        <v>34.65</v>
      </c>
      <c r="AE31" t="s">
        <v>371</v>
      </c>
      <c r="AF31">
        <v>4.8600000000000003</v>
      </c>
      <c r="AG31">
        <v>0</v>
      </c>
      <c r="AH31">
        <v>0</v>
      </c>
      <c r="AI31" s="4">
        <v>42033</v>
      </c>
    </row>
    <row r="32" spans="1:35">
      <c r="A32">
        <v>31</v>
      </c>
      <c r="B32" t="str">
        <f>"300571"</f>
        <v>300571</v>
      </c>
      <c r="C32" t="s">
        <v>468</v>
      </c>
      <c r="D32" s="4">
        <v>43190</v>
      </c>
      <c r="E32" t="s">
        <v>280</v>
      </c>
      <c r="F32" t="s">
        <v>469</v>
      </c>
      <c r="G32">
        <v>8305</v>
      </c>
      <c r="H32">
        <v>0.4</v>
      </c>
      <c r="I32">
        <v>3.04</v>
      </c>
      <c r="J32">
        <v>13.21</v>
      </c>
      <c r="K32" t="s">
        <v>470</v>
      </c>
      <c r="L32">
        <v>12.37</v>
      </c>
      <c r="M32" t="s">
        <v>471</v>
      </c>
      <c r="N32" t="s">
        <v>257</v>
      </c>
      <c r="O32" t="s">
        <v>472</v>
      </c>
      <c r="P32" t="s">
        <v>473</v>
      </c>
      <c r="Q32">
        <v>118.12</v>
      </c>
      <c r="R32" t="s">
        <v>474</v>
      </c>
      <c r="S32">
        <v>1.87</v>
      </c>
      <c r="T32">
        <v>43.61</v>
      </c>
      <c r="U32" t="s">
        <v>475</v>
      </c>
      <c r="V32" t="s">
        <v>476</v>
      </c>
      <c r="W32" t="s">
        <v>477</v>
      </c>
      <c r="X32">
        <v>13.21</v>
      </c>
      <c r="Y32" t="s">
        <v>478</v>
      </c>
      <c r="Z32" t="s">
        <v>470</v>
      </c>
      <c r="AA32" t="s">
        <v>177</v>
      </c>
      <c r="AB32">
        <v>18.41</v>
      </c>
      <c r="AC32" t="s">
        <v>479</v>
      </c>
      <c r="AD32">
        <v>56.06</v>
      </c>
      <c r="AE32" t="s">
        <v>480</v>
      </c>
      <c r="AF32">
        <v>0.09</v>
      </c>
      <c r="AG32">
        <v>0</v>
      </c>
      <c r="AH32">
        <v>0</v>
      </c>
      <c r="AI32" s="4">
        <v>42717</v>
      </c>
    </row>
    <row r="33" spans="1:35">
      <c r="A33">
        <v>32</v>
      </c>
      <c r="B33" t="str">
        <f>"002893"</f>
        <v>002893</v>
      </c>
      <c r="C33" t="s">
        <v>481</v>
      </c>
      <c r="D33" s="4">
        <v>43190</v>
      </c>
      <c r="E33" t="s">
        <v>280</v>
      </c>
      <c r="F33" t="s">
        <v>482</v>
      </c>
      <c r="G33">
        <v>1539</v>
      </c>
      <c r="H33">
        <v>0.71</v>
      </c>
      <c r="I33">
        <v>5.66</v>
      </c>
      <c r="J33">
        <v>13.15</v>
      </c>
      <c r="K33" t="s">
        <v>483</v>
      </c>
      <c r="L33">
        <v>7.31</v>
      </c>
      <c r="M33" t="s">
        <v>355</v>
      </c>
      <c r="N33" t="s">
        <v>484</v>
      </c>
      <c r="O33" t="s">
        <v>355</v>
      </c>
      <c r="P33" t="s">
        <v>485</v>
      </c>
      <c r="Q33">
        <v>-24.01</v>
      </c>
      <c r="R33" t="s">
        <v>486</v>
      </c>
      <c r="S33">
        <v>2.41</v>
      </c>
      <c r="T33">
        <v>23.66</v>
      </c>
      <c r="U33" t="s">
        <v>141</v>
      </c>
      <c r="V33" t="s">
        <v>487</v>
      </c>
      <c r="W33" t="s">
        <v>165</v>
      </c>
      <c r="X33">
        <v>13.15</v>
      </c>
      <c r="Y33" t="s">
        <v>488</v>
      </c>
      <c r="Z33" t="s">
        <v>489</v>
      </c>
      <c r="AA33" t="s">
        <v>490</v>
      </c>
      <c r="AB33">
        <v>4.53</v>
      </c>
      <c r="AC33" t="s">
        <v>491</v>
      </c>
      <c r="AD33">
        <v>45.99</v>
      </c>
      <c r="AE33" t="s">
        <v>492</v>
      </c>
      <c r="AF33">
        <v>2.17</v>
      </c>
      <c r="AG33">
        <v>0</v>
      </c>
      <c r="AH33">
        <v>0</v>
      </c>
      <c r="AI33" s="4">
        <v>42993</v>
      </c>
    </row>
    <row r="34" spans="1:35">
      <c r="A34">
        <v>33</v>
      </c>
      <c r="B34" t="str">
        <f>"002626"</f>
        <v>002626</v>
      </c>
      <c r="C34" t="s">
        <v>493</v>
      </c>
      <c r="D34" s="4">
        <v>43190</v>
      </c>
      <c r="E34" t="s">
        <v>417</v>
      </c>
      <c r="F34" t="s">
        <v>494</v>
      </c>
      <c r="G34" s="2" t="s">
        <v>495</v>
      </c>
      <c r="H34">
        <v>0.55000000000000004</v>
      </c>
      <c r="I34">
        <v>4.12</v>
      </c>
      <c r="J34">
        <v>12.74</v>
      </c>
      <c r="K34" t="s">
        <v>496</v>
      </c>
      <c r="L34">
        <v>79.63</v>
      </c>
      <c r="M34" t="s">
        <v>185</v>
      </c>
      <c r="N34" t="s">
        <v>497</v>
      </c>
      <c r="O34" t="s">
        <v>498</v>
      </c>
      <c r="P34" t="s">
        <v>499</v>
      </c>
      <c r="Q34">
        <v>409.96</v>
      </c>
      <c r="R34" t="s">
        <v>264</v>
      </c>
      <c r="S34">
        <v>1.57</v>
      </c>
      <c r="T34">
        <v>66.94</v>
      </c>
      <c r="U34" t="s">
        <v>305</v>
      </c>
      <c r="V34" t="s">
        <v>389</v>
      </c>
      <c r="W34" t="s">
        <v>216</v>
      </c>
      <c r="X34">
        <v>12.74</v>
      </c>
      <c r="Y34" t="s">
        <v>500</v>
      </c>
      <c r="Z34" t="s">
        <v>344</v>
      </c>
      <c r="AA34" t="s">
        <v>501</v>
      </c>
      <c r="AB34">
        <v>3.99</v>
      </c>
      <c r="AC34" t="s">
        <v>502</v>
      </c>
      <c r="AD34">
        <v>79.2</v>
      </c>
      <c r="AE34" t="s">
        <v>274</v>
      </c>
      <c r="AF34">
        <v>1.44</v>
      </c>
      <c r="AG34">
        <v>0</v>
      </c>
      <c r="AH34">
        <v>0</v>
      </c>
      <c r="AI34" s="4">
        <v>40844</v>
      </c>
    </row>
    <row r="35" spans="1:35">
      <c r="A35">
        <v>34</v>
      </c>
      <c r="B35" t="str">
        <f>"600338"</f>
        <v>600338</v>
      </c>
      <c r="C35" t="s">
        <v>503</v>
      </c>
      <c r="D35" s="4">
        <v>43190</v>
      </c>
      <c r="E35" t="s">
        <v>504</v>
      </c>
      <c r="F35" t="s">
        <v>505</v>
      </c>
      <c r="G35">
        <v>6879</v>
      </c>
      <c r="H35">
        <v>0.34</v>
      </c>
      <c r="I35">
        <v>2.86</v>
      </c>
      <c r="J35">
        <v>12.52</v>
      </c>
      <c r="K35" t="s">
        <v>506</v>
      </c>
      <c r="L35">
        <v>-3.68</v>
      </c>
      <c r="M35" t="s">
        <v>507</v>
      </c>
      <c r="N35" t="s">
        <v>508</v>
      </c>
      <c r="O35" t="s">
        <v>507</v>
      </c>
      <c r="P35" t="s">
        <v>509</v>
      </c>
      <c r="Q35">
        <v>-26.85</v>
      </c>
      <c r="R35" t="s">
        <v>510</v>
      </c>
      <c r="S35">
        <v>2.83</v>
      </c>
      <c r="T35">
        <v>71.12</v>
      </c>
      <c r="U35" t="s">
        <v>511</v>
      </c>
      <c r="V35" t="s">
        <v>512</v>
      </c>
      <c r="W35" t="s">
        <v>513</v>
      </c>
      <c r="X35">
        <v>12.52</v>
      </c>
      <c r="Y35" t="s">
        <v>514</v>
      </c>
      <c r="Z35" t="s">
        <v>350</v>
      </c>
      <c r="AA35" t="s">
        <v>515</v>
      </c>
      <c r="AB35">
        <v>7.53</v>
      </c>
      <c r="AC35" t="s">
        <v>516</v>
      </c>
      <c r="AD35">
        <v>46.68</v>
      </c>
      <c r="AE35" t="s">
        <v>517</v>
      </c>
      <c r="AF35">
        <v>0.03</v>
      </c>
      <c r="AG35">
        <v>0</v>
      </c>
      <c r="AH35">
        <v>0</v>
      </c>
      <c r="AI35" s="4">
        <v>36887</v>
      </c>
    </row>
    <row r="36" spans="1:35">
      <c r="A36">
        <v>35</v>
      </c>
      <c r="B36" t="str">
        <f>"600809"</f>
        <v>600809</v>
      </c>
      <c r="C36" t="s">
        <v>518</v>
      </c>
      <c r="D36" s="4">
        <v>43190</v>
      </c>
      <c r="E36" t="s">
        <v>519</v>
      </c>
      <c r="F36" t="s">
        <v>519</v>
      </c>
      <c r="G36" s="2" t="s">
        <v>520</v>
      </c>
      <c r="H36">
        <v>0.82</v>
      </c>
      <c r="I36">
        <v>6.87</v>
      </c>
      <c r="J36">
        <v>12.47</v>
      </c>
      <c r="K36" t="s">
        <v>249</v>
      </c>
      <c r="L36">
        <v>48.56</v>
      </c>
      <c r="M36" t="s">
        <v>521</v>
      </c>
      <c r="N36" t="s">
        <v>522</v>
      </c>
      <c r="O36" t="s">
        <v>521</v>
      </c>
      <c r="P36" t="s">
        <v>523</v>
      </c>
      <c r="Q36">
        <v>51.82</v>
      </c>
      <c r="R36" t="s">
        <v>524</v>
      </c>
      <c r="S36">
        <v>4.9800000000000004</v>
      </c>
      <c r="T36">
        <v>70.95</v>
      </c>
      <c r="U36" t="s">
        <v>525</v>
      </c>
      <c r="V36" t="s">
        <v>526</v>
      </c>
      <c r="W36" t="s">
        <v>79</v>
      </c>
      <c r="X36">
        <v>12.47</v>
      </c>
      <c r="Y36" t="s">
        <v>527</v>
      </c>
      <c r="Z36" t="s">
        <v>528</v>
      </c>
      <c r="AA36" t="s">
        <v>529</v>
      </c>
      <c r="AB36">
        <v>8.69</v>
      </c>
      <c r="AC36" t="s">
        <v>530</v>
      </c>
      <c r="AD36">
        <v>56.89</v>
      </c>
      <c r="AE36" t="s">
        <v>531</v>
      </c>
      <c r="AF36">
        <v>0.28000000000000003</v>
      </c>
      <c r="AG36">
        <v>0</v>
      </c>
      <c r="AH36">
        <v>0</v>
      </c>
      <c r="AI36" s="4">
        <v>34340</v>
      </c>
    </row>
    <row r="37" spans="1:35">
      <c r="A37">
        <v>36</v>
      </c>
      <c r="B37" t="str">
        <f>"603595"</f>
        <v>603595</v>
      </c>
      <c r="C37" t="s">
        <v>532</v>
      </c>
      <c r="D37" s="4">
        <v>43190</v>
      </c>
      <c r="E37" t="s">
        <v>533</v>
      </c>
      <c r="F37" t="s">
        <v>534</v>
      </c>
      <c r="G37" s="2">
        <v>5272</v>
      </c>
      <c r="H37">
        <v>0.86</v>
      </c>
      <c r="I37">
        <v>7.89</v>
      </c>
      <c r="J37">
        <v>11.34</v>
      </c>
      <c r="K37" t="s">
        <v>535</v>
      </c>
      <c r="L37">
        <v>210.96</v>
      </c>
      <c r="M37" t="s">
        <v>533</v>
      </c>
      <c r="N37" t="s">
        <v>536</v>
      </c>
      <c r="O37" t="s">
        <v>198</v>
      </c>
      <c r="P37" t="s">
        <v>537</v>
      </c>
      <c r="Q37">
        <v>402.7</v>
      </c>
      <c r="R37" t="s">
        <v>89</v>
      </c>
      <c r="S37">
        <v>3.02</v>
      </c>
      <c r="T37">
        <v>48.45</v>
      </c>
      <c r="U37" t="s">
        <v>538</v>
      </c>
      <c r="V37" t="s">
        <v>539</v>
      </c>
      <c r="W37" t="s">
        <v>540</v>
      </c>
      <c r="X37">
        <v>11.34</v>
      </c>
      <c r="Y37" t="s">
        <v>541</v>
      </c>
      <c r="Z37" t="s">
        <v>542</v>
      </c>
      <c r="AA37" t="s">
        <v>543</v>
      </c>
      <c r="AB37">
        <v>8.8000000000000007</v>
      </c>
      <c r="AC37" t="s">
        <v>544</v>
      </c>
      <c r="AD37">
        <v>58.91</v>
      </c>
      <c r="AE37" t="s">
        <v>545</v>
      </c>
      <c r="AF37">
        <v>4.3899999999999997</v>
      </c>
      <c r="AG37">
        <v>0</v>
      </c>
      <c r="AH37">
        <v>0</v>
      </c>
      <c r="AI37" s="4">
        <v>42928</v>
      </c>
    </row>
    <row r="38" spans="1:35">
      <c r="A38">
        <v>37</v>
      </c>
      <c r="B38" t="str">
        <f>"002304"</f>
        <v>002304</v>
      </c>
      <c r="C38" t="s">
        <v>546</v>
      </c>
      <c r="D38" s="4">
        <v>43190</v>
      </c>
      <c r="E38" t="s">
        <v>547</v>
      </c>
      <c r="F38" t="s">
        <v>548</v>
      </c>
      <c r="G38" s="2" t="s">
        <v>549</v>
      </c>
      <c r="H38">
        <v>2.31</v>
      </c>
      <c r="I38">
        <v>21.88</v>
      </c>
      <c r="J38">
        <v>11.12</v>
      </c>
      <c r="K38" t="s">
        <v>550</v>
      </c>
      <c r="L38">
        <v>25.68</v>
      </c>
      <c r="M38" t="s">
        <v>551</v>
      </c>
      <c r="N38" t="s">
        <v>552</v>
      </c>
      <c r="O38" t="s">
        <v>553</v>
      </c>
      <c r="P38" t="s">
        <v>312</v>
      </c>
      <c r="Q38">
        <v>26.69</v>
      </c>
      <c r="R38" t="s">
        <v>554</v>
      </c>
      <c r="S38">
        <v>19.899999999999999</v>
      </c>
      <c r="T38">
        <v>74.790000000000006</v>
      </c>
      <c r="U38" t="s">
        <v>555</v>
      </c>
      <c r="V38" t="s">
        <v>556</v>
      </c>
      <c r="W38" t="s">
        <v>557</v>
      </c>
      <c r="X38">
        <v>11.12</v>
      </c>
      <c r="Y38" t="s">
        <v>404</v>
      </c>
      <c r="Z38" t="s">
        <v>558</v>
      </c>
      <c r="AA38" t="s">
        <v>559</v>
      </c>
      <c r="AB38">
        <v>6.32</v>
      </c>
      <c r="AC38" t="s">
        <v>560</v>
      </c>
      <c r="AD38">
        <v>74.31</v>
      </c>
      <c r="AE38" t="s">
        <v>561</v>
      </c>
      <c r="AF38">
        <v>0.49</v>
      </c>
      <c r="AG38">
        <v>0</v>
      </c>
      <c r="AH38">
        <v>0</v>
      </c>
      <c r="AI38" s="4">
        <v>40123</v>
      </c>
    </row>
    <row r="39" spans="1:35">
      <c r="A39">
        <v>38</v>
      </c>
      <c r="B39" t="str">
        <f>"603260"</f>
        <v>603260</v>
      </c>
      <c r="C39" t="s">
        <v>562</v>
      </c>
      <c r="D39" s="4">
        <v>43190</v>
      </c>
      <c r="E39" t="s">
        <v>563</v>
      </c>
      <c r="F39" t="s">
        <v>564</v>
      </c>
      <c r="G39" s="2">
        <v>2139</v>
      </c>
      <c r="H39">
        <v>0.94</v>
      </c>
      <c r="I39">
        <v>9.02</v>
      </c>
      <c r="J39">
        <v>11</v>
      </c>
      <c r="K39" t="s">
        <v>565</v>
      </c>
      <c r="L39">
        <v>55.25</v>
      </c>
      <c r="M39" t="s">
        <v>566</v>
      </c>
      <c r="N39" t="s">
        <v>567</v>
      </c>
      <c r="O39" t="s">
        <v>568</v>
      </c>
      <c r="P39" t="s">
        <v>569</v>
      </c>
      <c r="Q39">
        <v>132.26</v>
      </c>
      <c r="R39" t="s">
        <v>570</v>
      </c>
      <c r="S39">
        <v>4.53</v>
      </c>
      <c r="T39">
        <v>43.69</v>
      </c>
      <c r="U39" t="s">
        <v>571</v>
      </c>
      <c r="V39" t="s">
        <v>572</v>
      </c>
      <c r="W39" t="s">
        <v>573</v>
      </c>
      <c r="X39">
        <v>11</v>
      </c>
      <c r="Y39" t="s">
        <v>574</v>
      </c>
      <c r="Z39" t="s">
        <v>575</v>
      </c>
      <c r="AA39" t="s">
        <v>576</v>
      </c>
      <c r="AB39">
        <v>7.28</v>
      </c>
      <c r="AC39" t="s">
        <v>577</v>
      </c>
      <c r="AD39">
        <v>39.909999999999997</v>
      </c>
      <c r="AE39" t="s">
        <v>578</v>
      </c>
      <c r="AF39">
        <v>3.39</v>
      </c>
      <c r="AG39">
        <v>0</v>
      </c>
      <c r="AH39">
        <v>0</v>
      </c>
      <c r="AI39" s="4">
        <v>43038</v>
      </c>
    </row>
    <row r="40" spans="1:35">
      <c r="A40">
        <v>39</v>
      </c>
      <c r="B40" t="str">
        <f>"002027"</f>
        <v>002027</v>
      </c>
      <c r="C40" t="s">
        <v>579</v>
      </c>
      <c r="D40" s="4">
        <v>43190</v>
      </c>
      <c r="E40" t="s">
        <v>580</v>
      </c>
      <c r="F40" t="s">
        <v>581</v>
      </c>
      <c r="G40" s="2" t="s">
        <v>582</v>
      </c>
      <c r="H40">
        <v>0.1</v>
      </c>
      <c r="I40">
        <v>0.95</v>
      </c>
      <c r="J40">
        <v>11</v>
      </c>
      <c r="K40" t="s">
        <v>583</v>
      </c>
      <c r="L40">
        <v>22.28</v>
      </c>
      <c r="M40" t="s">
        <v>584</v>
      </c>
      <c r="N40" t="s">
        <v>585</v>
      </c>
      <c r="O40" t="s">
        <v>263</v>
      </c>
      <c r="P40" t="s">
        <v>264</v>
      </c>
      <c r="Q40">
        <v>9.1</v>
      </c>
      <c r="R40" t="s">
        <v>586</v>
      </c>
      <c r="S40">
        <v>0.89</v>
      </c>
      <c r="T40">
        <v>68.94</v>
      </c>
      <c r="U40" t="s">
        <v>587</v>
      </c>
      <c r="V40" t="s">
        <v>558</v>
      </c>
      <c r="W40" t="s">
        <v>150</v>
      </c>
      <c r="X40">
        <v>11</v>
      </c>
      <c r="Y40" t="s">
        <v>588</v>
      </c>
      <c r="Z40" t="s">
        <v>589</v>
      </c>
      <c r="AA40" t="s">
        <v>407</v>
      </c>
      <c r="AB40">
        <v>12.64</v>
      </c>
      <c r="AC40" t="s">
        <v>590</v>
      </c>
      <c r="AD40">
        <v>73.680000000000007</v>
      </c>
      <c r="AE40" t="s">
        <v>383</v>
      </c>
      <c r="AF40">
        <v>0.02</v>
      </c>
      <c r="AG40">
        <v>0</v>
      </c>
      <c r="AH40">
        <v>0</v>
      </c>
      <c r="AI40" s="4">
        <v>38203</v>
      </c>
    </row>
    <row r="41" spans="1:35">
      <c r="A41">
        <v>40</v>
      </c>
      <c r="B41" t="str">
        <f>"300107"</f>
        <v>300107</v>
      </c>
      <c r="C41" t="s">
        <v>591</v>
      </c>
      <c r="D41" s="4">
        <v>43190</v>
      </c>
      <c r="E41" t="s">
        <v>592</v>
      </c>
      <c r="F41" t="s">
        <v>593</v>
      </c>
      <c r="G41" s="2">
        <v>7675</v>
      </c>
      <c r="H41">
        <v>0.21</v>
      </c>
      <c r="I41">
        <v>1.86</v>
      </c>
      <c r="J41">
        <v>10.95</v>
      </c>
      <c r="K41" t="s">
        <v>594</v>
      </c>
      <c r="L41">
        <v>176.06</v>
      </c>
      <c r="M41" t="s">
        <v>595</v>
      </c>
      <c r="N41" t="s">
        <v>596</v>
      </c>
      <c r="O41" t="s">
        <v>45</v>
      </c>
      <c r="P41" t="s">
        <v>256</v>
      </c>
      <c r="Q41">
        <v>2233.25</v>
      </c>
      <c r="R41" t="s">
        <v>597</v>
      </c>
      <c r="S41">
        <v>0.49</v>
      </c>
      <c r="T41">
        <v>59.95</v>
      </c>
      <c r="U41" t="s">
        <v>264</v>
      </c>
      <c r="V41" t="s">
        <v>598</v>
      </c>
      <c r="W41" t="s">
        <v>599</v>
      </c>
      <c r="X41">
        <v>10.95</v>
      </c>
      <c r="Y41" t="s">
        <v>600</v>
      </c>
      <c r="Z41" t="s">
        <v>198</v>
      </c>
      <c r="AA41" t="s">
        <v>601</v>
      </c>
      <c r="AB41">
        <v>6.93</v>
      </c>
      <c r="AC41" t="s">
        <v>602</v>
      </c>
      <c r="AD41">
        <v>90.94</v>
      </c>
      <c r="AE41" t="s">
        <v>603</v>
      </c>
      <c r="AF41">
        <v>0.32</v>
      </c>
      <c r="AG41">
        <v>0</v>
      </c>
      <c r="AH41">
        <v>0</v>
      </c>
      <c r="AI41" s="4">
        <v>40410</v>
      </c>
    </row>
    <row r="42" spans="1:35">
      <c r="A42">
        <v>41</v>
      </c>
      <c r="B42" t="str">
        <f>"002168"</f>
        <v>002168</v>
      </c>
      <c r="C42" t="s">
        <v>604</v>
      </c>
      <c r="D42" s="4">
        <v>43190</v>
      </c>
      <c r="E42" t="s">
        <v>605</v>
      </c>
      <c r="F42" t="s">
        <v>488</v>
      </c>
      <c r="G42" s="2" t="s">
        <v>606</v>
      </c>
      <c r="H42">
        <v>0.19</v>
      </c>
      <c r="I42">
        <v>1.84</v>
      </c>
      <c r="J42">
        <v>10.94</v>
      </c>
      <c r="K42" t="s">
        <v>607</v>
      </c>
      <c r="L42">
        <v>1035.26</v>
      </c>
      <c r="M42" t="s">
        <v>608</v>
      </c>
      <c r="N42" t="s">
        <v>609</v>
      </c>
      <c r="O42" t="s">
        <v>255</v>
      </c>
      <c r="P42" t="s">
        <v>610</v>
      </c>
      <c r="Q42">
        <v>2907.63</v>
      </c>
      <c r="R42" t="s">
        <v>611</v>
      </c>
      <c r="S42">
        <v>0.57999999999999996</v>
      </c>
      <c r="T42">
        <v>76.819999999999993</v>
      </c>
      <c r="U42" t="s">
        <v>612</v>
      </c>
      <c r="V42" t="s">
        <v>613</v>
      </c>
      <c r="W42" t="s">
        <v>614</v>
      </c>
      <c r="X42">
        <v>10.94</v>
      </c>
      <c r="Y42" t="s">
        <v>308</v>
      </c>
      <c r="Z42" t="s">
        <v>192</v>
      </c>
      <c r="AA42" t="s">
        <v>615</v>
      </c>
      <c r="AB42">
        <v>4.9800000000000004</v>
      </c>
      <c r="AC42" t="s">
        <v>547</v>
      </c>
      <c r="AD42">
        <v>43.62</v>
      </c>
      <c r="AE42" t="s">
        <v>616</v>
      </c>
      <c r="AF42">
        <v>0.59</v>
      </c>
      <c r="AG42">
        <v>0</v>
      </c>
      <c r="AH42">
        <v>0</v>
      </c>
      <c r="AI42" s="4">
        <v>39344</v>
      </c>
    </row>
    <row r="43" spans="1:35">
      <c r="A43">
        <v>42</v>
      </c>
      <c r="B43" t="str">
        <f>"601206"</f>
        <v>601206</v>
      </c>
      <c r="C43" t="s">
        <v>617</v>
      </c>
      <c r="D43" s="4">
        <v>42551</v>
      </c>
      <c r="E43" t="s">
        <v>618</v>
      </c>
      <c r="F43">
        <v>0</v>
      </c>
      <c r="G43">
        <v>0</v>
      </c>
      <c r="H43">
        <v>0.37</v>
      </c>
      <c r="I43">
        <v>3.61</v>
      </c>
      <c r="J43">
        <v>10.89</v>
      </c>
      <c r="K43" t="s">
        <v>619</v>
      </c>
      <c r="L43">
        <v>21.75</v>
      </c>
      <c r="M43" t="s">
        <v>620</v>
      </c>
      <c r="N43" t="s">
        <v>621</v>
      </c>
      <c r="O43" t="s">
        <v>443</v>
      </c>
      <c r="P43" t="s">
        <v>622</v>
      </c>
      <c r="Q43">
        <v>21.67</v>
      </c>
      <c r="R43" t="s">
        <v>623</v>
      </c>
      <c r="S43">
        <v>1.98</v>
      </c>
      <c r="T43">
        <v>29.76</v>
      </c>
      <c r="U43" t="s">
        <v>419</v>
      </c>
      <c r="V43" t="s">
        <v>624</v>
      </c>
      <c r="W43" t="s">
        <v>594</v>
      </c>
      <c r="X43">
        <v>10.89</v>
      </c>
      <c r="Y43" t="s">
        <v>625</v>
      </c>
      <c r="Z43" t="s">
        <v>250</v>
      </c>
      <c r="AA43" t="s">
        <v>626</v>
      </c>
      <c r="AB43" t="s">
        <v>288</v>
      </c>
      <c r="AC43" t="s">
        <v>627</v>
      </c>
      <c r="AD43">
        <v>38.04</v>
      </c>
      <c r="AE43" t="s">
        <v>628</v>
      </c>
      <c r="AF43">
        <v>0.42</v>
      </c>
      <c r="AG43">
        <v>0</v>
      </c>
      <c r="AH43">
        <v>0</v>
      </c>
      <c r="AI43" t="s">
        <v>99</v>
      </c>
    </row>
    <row r="44" spans="1:35">
      <c r="A44">
        <v>43</v>
      </c>
      <c r="B44" t="str">
        <f>"600507"</f>
        <v>600507</v>
      </c>
      <c r="C44" t="s">
        <v>629</v>
      </c>
      <c r="D44" s="4">
        <v>43190</v>
      </c>
      <c r="E44" t="s">
        <v>263</v>
      </c>
      <c r="F44" t="s">
        <v>124</v>
      </c>
      <c r="G44" t="s">
        <v>630</v>
      </c>
      <c r="H44">
        <v>0.38</v>
      </c>
      <c r="I44">
        <v>1.28</v>
      </c>
      <c r="J44">
        <v>10.83</v>
      </c>
      <c r="K44" t="s">
        <v>113</v>
      </c>
      <c r="L44">
        <v>40.15</v>
      </c>
      <c r="M44" t="s">
        <v>627</v>
      </c>
      <c r="N44" t="s">
        <v>631</v>
      </c>
      <c r="O44" t="s">
        <v>632</v>
      </c>
      <c r="P44" t="s">
        <v>633</v>
      </c>
      <c r="Q44">
        <v>95.68</v>
      </c>
      <c r="R44" t="s">
        <v>300</v>
      </c>
      <c r="S44">
        <v>-0.6</v>
      </c>
      <c r="T44">
        <v>29.22</v>
      </c>
      <c r="U44" t="s">
        <v>315</v>
      </c>
      <c r="V44" t="s">
        <v>634</v>
      </c>
      <c r="W44" t="s">
        <v>223</v>
      </c>
      <c r="X44">
        <v>10.83</v>
      </c>
      <c r="Y44" t="s">
        <v>635</v>
      </c>
      <c r="Z44" t="s">
        <v>636</v>
      </c>
      <c r="AA44" t="s">
        <v>637</v>
      </c>
      <c r="AB44">
        <v>8.77</v>
      </c>
      <c r="AC44" t="s">
        <v>638</v>
      </c>
      <c r="AD44">
        <v>28.15</v>
      </c>
      <c r="AE44" t="s">
        <v>639</v>
      </c>
      <c r="AF44">
        <v>0.42</v>
      </c>
      <c r="AG44">
        <v>0</v>
      </c>
      <c r="AH44">
        <v>0</v>
      </c>
      <c r="AI44" s="4">
        <v>37894</v>
      </c>
    </row>
    <row r="45" spans="1:35">
      <c r="A45">
        <v>44</v>
      </c>
      <c r="B45" t="str">
        <f>"000952"</f>
        <v>000952</v>
      </c>
      <c r="C45" t="s">
        <v>640</v>
      </c>
      <c r="D45" s="4">
        <v>43190</v>
      </c>
      <c r="E45" t="s">
        <v>641</v>
      </c>
      <c r="F45" t="s">
        <v>641</v>
      </c>
      <c r="G45" s="2">
        <v>7723</v>
      </c>
      <c r="H45">
        <v>0.34</v>
      </c>
      <c r="I45">
        <v>3.24</v>
      </c>
      <c r="J45">
        <v>10.56</v>
      </c>
      <c r="K45" t="s">
        <v>203</v>
      </c>
      <c r="L45">
        <v>43.63</v>
      </c>
      <c r="M45" t="s">
        <v>642</v>
      </c>
      <c r="N45" t="s">
        <v>643</v>
      </c>
      <c r="O45" t="s">
        <v>282</v>
      </c>
      <c r="P45" t="s">
        <v>644</v>
      </c>
      <c r="Q45">
        <v>247.47</v>
      </c>
      <c r="R45" t="s">
        <v>645</v>
      </c>
      <c r="S45">
        <v>1.69</v>
      </c>
      <c r="T45">
        <v>69.239999999999995</v>
      </c>
      <c r="U45" t="s">
        <v>646</v>
      </c>
      <c r="V45" t="s">
        <v>647</v>
      </c>
      <c r="W45" t="s">
        <v>648</v>
      </c>
      <c r="X45">
        <v>10.56</v>
      </c>
      <c r="Y45" t="s">
        <v>649</v>
      </c>
      <c r="Z45" t="s">
        <v>650</v>
      </c>
      <c r="AA45" t="s">
        <v>651</v>
      </c>
      <c r="AB45">
        <v>4.07</v>
      </c>
      <c r="AC45" t="s">
        <v>652</v>
      </c>
      <c r="AD45">
        <v>49.33</v>
      </c>
      <c r="AE45" t="s">
        <v>653</v>
      </c>
      <c r="AF45">
        <v>0.24</v>
      </c>
      <c r="AG45">
        <v>0</v>
      </c>
      <c r="AH45">
        <v>0</v>
      </c>
      <c r="AI45" s="4">
        <v>36476</v>
      </c>
    </row>
    <row r="46" spans="1:35">
      <c r="A46">
        <v>45</v>
      </c>
      <c r="B46" t="str">
        <f>"300554"</f>
        <v>300554</v>
      </c>
      <c r="C46" t="s">
        <v>654</v>
      </c>
      <c r="D46" s="4">
        <v>43190</v>
      </c>
      <c r="E46" t="s">
        <v>655</v>
      </c>
      <c r="F46" t="s">
        <v>656</v>
      </c>
      <c r="G46" s="2">
        <v>2981</v>
      </c>
      <c r="H46">
        <v>0.56000000000000005</v>
      </c>
      <c r="I46">
        <v>5.51</v>
      </c>
      <c r="J46">
        <v>10.51</v>
      </c>
      <c r="K46" t="s">
        <v>657</v>
      </c>
      <c r="L46">
        <v>250.94</v>
      </c>
      <c r="M46" t="s">
        <v>658</v>
      </c>
      <c r="N46">
        <v>0</v>
      </c>
      <c r="O46" t="s">
        <v>659</v>
      </c>
      <c r="P46" t="s">
        <v>660</v>
      </c>
      <c r="Q46">
        <v>496.45</v>
      </c>
      <c r="R46" t="s">
        <v>293</v>
      </c>
      <c r="S46">
        <v>2.0299999999999998</v>
      </c>
      <c r="T46">
        <v>55.75</v>
      </c>
      <c r="U46" t="s">
        <v>661</v>
      </c>
      <c r="V46" t="s">
        <v>662</v>
      </c>
      <c r="W46" t="s">
        <v>603</v>
      </c>
      <c r="X46">
        <v>10.51</v>
      </c>
      <c r="Y46" t="s">
        <v>663</v>
      </c>
      <c r="Z46" t="s">
        <v>664</v>
      </c>
      <c r="AA46" t="s">
        <v>665</v>
      </c>
      <c r="AB46">
        <v>5.99</v>
      </c>
      <c r="AC46" t="s">
        <v>666</v>
      </c>
      <c r="AD46">
        <v>84.67</v>
      </c>
      <c r="AE46" t="s">
        <v>492</v>
      </c>
      <c r="AF46">
        <v>2.34</v>
      </c>
      <c r="AG46">
        <v>0</v>
      </c>
      <c r="AH46">
        <v>0</v>
      </c>
      <c r="AI46" s="4">
        <v>42846</v>
      </c>
    </row>
    <row r="47" spans="1:35">
      <c r="A47">
        <v>46</v>
      </c>
      <c r="B47" t="str">
        <f>"002207"</f>
        <v>002207</v>
      </c>
      <c r="C47" t="s">
        <v>667</v>
      </c>
      <c r="D47" s="4">
        <v>43190</v>
      </c>
      <c r="E47" t="s">
        <v>668</v>
      </c>
      <c r="F47" t="s">
        <v>669</v>
      </c>
      <c r="G47">
        <v>7858</v>
      </c>
      <c r="H47">
        <v>-7.0000000000000007E-2</v>
      </c>
      <c r="I47">
        <v>1.4</v>
      </c>
      <c r="J47">
        <v>10.46</v>
      </c>
      <c r="K47" t="s">
        <v>670</v>
      </c>
      <c r="L47">
        <v>36.39</v>
      </c>
      <c r="M47" t="s">
        <v>671</v>
      </c>
      <c r="N47">
        <v>0</v>
      </c>
      <c r="O47" t="s">
        <v>672</v>
      </c>
      <c r="P47" t="s">
        <v>673</v>
      </c>
      <c r="Q47">
        <v>-125.71</v>
      </c>
      <c r="R47" t="s">
        <v>674</v>
      </c>
      <c r="S47">
        <v>-0.74</v>
      </c>
      <c r="T47">
        <v>-21.85</v>
      </c>
      <c r="U47" t="s">
        <v>675</v>
      </c>
      <c r="V47" t="s">
        <v>676</v>
      </c>
      <c r="W47" t="s">
        <v>677</v>
      </c>
      <c r="X47">
        <v>10.46</v>
      </c>
      <c r="Y47" t="s">
        <v>678</v>
      </c>
      <c r="Z47" t="s">
        <v>679</v>
      </c>
      <c r="AA47" t="s">
        <v>680</v>
      </c>
      <c r="AB47">
        <v>3.59</v>
      </c>
      <c r="AC47" t="s">
        <v>681</v>
      </c>
      <c r="AD47">
        <v>49.91</v>
      </c>
      <c r="AE47" t="s">
        <v>682</v>
      </c>
      <c r="AF47">
        <v>0.92</v>
      </c>
      <c r="AG47">
        <v>0</v>
      </c>
      <c r="AH47">
        <v>0</v>
      </c>
      <c r="AI47" s="4">
        <v>39475</v>
      </c>
    </row>
    <row r="48" spans="1:35">
      <c r="A48">
        <v>47</v>
      </c>
      <c r="B48" t="str">
        <f>"603156"</f>
        <v>603156</v>
      </c>
      <c r="C48" t="s">
        <v>683</v>
      </c>
      <c r="D48" s="4">
        <v>43190</v>
      </c>
      <c r="E48" t="s">
        <v>632</v>
      </c>
      <c r="F48" t="s">
        <v>684</v>
      </c>
      <c r="G48" s="2">
        <v>1013</v>
      </c>
      <c r="H48">
        <v>1.23</v>
      </c>
      <c r="I48">
        <v>13.47</v>
      </c>
      <c r="J48">
        <v>10.45</v>
      </c>
      <c r="K48" t="s">
        <v>685</v>
      </c>
      <c r="L48">
        <v>20.12</v>
      </c>
      <c r="M48" t="s">
        <v>548</v>
      </c>
      <c r="N48" t="s">
        <v>686</v>
      </c>
      <c r="O48" t="s">
        <v>548</v>
      </c>
      <c r="P48" t="s">
        <v>687</v>
      </c>
      <c r="Q48">
        <v>80.25</v>
      </c>
      <c r="R48" t="s">
        <v>688</v>
      </c>
      <c r="S48">
        <v>8.07</v>
      </c>
      <c r="T48">
        <v>48.86</v>
      </c>
      <c r="U48" t="s">
        <v>463</v>
      </c>
      <c r="V48" t="s">
        <v>689</v>
      </c>
      <c r="W48" t="s">
        <v>690</v>
      </c>
      <c r="X48">
        <v>10.45</v>
      </c>
      <c r="Y48" t="s">
        <v>691</v>
      </c>
      <c r="Z48" t="s">
        <v>308</v>
      </c>
      <c r="AA48" t="s">
        <v>692</v>
      </c>
      <c r="AB48">
        <v>4.4400000000000004</v>
      </c>
      <c r="AC48" t="s">
        <v>689</v>
      </c>
      <c r="AD48">
        <v>85.36</v>
      </c>
      <c r="AE48" t="s">
        <v>693</v>
      </c>
      <c r="AF48">
        <v>4.28</v>
      </c>
      <c r="AG48">
        <v>0</v>
      </c>
      <c r="AH48">
        <v>0</v>
      </c>
      <c r="AI48" s="4">
        <v>43143</v>
      </c>
    </row>
    <row r="49" spans="1:35">
      <c r="A49">
        <v>48</v>
      </c>
      <c r="B49" t="str">
        <f>"600995"</f>
        <v>600995</v>
      </c>
      <c r="C49" t="s">
        <v>694</v>
      </c>
      <c r="D49" s="4">
        <v>43190</v>
      </c>
      <c r="E49" t="s">
        <v>362</v>
      </c>
      <c r="F49" t="s">
        <v>362</v>
      </c>
      <c r="G49">
        <v>9482</v>
      </c>
      <c r="H49">
        <v>0.39</v>
      </c>
      <c r="I49">
        <v>3.85</v>
      </c>
      <c r="J49">
        <v>10.43</v>
      </c>
      <c r="K49" t="s">
        <v>695</v>
      </c>
      <c r="L49">
        <v>-4.92</v>
      </c>
      <c r="M49" t="s">
        <v>696</v>
      </c>
      <c r="N49" t="s">
        <v>697</v>
      </c>
      <c r="O49" t="s">
        <v>66</v>
      </c>
      <c r="P49" t="s">
        <v>698</v>
      </c>
      <c r="Q49">
        <v>97.51</v>
      </c>
      <c r="R49" t="s">
        <v>699</v>
      </c>
      <c r="S49">
        <v>2.15</v>
      </c>
      <c r="T49">
        <v>47.15</v>
      </c>
      <c r="U49" t="s">
        <v>700</v>
      </c>
      <c r="V49" t="s">
        <v>701</v>
      </c>
      <c r="W49" t="s">
        <v>702</v>
      </c>
      <c r="X49">
        <v>10.43</v>
      </c>
      <c r="Y49" t="s">
        <v>703</v>
      </c>
      <c r="Z49" t="s">
        <v>704</v>
      </c>
      <c r="AA49" t="s">
        <v>364</v>
      </c>
      <c r="AB49">
        <v>1.89</v>
      </c>
      <c r="AC49" t="s">
        <v>308</v>
      </c>
      <c r="AD49">
        <v>67.55</v>
      </c>
      <c r="AE49" t="s">
        <v>610</v>
      </c>
      <c r="AF49">
        <v>0.33</v>
      </c>
      <c r="AG49">
        <v>0</v>
      </c>
      <c r="AH49">
        <v>0</v>
      </c>
      <c r="AI49" s="4">
        <v>38153</v>
      </c>
    </row>
    <row r="50" spans="1:35">
      <c r="A50">
        <v>49</v>
      </c>
      <c r="B50" t="str">
        <f>"000553"</f>
        <v>000553</v>
      </c>
      <c r="C50" t="s">
        <v>705</v>
      </c>
      <c r="D50" s="4">
        <v>43190</v>
      </c>
      <c r="E50" t="s">
        <v>706</v>
      </c>
      <c r="F50" t="s">
        <v>707</v>
      </c>
      <c r="G50" t="s">
        <v>708</v>
      </c>
      <c r="H50">
        <v>0.83</v>
      </c>
      <c r="I50">
        <v>8.3000000000000007</v>
      </c>
      <c r="J50">
        <v>10.39</v>
      </c>
      <c r="K50" t="s">
        <v>709</v>
      </c>
      <c r="L50">
        <v>2.46</v>
      </c>
      <c r="M50" t="s">
        <v>710</v>
      </c>
      <c r="N50" t="s">
        <v>711</v>
      </c>
      <c r="O50" t="s">
        <v>710</v>
      </c>
      <c r="P50" t="s">
        <v>712</v>
      </c>
      <c r="Q50">
        <v>166.42</v>
      </c>
      <c r="R50" t="s">
        <v>713</v>
      </c>
      <c r="S50">
        <v>2.17</v>
      </c>
      <c r="T50">
        <v>34.75</v>
      </c>
      <c r="U50" t="s">
        <v>714</v>
      </c>
      <c r="V50" t="s">
        <v>715</v>
      </c>
      <c r="W50" t="s">
        <v>530</v>
      </c>
      <c r="X50">
        <v>10.39</v>
      </c>
      <c r="Y50" t="s">
        <v>462</v>
      </c>
      <c r="Z50" t="s">
        <v>716</v>
      </c>
      <c r="AA50" t="s">
        <v>717</v>
      </c>
      <c r="AB50">
        <v>1.78</v>
      </c>
      <c r="AC50" t="s">
        <v>718</v>
      </c>
      <c r="AD50">
        <v>50.95</v>
      </c>
      <c r="AE50" t="s">
        <v>719</v>
      </c>
      <c r="AF50">
        <v>5.3</v>
      </c>
      <c r="AG50" t="s">
        <v>321</v>
      </c>
      <c r="AH50">
        <v>0</v>
      </c>
      <c r="AI50" s="4">
        <v>34306</v>
      </c>
    </row>
    <row r="51" spans="1:35">
      <c r="A51">
        <v>50</v>
      </c>
      <c r="B51" t="str">
        <f>"000848"</f>
        <v>000848</v>
      </c>
      <c r="C51" t="s">
        <v>720</v>
      </c>
      <c r="D51" s="4">
        <v>43190</v>
      </c>
      <c r="E51" t="s">
        <v>721</v>
      </c>
      <c r="F51" t="s">
        <v>722</v>
      </c>
      <c r="G51" t="s">
        <v>723</v>
      </c>
      <c r="H51">
        <v>0.22</v>
      </c>
      <c r="I51">
        <v>1.77</v>
      </c>
      <c r="J51">
        <v>10.37</v>
      </c>
      <c r="K51" t="s">
        <v>724</v>
      </c>
      <c r="L51">
        <v>13.19</v>
      </c>
      <c r="M51" t="s">
        <v>535</v>
      </c>
      <c r="N51">
        <v>0</v>
      </c>
      <c r="O51" t="s">
        <v>535</v>
      </c>
      <c r="P51" t="s">
        <v>66</v>
      </c>
      <c r="Q51">
        <v>10.99</v>
      </c>
      <c r="R51" t="s">
        <v>102</v>
      </c>
      <c r="S51">
        <v>0.38</v>
      </c>
      <c r="T51">
        <v>52.94</v>
      </c>
      <c r="U51" t="s">
        <v>725</v>
      </c>
      <c r="V51" t="s">
        <v>514</v>
      </c>
      <c r="W51" t="s">
        <v>726</v>
      </c>
      <c r="X51">
        <v>10.37</v>
      </c>
      <c r="Y51" t="s">
        <v>542</v>
      </c>
      <c r="Z51" t="s">
        <v>540</v>
      </c>
      <c r="AA51" t="s">
        <v>727</v>
      </c>
      <c r="AB51">
        <v>5.68</v>
      </c>
      <c r="AC51" t="s">
        <v>728</v>
      </c>
      <c r="AD51">
        <v>80.83</v>
      </c>
      <c r="AE51" t="s">
        <v>729</v>
      </c>
      <c r="AF51">
        <v>0.02</v>
      </c>
      <c r="AG51">
        <v>0</v>
      </c>
      <c r="AH51">
        <v>0</v>
      </c>
      <c r="AI51" s="4">
        <v>35747</v>
      </c>
    </row>
    <row r="52" spans="1:35">
      <c r="A52">
        <v>51</v>
      </c>
      <c r="B52" t="str">
        <f>"000629"</f>
        <v>000629</v>
      </c>
      <c r="C52" t="s">
        <v>730</v>
      </c>
      <c r="D52" s="4">
        <v>43190</v>
      </c>
      <c r="E52" t="s">
        <v>731</v>
      </c>
      <c r="F52" t="s">
        <v>732</v>
      </c>
      <c r="G52" t="s">
        <v>630</v>
      </c>
      <c r="H52">
        <v>0.05</v>
      </c>
      <c r="I52">
        <v>0.56000000000000005</v>
      </c>
      <c r="J52">
        <v>10.31</v>
      </c>
      <c r="K52" t="s">
        <v>733</v>
      </c>
      <c r="L52">
        <v>44.83</v>
      </c>
      <c r="M52" t="s">
        <v>127</v>
      </c>
      <c r="N52">
        <v>0</v>
      </c>
      <c r="O52" t="s">
        <v>734</v>
      </c>
      <c r="P52" t="s">
        <v>735</v>
      </c>
      <c r="Q52">
        <v>110.61</v>
      </c>
      <c r="R52" t="s">
        <v>736</v>
      </c>
      <c r="S52">
        <v>-1.26</v>
      </c>
      <c r="T52">
        <v>23.58</v>
      </c>
      <c r="U52" t="s">
        <v>252</v>
      </c>
      <c r="V52" t="s">
        <v>737</v>
      </c>
      <c r="W52" t="s">
        <v>738</v>
      </c>
      <c r="X52">
        <v>10.31</v>
      </c>
      <c r="Y52" t="s">
        <v>739</v>
      </c>
      <c r="Z52" t="s">
        <v>740</v>
      </c>
      <c r="AA52" t="s">
        <v>741</v>
      </c>
      <c r="AB52">
        <v>5.52</v>
      </c>
      <c r="AC52" t="s">
        <v>732</v>
      </c>
      <c r="AD52">
        <v>46.09</v>
      </c>
      <c r="AE52" t="s">
        <v>742</v>
      </c>
      <c r="AF52">
        <v>0.64</v>
      </c>
      <c r="AG52">
        <v>0</v>
      </c>
      <c r="AH52">
        <v>0</v>
      </c>
      <c r="AI52" s="4">
        <v>35384</v>
      </c>
    </row>
    <row r="53" spans="1:35">
      <c r="A53">
        <v>52</v>
      </c>
      <c r="B53" t="str">
        <f>"603587"</f>
        <v>603587</v>
      </c>
      <c r="C53" t="s">
        <v>743</v>
      </c>
      <c r="D53" s="4">
        <v>43190</v>
      </c>
      <c r="E53" t="s">
        <v>241</v>
      </c>
      <c r="F53" t="s">
        <v>744</v>
      </c>
      <c r="G53">
        <v>0</v>
      </c>
      <c r="H53">
        <v>0.37</v>
      </c>
      <c r="I53">
        <v>3.69</v>
      </c>
      <c r="J53">
        <v>10.199999999999999</v>
      </c>
      <c r="K53" t="s">
        <v>97</v>
      </c>
      <c r="L53">
        <v>6.27</v>
      </c>
      <c r="M53" t="s">
        <v>255</v>
      </c>
      <c r="N53">
        <v>0</v>
      </c>
      <c r="O53" t="s">
        <v>148</v>
      </c>
      <c r="P53" t="s">
        <v>745</v>
      </c>
      <c r="Q53">
        <v>1.96</v>
      </c>
      <c r="R53" t="s">
        <v>746</v>
      </c>
      <c r="S53">
        <v>2.25</v>
      </c>
      <c r="T53">
        <v>73.59</v>
      </c>
      <c r="U53" t="s">
        <v>183</v>
      </c>
      <c r="V53" t="s">
        <v>747</v>
      </c>
      <c r="W53" t="s">
        <v>748</v>
      </c>
      <c r="X53">
        <v>10.199999999999999</v>
      </c>
      <c r="Y53" t="s">
        <v>749</v>
      </c>
      <c r="Z53" t="s">
        <v>750</v>
      </c>
      <c r="AA53" t="s">
        <v>751</v>
      </c>
      <c r="AB53">
        <v>7.46</v>
      </c>
      <c r="AC53" t="s">
        <v>141</v>
      </c>
      <c r="AD53">
        <v>78.010000000000005</v>
      </c>
      <c r="AE53" t="s">
        <v>752</v>
      </c>
      <c r="AF53">
        <v>0.17</v>
      </c>
      <c r="AG53">
        <v>0</v>
      </c>
      <c r="AH53">
        <v>0</v>
      </c>
      <c r="AI53" t="s">
        <v>99</v>
      </c>
    </row>
    <row r="54" spans="1:35">
      <c r="A54">
        <v>53</v>
      </c>
      <c r="B54" t="str">
        <f>"002001"</f>
        <v>002001</v>
      </c>
      <c r="C54" t="s">
        <v>753</v>
      </c>
      <c r="D54" s="4">
        <v>43190</v>
      </c>
      <c r="E54" t="s">
        <v>449</v>
      </c>
      <c r="F54" t="s">
        <v>754</v>
      </c>
      <c r="G54" s="2" t="s">
        <v>755</v>
      </c>
      <c r="H54">
        <v>0.7</v>
      </c>
      <c r="I54">
        <v>6.77</v>
      </c>
      <c r="J54">
        <v>10.16</v>
      </c>
      <c r="K54" t="s">
        <v>756</v>
      </c>
      <c r="L54">
        <v>148</v>
      </c>
      <c r="M54" t="s">
        <v>757</v>
      </c>
      <c r="N54" t="s">
        <v>758</v>
      </c>
      <c r="O54" t="s">
        <v>757</v>
      </c>
      <c r="P54" t="s">
        <v>759</v>
      </c>
      <c r="Q54">
        <v>544.55999999999995</v>
      </c>
      <c r="R54" t="s">
        <v>760</v>
      </c>
      <c r="S54">
        <v>3.37</v>
      </c>
      <c r="T54">
        <v>73.44</v>
      </c>
      <c r="U54" t="s">
        <v>761</v>
      </c>
      <c r="V54" t="s">
        <v>410</v>
      </c>
      <c r="W54" t="s">
        <v>762</v>
      </c>
      <c r="X54">
        <v>10.16</v>
      </c>
      <c r="Y54" t="s">
        <v>763</v>
      </c>
      <c r="Z54" t="s">
        <v>386</v>
      </c>
      <c r="AA54" t="s">
        <v>295</v>
      </c>
      <c r="AB54">
        <v>2.35</v>
      </c>
      <c r="AC54" t="s">
        <v>764</v>
      </c>
      <c r="AD54">
        <v>78.84</v>
      </c>
      <c r="AE54" t="s">
        <v>765</v>
      </c>
      <c r="AF54">
        <v>2.11</v>
      </c>
      <c r="AG54">
        <v>0</v>
      </c>
      <c r="AH54">
        <v>0</v>
      </c>
      <c r="AI54" s="4">
        <v>38163</v>
      </c>
    </row>
    <row r="55" spans="1:35">
      <c r="A55">
        <v>54</v>
      </c>
      <c r="B55" t="str">
        <f>"600566"</f>
        <v>600566</v>
      </c>
      <c r="C55" t="s">
        <v>766</v>
      </c>
      <c r="D55" s="4">
        <v>43190</v>
      </c>
      <c r="E55" t="s">
        <v>767</v>
      </c>
      <c r="F55" t="s">
        <v>767</v>
      </c>
      <c r="G55" s="2" t="s">
        <v>768</v>
      </c>
      <c r="H55">
        <v>0.57999999999999996</v>
      </c>
      <c r="I55">
        <v>4.8499999999999996</v>
      </c>
      <c r="J55">
        <v>10.07</v>
      </c>
      <c r="K55" t="s">
        <v>514</v>
      </c>
      <c r="L55">
        <v>51.45</v>
      </c>
      <c r="M55" t="s">
        <v>769</v>
      </c>
      <c r="N55" t="s">
        <v>770</v>
      </c>
      <c r="O55" t="s">
        <v>734</v>
      </c>
      <c r="P55" t="s">
        <v>771</v>
      </c>
      <c r="Q55">
        <v>60.58</v>
      </c>
      <c r="R55" t="s">
        <v>451</v>
      </c>
      <c r="S55">
        <v>2.2400000000000002</v>
      </c>
      <c r="T55">
        <v>84.67</v>
      </c>
      <c r="U55" t="s">
        <v>772</v>
      </c>
      <c r="V55" t="s">
        <v>773</v>
      </c>
      <c r="W55" t="s">
        <v>50</v>
      </c>
      <c r="X55">
        <v>10.07</v>
      </c>
      <c r="Y55" t="s">
        <v>774</v>
      </c>
      <c r="Z55" t="s">
        <v>775</v>
      </c>
      <c r="AA55" t="s">
        <v>776</v>
      </c>
      <c r="AB55">
        <v>9.61</v>
      </c>
      <c r="AC55" t="s">
        <v>777</v>
      </c>
      <c r="AD55">
        <v>65.67</v>
      </c>
      <c r="AE55" t="s">
        <v>747</v>
      </c>
      <c r="AF55">
        <v>1.92</v>
      </c>
      <c r="AG55">
        <v>0</v>
      </c>
      <c r="AH55">
        <v>0</v>
      </c>
      <c r="AI55" s="4">
        <v>37125</v>
      </c>
    </row>
    <row r="56" spans="1:35">
      <c r="A56">
        <v>55</v>
      </c>
      <c r="B56" t="str">
        <f>"000830"</f>
        <v>000830</v>
      </c>
      <c r="C56" t="s">
        <v>778</v>
      </c>
      <c r="D56" s="4">
        <v>43190</v>
      </c>
      <c r="E56" t="s">
        <v>584</v>
      </c>
      <c r="F56" t="s">
        <v>584</v>
      </c>
      <c r="G56" s="2" t="s">
        <v>779</v>
      </c>
      <c r="H56">
        <v>0.56000000000000005</v>
      </c>
      <c r="I56">
        <v>5.56</v>
      </c>
      <c r="J56">
        <v>10.01</v>
      </c>
      <c r="K56" t="s">
        <v>780</v>
      </c>
      <c r="L56">
        <v>31.98</v>
      </c>
      <c r="M56" t="s">
        <v>521</v>
      </c>
      <c r="N56" t="s">
        <v>781</v>
      </c>
      <c r="O56" t="s">
        <v>521</v>
      </c>
      <c r="P56" t="s">
        <v>782</v>
      </c>
      <c r="Q56">
        <v>240.26</v>
      </c>
      <c r="R56" t="s">
        <v>783</v>
      </c>
      <c r="S56">
        <v>2.79</v>
      </c>
      <c r="T56">
        <v>30.39</v>
      </c>
      <c r="U56" t="s">
        <v>784</v>
      </c>
      <c r="V56" t="s">
        <v>785</v>
      </c>
      <c r="W56" t="s">
        <v>786</v>
      </c>
      <c r="X56">
        <v>10.01</v>
      </c>
      <c r="Y56" t="s">
        <v>787</v>
      </c>
      <c r="Z56" t="s">
        <v>788</v>
      </c>
      <c r="AA56" t="s">
        <v>510</v>
      </c>
      <c r="AB56">
        <v>3.05</v>
      </c>
      <c r="AC56" t="s">
        <v>558</v>
      </c>
      <c r="AD56">
        <v>38.590000000000003</v>
      </c>
      <c r="AE56" t="s">
        <v>789</v>
      </c>
      <c r="AF56">
        <v>1.49</v>
      </c>
      <c r="AG56">
        <v>0</v>
      </c>
      <c r="AH56">
        <v>0</v>
      </c>
      <c r="AI56" s="4">
        <v>36014</v>
      </c>
    </row>
    <row r="57" spans="1:35">
      <c r="A57">
        <v>56</v>
      </c>
      <c r="B57" t="str">
        <f>"600729"</f>
        <v>600729</v>
      </c>
      <c r="C57" t="s">
        <v>790</v>
      </c>
      <c r="D57" s="4">
        <v>43190</v>
      </c>
      <c r="E57" t="s">
        <v>48</v>
      </c>
      <c r="F57" t="s">
        <v>365</v>
      </c>
      <c r="G57" t="s">
        <v>791</v>
      </c>
      <c r="H57">
        <v>1.29</v>
      </c>
      <c r="I57">
        <v>12.97</v>
      </c>
      <c r="J57">
        <v>9.9499999999999993</v>
      </c>
      <c r="K57" t="s">
        <v>232</v>
      </c>
      <c r="L57">
        <v>9.66</v>
      </c>
      <c r="M57" t="s">
        <v>792</v>
      </c>
      <c r="N57" t="s">
        <v>793</v>
      </c>
      <c r="O57" t="s">
        <v>792</v>
      </c>
      <c r="P57" t="s">
        <v>269</v>
      </c>
      <c r="Q57">
        <v>43.48</v>
      </c>
      <c r="R57" t="s">
        <v>738</v>
      </c>
      <c r="S57">
        <v>10.24</v>
      </c>
      <c r="T57">
        <v>18.63</v>
      </c>
      <c r="U57" t="s">
        <v>794</v>
      </c>
      <c r="V57" t="s">
        <v>795</v>
      </c>
      <c r="W57" t="s">
        <v>756</v>
      </c>
      <c r="X57">
        <v>9.9499999999999993</v>
      </c>
      <c r="Y57" t="s">
        <v>796</v>
      </c>
      <c r="Z57" t="s">
        <v>797</v>
      </c>
      <c r="AA57" t="s">
        <v>798</v>
      </c>
      <c r="AB57">
        <v>2.56</v>
      </c>
      <c r="AC57" t="s">
        <v>799</v>
      </c>
      <c r="AD57">
        <v>41.25</v>
      </c>
      <c r="AE57" t="s">
        <v>800</v>
      </c>
      <c r="AF57">
        <v>0.99</v>
      </c>
      <c r="AG57">
        <v>0</v>
      </c>
      <c r="AH57">
        <v>0</v>
      </c>
      <c r="AI57" s="4">
        <v>35248</v>
      </c>
    </row>
    <row r="58" spans="1:35">
      <c r="A58">
        <v>57</v>
      </c>
      <c r="B58" t="str">
        <f>"603027"</f>
        <v>603027</v>
      </c>
      <c r="C58" t="s">
        <v>801</v>
      </c>
      <c r="D58" s="4">
        <v>43190</v>
      </c>
      <c r="E58" t="s">
        <v>90</v>
      </c>
      <c r="F58" t="s">
        <v>45</v>
      </c>
      <c r="G58">
        <v>9467</v>
      </c>
      <c r="H58">
        <v>0.34</v>
      </c>
      <c r="I58">
        <v>3.47</v>
      </c>
      <c r="J58">
        <v>9.83</v>
      </c>
      <c r="K58" t="s">
        <v>203</v>
      </c>
      <c r="L58">
        <v>-3.01</v>
      </c>
      <c r="M58" t="s">
        <v>802</v>
      </c>
      <c r="N58" t="s">
        <v>803</v>
      </c>
      <c r="O58" t="s">
        <v>802</v>
      </c>
      <c r="P58" t="s">
        <v>804</v>
      </c>
      <c r="Q58">
        <v>193.18</v>
      </c>
      <c r="R58" t="s">
        <v>97</v>
      </c>
      <c r="S58">
        <v>1.44</v>
      </c>
      <c r="T58">
        <v>43.71</v>
      </c>
      <c r="U58" t="s">
        <v>173</v>
      </c>
      <c r="V58" t="s">
        <v>805</v>
      </c>
      <c r="W58" t="s">
        <v>806</v>
      </c>
      <c r="X58">
        <v>9.83</v>
      </c>
      <c r="Y58" t="s">
        <v>126</v>
      </c>
      <c r="Z58" t="s">
        <v>807</v>
      </c>
      <c r="AA58" t="s">
        <v>808</v>
      </c>
      <c r="AB58">
        <v>6.97</v>
      </c>
      <c r="AC58" t="s">
        <v>192</v>
      </c>
      <c r="AD58">
        <v>82.42</v>
      </c>
      <c r="AE58" t="s">
        <v>188</v>
      </c>
      <c r="AF58">
        <v>0.88</v>
      </c>
      <c r="AG58">
        <v>0</v>
      </c>
      <c r="AH58">
        <v>0</v>
      </c>
      <c r="AI58" s="4">
        <v>42436</v>
      </c>
    </row>
    <row r="59" spans="1:35">
      <c r="A59">
        <v>58</v>
      </c>
      <c r="B59" t="str">
        <f>"603288"</f>
        <v>603288</v>
      </c>
      <c r="C59" t="s">
        <v>809</v>
      </c>
      <c r="D59" s="4">
        <v>43190</v>
      </c>
      <c r="E59" t="s">
        <v>158</v>
      </c>
      <c r="F59" t="s">
        <v>158</v>
      </c>
      <c r="G59" s="2" t="s">
        <v>810</v>
      </c>
      <c r="H59">
        <v>0.45</v>
      </c>
      <c r="I59">
        <v>3.95</v>
      </c>
      <c r="J59">
        <v>9.73</v>
      </c>
      <c r="K59" t="s">
        <v>811</v>
      </c>
      <c r="L59">
        <v>17.04</v>
      </c>
      <c r="M59" t="s">
        <v>161</v>
      </c>
      <c r="N59" t="s">
        <v>812</v>
      </c>
      <c r="O59" t="s">
        <v>161</v>
      </c>
      <c r="P59" t="s">
        <v>625</v>
      </c>
      <c r="Q59">
        <v>23.11</v>
      </c>
      <c r="R59" t="s">
        <v>813</v>
      </c>
      <c r="S59">
        <v>1.98</v>
      </c>
      <c r="T59">
        <v>46.7</v>
      </c>
      <c r="U59" t="s">
        <v>814</v>
      </c>
      <c r="V59" t="s">
        <v>815</v>
      </c>
      <c r="W59" t="s">
        <v>816</v>
      </c>
      <c r="X59">
        <v>9.73</v>
      </c>
      <c r="Y59" t="s">
        <v>817</v>
      </c>
      <c r="Z59" t="s">
        <v>818</v>
      </c>
      <c r="AA59" t="s">
        <v>372</v>
      </c>
      <c r="AB59">
        <v>19.32</v>
      </c>
      <c r="AC59" t="s">
        <v>719</v>
      </c>
      <c r="AD59">
        <v>79.09</v>
      </c>
      <c r="AE59" t="s">
        <v>101</v>
      </c>
      <c r="AF59">
        <v>0.48</v>
      </c>
      <c r="AG59">
        <v>0</v>
      </c>
      <c r="AH59">
        <v>0</v>
      </c>
      <c r="AI59" s="4">
        <v>41681</v>
      </c>
    </row>
    <row r="60" spans="1:35">
      <c r="A60">
        <v>59</v>
      </c>
      <c r="B60" t="str">
        <f>"000018"</f>
        <v>000018</v>
      </c>
      <c r="C60" t="s">
        <v>819</v>
      </c>
      <c r="D60" s="4">
        <v>43190</v>
      </c>
      <c r="E60" t="s">
        <v>820</v>
      </c>
      <c r="F60" t="s">
        <v>632</v>
      </c>
      <c r="G60">
        <v>0</v>
      </c>
      <c r="H60">
        <v>0.13</v>
      </c>
      <c r="I60">
        <v>1.39</v>
      </c>
      <c r="J60">
        <v>9.69</v>
      </c>
      <c r="K60" t="s">
        <v>821</v>
      </c>
      <c r="L60">
        <v>-12.87</v>
      </c>
      <c r="M60" t="s">
        <v>822</v>
      </c>
      <c r="N60" t="s">
        <v>823</v>
      </c>
      <c r="O60" t="s">
        <v>258</v>
      </c>
      <c r="P60" t="s">
        <v>66</v>
      </c>
      <c r="Q60">
        <v>120.67</v>
      </c>
      <c r="R60" t="s">
        <v>304</v>
      </c>
      <c r="S60">
        <v>1.01</v>
      </c>
      <c r="T60">
        <v>24.77</v>
      </c>
      <c r="U60" t="s">
        <v>815</v>
      </c>
      <c r="V60" t="s">
        <v>232</v>
      </c>
      <c r="W60" t="s">
        <v>824</v>
      </c>
      <c r="X60">
        <v>9.69</v>
      </c>
      <c r="Y60" t="s">
        <v>717</v>
      </c>
      <c r="Z60" t="s">
        <v>825</v>
      </c>
      <c r="AA60" t="s">
        <v>173</v>
      </c>
      <c r="AB60">
        <v>3.93</v>
      </c>
      <c r="AC60" t="s">
        <v>826</v>
      </c>
      <c r="AD60">
        <v>19.989999999999998</v>
      </c>
      <c r="AE60" t="s">
        <v>827</v>
      </c>
      <c r="AF60">
        <v>-0.77</v>
      </c>
      <c r="AG60" t="s">
        <v>828</v>
      </c>
      <c r="AH60">
        <v>0</v>
      </c>
      <c r="AI60" s="4">
        <v>33771</v>
      </c>
    </row>
    <row r="61" spans="1:35">
      <c r="A61">
        <v>60</v>
      </c>
      <c r="B61" t="str">
        <f>"600398"</f>
        <v>600398</v>
      </c>
      <c r="C61" t="s">
        <v>829</v>
      </c>
      <c r="D61" s="4">
        <v>43190</v>
      </c>
      <c r="E61" t="s">
        <v>830</v>
      </c>
      <c r="F61" t="s">
        <v>830</v>
      </c>
      <c r="G61" t="s">
        <v>831</v>
      </c>
      <c r="H61">
        <v>0.25</v>
      </c>
      <c r="I61">
        <v>2.2599999999999998</v>
      </c>
      <c r="J61">
        <v>9.6300000000000008</v>
      </c>
      <c r="K61" t="s">
        <v>832</v>
      </c>
      <c r="L61">
        <v>12.16</v>
      </c>
      <c r="M61" t="s">
        <v>833</v>
      </c>
      <c r="N61" t="s">
        <v>834</v>
      </c>
      <c r="O61" t="s">
        <v>747</v>
      </c>
      <c r="P61" t="s">
        <v>835</v>
      </c>
      <c r="Q61">
        <v>11.97</v>
      </c>
      <c r="R61" t="s">
        <v>836</v>
      </c>
      <c r="S61">
        <v>1.24</v>
      </c>
      <c r="T61">
        <v>39.9</v>
      </c>
      <c r="U61" t="s">
        <v>837</v>
      </c>
      <c r="V61" t="s">
        <v>838</v>
      </c>
      <c r="W61" t="s">
        <v>313</v>
      </c>
      <c r="X61">
        <v>9.6300000000000008</v>
      </c>
      <c r="Y61" t="s">
        <v>839</v>
      </c>
      <c r="Z61" t="s">
        <v>229</v>
      </c>
      <c r="AA61" t="s">
        <v>840</v>
      </c>
      <c r="AB61">
        <v>5.4</v>
      </c>
      <c r="AC61" t="s">
        <v>841</v>
      </c>
      <c r="AD61">
        <v>44.74</v>
      </c>
      <c r="AE61" t="s">
        <v>712</v>
      </c>
      <c r="AF61">
        <v>0.45</v>
      </c>
      <c r="AG61">
        <v>0</v>
      </c>
      <c r="AH61">
        <v>0</v>
      </c>
      <c r="AI61" s="4">
        <v>36888</v>
      </c>
    </row>
    <row r="62" spans="1:35">
      <c r="A62">
        <v>61</v>
      </c>
      <c r="B62" t="str">
        <f>"002711"</f>
        <v>002711</v>
      </c>
      <c r="C62" t="s">
        <v>842</v>
      </c>
      <c r="D62" s="4">
        <v>43190</v>
      </c>
      <c r="E62" t="s">
        <v>521</v>
      </c>
      <c r="F62" t="s">
        <v>407</v>
      </c>
      <c r="G62" s="2" t="s">
        <v>843</v>
      </c>
      <c r="H62">
        <v>0.16</v>
      </c>
      <c r="I62">
        <v>1.72</v>
      </c>
      <c r="J62">
        <v>9.61</v>
      </c>
      <c r="K62" t="s">
        <v>613</v>
      </c>
      <c r="L62">
        <v>22.27</v>
      </c>
      <c r="M62" t="s">
        <v>844</v>
      </c>
      <c r="N62" t="s">
        <v>845</v>
      </c>
      <c r="O62" t="s">
        <v>844</v>
      </c>
      <c r="P62" t="s">
        <v>321</v>
      </c>
      <c r="Q62">
        <v>249.57</v>
      </c>
      <c r="R62" t="s">
        <v>846</v>
      </c>
      <c r="S62">
        <v>0.62</v>
      </c>
      <c r="T62">
        <v>7.78</v>
      </c>
      <c r="U62" t="s">
        <v>431</v>
      </c>
      <c r="V62" t="s">
        <v>402</v>
      </c>
      <c r="W62" t="s">
        <v>219</v>
      </c>
      <c r="X62">
        <v>9.61</v>
      </c>
      <c r="Y62" t="s">
        <v>847</v>
      </c>
      <c r="Z62" t="s">
        <v>848</v>
      </c>
      <c r="AA62" t="s">
        <v>849</v>
      </c>
      <c r="AB62">
        <v>5.26</v>
      </c>
      <c r="AC62" t="s">
        <v>754</v>
      </c>
      <c r="AD62">
        <v>51.15</v>
      </c>
      <c r="AE62" t="s">
        <v>850</v>
      </c>
      <c r="AF62">
        <v>0</v>
      </c>
      <c r="AG62">
        <v>0</v>
      </c>
      <c r="AH62">
        <v>0</v>
      </c>
      <c r="AI62" s="4">
        <v>41666</v>
      </c>
    </row>
    <row r="63" spans="1:35">
      <c r="A63">
        <v>62</v>
      </c>
      <c r="B63" t="str">
        <f>"300601"</f>
        <v>300601</v>
      </c>
      <c r="C63" t="s">
        <v>851</v>
      </c>
      <c r="D63" s="4">
        <v>43190</v>
      </c>
      <c r="E63" t="s">
        <v>852</v>
      </c>
      <c r="F63" t="s">
        <v>94</v>
      </c>
      <c r="G63" t="s">
        <v>853</v>
      </c>
      <c r="H63">
        <v>0.17</v>
      </c>
      <c r="I63">
        <v>2.0299999999999998</v>
      </c>
      <c r="J63">
        <v>9.4499999999999993</v>
      </c>
      <c r="K63" t="s">
        <v>800</v>
      </c>
      <c r="L63">
        <v>176.25</v>
      </c>
      <c r="M63" t="s">
        <v>322</v>
      </c>
      <c r="N63" t="s">
        <v>854</v>
      </c>
      <c r="O63" t="s">
        <v>802</v>
      </c>
      <c r="P63" t="s">
        <v>804</v>
      </c>
      <c r="Q63">
        <v>290.61</v>
      </c>
      <c r="R63" t="s">
        <v>157</v>
      </c>
      <c r="S63">
        <v>0.65</v>
      </c>
      <c r="T63">
        <v>91.07</v>
      </c>
      <c r="U63" t="s">
        <v>502</v>
      </c>
      <c r="V63" t="s">
        <v>855</v>
      </c>
      <c r="W63" t="s">
        <v>856</v>
      </c>
      <c r="X63">
        <v>9.4499999999999993</v>
      </c>
      <c r="Y63" t="s">
        <v>855</v>
      </c>
      <c r="Z63" t="s">
        <v>648</v>
      </c>
      <c r="AA63" t="s">
        <v>857</v>
      </c>
      <c r="AB63">
        <v>28.77</v>
      </c>
      <c r="AC63" t="s">
        <v>101</v>
      </c>
      <c r="AD63">
        <v>46.22</v>
      </c>
      <c r="AE63" t="s">
        <v>858</v>
      </c>
      <c r="AF63">
        <v>0.73</v>
      </c>
      <c r="AG63">
        <v>0</v>
      </c>
      <c r="AH63">
        <v>0</v>
      </c>
      <c r="AI63" s="4">
        <v>42773</v>
      </c>
    </row>
    <row r="64" spans="1:35">
      <c r="A64">
        <v>63</v>
      </c>
      <c r="B64" t="str">
        <f>"600779"</f>
        <v>600779</v>
      </c>
      <c r="C64" t="s">
        <v>859</v>
      </c>
      <c r="D64" s="4">
        <v>43190</v>
      </c>
      <c r="E64" t="s">
        <v>860</v>
      </c>
      <c r="F64" t="s">
        <v>860</v>
      </c>
      <c r="G64" s="2" t="s">
        <v>861</v>
      </c>
      <c r="H64">
        <v>0.32</v>
      </c>
      <c r="I64">
        <v>3.55</v>
      </c>
      <c r="J64">
        <v>9.34</v>
      </c>
      <c r="K64" t="s">
        <v>598</v>
      </c>
      <c r="L64">
        <v>87.73</v>
      </c>
      <c r="M64" t="s">
        <v>118</v>
      </c>
      <c r="N64">
        <v>0</v>
      </c>
      <c r="O64" t="s">
        <v>862</v>
      </c>
      <c r="P64" t="s">
        <v>863</v>
      </c>
      <c r="Q64">
        <v>68.010000000000005</v>
      </c>
      <c r="R64" t="s">
        <v>348</v>
      </c>
      <c r="S64">
        <v>0.94</v>
      </c>
      <c r="T64">
        <v>80.790000000000006</v>
      </c>
      <c r="U64" t="s">
        <v>864</v>
      </c>
      <c r="V64" t="s">
        <v>865</v>
      </c>
      <c r="W64" t="s">
        <v>104</v>
      </c>
      <c r="X64">
        <v>9.34</v>
      </c>
      <c r="Y64" t="s">
        <v>164</v>
      </c>
      <c r="Z64" t="s">
        <v>405</v>
      </c>
      <c r="AA64" t="s">
        <v>866</v>
      </c>
      <c r="AB64">
        <v>13.52</v>
      </c>
      <c r="AC64" t="s">
        <v>867</v>
      </c>
      <c r="AD64">
        <v>58.01</v>
      </c>
      <c r="AE64" t="s">
        <v>150</v>
      </c>
      <c r="AF64">
        <v>0.82</v>
      </c>
      <c r="AG64">
        <v>0</v>
      </c>
      <c r="AH64">
        <v>0</v>
      </c>
      <c r="AI64" s="4">
        <v>35405</v>
      </c>
    </row>
    <row r="65" spans="1:35">
      <c r="A65">
        <v>64</v>
      </c>
      <c r="B65" t="str">
        <f>"600641"</f>
        <v>600641</v>
      </c>
      <c r="C65" t="s">
        <v>868</v>
      </c>
      <c r="D65" s="4">
        <v>43190</v>
      </c>
      <c r="E65" t="s">
        <v>353</v>
      </c>
      <c r="F65" t="s">
        <v>353</v>
      </c>
      <c r="G65" s="2" t="s">
        <v>853</v>
      </c>
      <c r="H65">
        <v>0.71</v>
      </c>
      <c r="I65">
        <v>7.36</v>
      </c>
      <c r="J65">
        <v>9.2899999999999991</v>
      </c>
      <c r="K65" t="s">
        <v>176</v>
      </c>
      <c r="L65">
        <v>250.95</v>
      </c>
      <c r="M65" t="s">
        <v>869</v>
      </c>
      <c r="N65" t="s">
        <v>870</v>
      </c>
      <c r="O65" t="s">
        <v>871</v>
      </c>
      <c r="P65" t="s">
        <v>872</v>
      </c>
      <c r="Q65">
        <v>387.77</v>
      </c>
      <c r="R65" t="s">
        <v>738</v>
      </c>
      <c r="S65">
        <v>4.84</v>
      </c>
      <c r="T65">
        <v>65.13</v>
      </c>
      <c r="U65" t="s">
        <v>873</v>
      </c>
      <c r="V65" t="s">
        <v>874</v>
      </c>
      <c r="W65" t="s">
        <v>875</v>
      </c>
      <c r="X65">
        <v>9.2899999999999991</v>
      </c>
      <c r="Y65" t="s">
        <v>876</v>
      </c>
      <c r="Z65" t="s">
        <v>877</v>
      </c>
      <c r="AA65" t="s">
        <v>878</v>
      </c>
      <c r="AB65">
        <v>1.65</v>
      </c>
      <c r="AC65" t="s">
        <v>879</v>
      </c>
      <c r="AD65">
        <v>75.400000000000006</v>
      </c>
      <c r="AE65" t="s">
        <v>608</v>
      </c>
      <c r="AF65">
        <v>0.24</v>
      </c>
      <c r="AG65">
        <v>0</v>
      </c>
      <c r="AH65">
        <v>0</v>
      </c>
      <c r="AI65" s="4">
        <v>34066</v>
      </c>
    </row>
    <row r="66" spans="1:35">
      <c r="A66">
        <v>65</v>
      </c>
      <c r="B66" t="str">
        <f>"603369"</f>
        <v>603369</v>
      </c>
      <c r="C66" t="s">
        <v>880</v>
      </c>
      <c r="D66" s="4">
        <v>43190</v>
      </c>
      <c r="E66" t="s">
        <v>300</v>
      </c>
      <c r="F66" t="s">
        <v>300</v>
      </c>
      <c r="G66" s="2" t="s">
        <v>881</v>
      </c>
      <c r="H66">
        <v>0.41</v>
      </c>
      <c r="I66">
        <v>4.3499999999999996</v>
      </c>
      <c r="J66">
        <v>9.23</v>
      </c>
      <c r="K66" t="s">
        <v>759</v>
      </c>
      <c r="L66">
        <v>31.1</v>
      </c>
      <c r="M66" t="s">
        <v>189</v>
      </c>
      <c r="N66" t="s">
        <v>882</v>
      </c>
      <c r="O66" t="s">
        <v>883</v>
      </c>
      <c r="P66" t="s">
        <v>44</v>
      </c>
      <c r="Q66">
        <v>31.79</v>
      </c>
      <c r="R66" t="s">
        <v>884</v>
      </c>
      <c r="S66">
        <v>2.4500000000000002</v>
      </c>
      <c r="T66">
        <v>74.349999999999994</v>
      </c>
      <c r="U66" t="s">
        <v>885</v>
      </c>
      <c r="V66" t="s">
        <v>886</v>
      </c>
      <c r="W66" t="s">
        <v>650</v>
      </c>
      <c r="X66">
        <v>9.23</v>
      </c>
      <c r="Y66" t="s">
        <v>161</v>
      </c>
      <c r="Z66" t="s">
        <v>173</v>
      </c>
      <c r="AA66" t="s">
        <v>887</v>
      </c>
      <c r="AB66">
        <v>4.8099999999999996</v>
      </c>
      <c r="AC66" t="s">
        <v>888</v>
      </c>
      <c r="AD66">
        <v>79.8</v>
      </c>
      <c r="AE66" t="s">
        <v>889</v>
      </c>
      <c r="AF66">
        <v>0.56999999999999995</v>
      </c>
      <c r="AG66">
        <v>0</v>
      </c>
      <c r="AH66">
        <v>0</v>
      </c>
      <c r="AI66" s="4">
        <v>41823</v>
      </c>
    </row>
    <row r="67" spans="1:35">
      <c r="A67">
        <v>66</v>
      </c>
      <c r="B67" t="str">
        <f>"000537"</f>
        <v>000537</v>
      </c>
      <c r="C67" t="s">
        <v>890</v>
      </c>
      <c r="D67" s="4">
        <v>43190</v>
      </c>
      <c r="E67" t="s">
        <v>891</v>
      </c>
      <c r="F67" t="s">
        <v>365</v>
      </c>
      <c r="G67" s="2" t="s">
        <v>892</v>
      </c>
      <c r="H67">
        <v>0.5</v>
      </c>
      <c r="I67">
        <v>5.56</v>
      </c>
      <c r="J67">
        <v>9.2200000000000006</v>
      </c>
      <c r="K67" t="s">
        <v>893</v>
      </c>
      <c r="L67">
        <v>135.4</v>
      </c>
      <c r="M67" t="s">
        <v>894</v>
      </c>
      <c r="N67">
        <v>0</v>
      </c>
      <c r="O67" t="s">
        <v>895</v>
      </c>
      <c r="P67" t="s">
        <v>361</v>
      </c>
      <c r="Q67">
        <v>589.83000000000004</v>
      </c>
      <c r="R67" t="s">
        <v>581</v>
      </c>
      <c r="S67">
        <v>2.99</v>
      </c>
      <c r="T67">
        <v>35.04</v>
      </c>
      <c r="U67" t="s">
        <v>896</v>
      </c>
      <c r="V67" t="s">
        <v>433</v>
      </c>
      <c r="W67" t="s">
        <v>275</v>
      </c>
      <c r="X67">
        <v>9.2200000000000006</v>
      </c>
      <c r="Y67" t="s">
        <v>897</v>
      </c>
      <c r="Z67" t="s">
        <v>898</v>
      </c>
      <c r="AA67" t="s">
        <v>899</v>
      </c>
      <c r="AB67">
        <v>1.95</v>
      </c>
      <c r="AC67" t="s">
        <v>900</v>
      </c>
      <c r="AD67">
        <v>14.45</v>
      </c>
      <c r="AE67" t="s">
        <v>356</v>
      </c>
      <c r="AF67">
        <v>1.52</v>
      </c>
      <c r="AG67">
        <v>0</v>
      </c>
      <c r="AH67">
        <v>0</v>
      </c>
      <c r="AI67" s="4">
        <v>34313</v>
      </c>
    </row>
    <row r="68" spans="1:35">
      <c r="A68">
        <v>67</v>
      </c>
      <c r="B68" t="str">
        <f>"603103"</f>
        <v>603103</v>
      </c>
      <c r="C68" t="s">
        <v>901</v>
      </c>
      <c r="D68" s="4">
        <v>43190</v>
      </c>
      <c r="E68" t="s">
        <v>645</v>
      </c>
      <c r="F68" t="s">
        <v>902</v>
      </c>
      <c r="G68" s="2">
        <v>2010</v>
      </c>
      <c r="H68">
        <v>0.42</v>
      </c>
      <c r="I68">
        <v>4.54</v>
      </c>
      <c r="J68">
        <v>9.1199999999999992</v>
      </c>
      <c r="K68" t="s">
        <v>903</v>
      </c>
      <c r="L68">
        <v>39.909999999999997</v>
      </c>
      <c r="M68" t="s">
        <v>474</v>
      </c>
      <c r="N68" t="s">
        <v>904</v>
      </c>
      <c r="O68" t="s">
        <v>203</v>
      </c>
      <c r="P68" t="s">
        <v>905</v>
      </c>
      <c r="Q68">
        <v>63.75</v>
      </c>
      <c r="R68" t="s">
        <v>906</v>
      </c>
      <c r="S68">
        <v>1.68</v>
      </c>
      <c r="T68">
        <v>33.01</v>
      </c>
      <c r="U68" t="s">
        <v>907</v>
      </c>
      <c r="V68" t="s">
        <v>908</v>
      </c>
      <c r="W68" t="s">
        <v>909</v>
      </c>
      <c r="X68">
        <v>9.1199999999999992</v>
      </c>
      <c r="Y68" t="s">
        <v>910</v>
      </c>
      <c r="Z68" t="s">
        <v>911</v>
      </c>
      <c r="AA68" t="s">
        <v>912</v>
      </c>
      <c r="AB68">
        <v>6.8</v>
      </c>
      <c r="AC68" t="s">
        <v>114</v>
      </c>
      <c r="AD68">
        <v>68.38</v>
      </c>
      <c r="AE68" t="s">
        <v>496</v>
      </c>
      <c r="AF68">
        <v>1.67</v>
      </c>
      <c r="AG68">
        <v>0</v>
      </c>
      <c r="AH68">
        <v>0</v>
      </c>
      <c r="AI68" s="4">
        <v>43020</v>
      </c>
    </row>
    <row r="69" spans="1:35">
      <c r="A69">
        <v>68</v>
      </c>
      <c r="B69" t="str">
        <f>"300401"</f>
        <v>300401</v>
      </c>
      <c r="C69" t="s">
        <v>913</v>
      </c>
      <c r="D69" s="4">
        <v>43190</v>
      </c>
      <c r="E69" t="s">
        <v>362</v>
      </c>
      <c r="F69" t="s">
        <v>914</v>
      </c>
      <c r="G69" s="2" t="s">
        <v>915</v>
      </c>
      <c r="H69">
        <v>0.25</v>
      </c>
      <c r="I69">
        <v>2.87</v>
      </c>
      <c r="J69">
        <v>9.08</v>
      </c>
      <c r="K69" t="s">
        <v>916</v>
      </c>
      <c r="L69">
        <v>171.66</v>
      </c>
      <c r="M69" t="s">
        <v>84</v>
      </c>
      <c r="N69" t="s">
        <v>917</v>
      </c>
      <c r="O69" t="s">
        <v>326</v>
      </c>
      <c r="P69" t="s">
        <v>209</v>
      </c>
      <c r="Q69">
        <v>493.55</v>
      </c>
      <c r="R69" t="s">
        <v>918</v>
      </c>
      <c r="S69">
        <v>1.42</v>
      </c>
      <c r="T69">
        <v>68.540000000000006</v>
      </c>
      <c r="U69" t="s">
        <v>747</v>
      </c>
      <c r="V69" t="s">
        <v>919</v>
      </c>
      <c r="W69" t="s">
        <v>750</v>
      </c>
      <c r="X69">
        <v>9.08</v>
      </c>
      <c r="Y69" t="s">
        <v>93</v>
      </c>
      <c r="Z69" t="s">
        <v>920</v>
      </c>
      <c r="AA69" t="s">
        <v>921</v>
      </c>
      <c r="AB69">
        <v>6.97</v>
      </c>
      <c r="AC69" t="s">
        <v>538</v>
      </c>
      <c r="AD69">
        <v>90.59</v>
      </c>
      <c r="AE69" t="s">
        <v>922</v>
      </c>
      <c r="AF69">
        <v>0.33</v>
      </c>
      <c r="AG69">
        <v>0</v>
      </c>
      <c r="AH69">
        <v>0</v>
      </c>
      <c r="AI69" s="4">
        <v>41921</v>
      </c>
    </row>
    <row r="70" spans="1:35">
      <c r="A70">
        <v>69</v>
      </c>
      <c r="B70" t="str">
        <f>"000040"</f>
        <v>000040</v>
      </c>
      <c r="C70" t="s">
        <v>923</v>
      </c>
      <c r="D70" s="4">
        <v>43190</v>
      </c>
      <c r="E70" t="s">
        <v>924</v>
      </c>
      <c r="F70" t="s">
        <v>521</v>
      </c>
      <c r="G70" s="2" t="s">
        <v>925</v>
      </c>
      <c r="H70">
        <v>0.81</v>
      </c>
      <c r="I70">
        <v>9.36</v>
      </c>
      <c r="J70">
        <v>9.01</v>
      </c>
      <c r="K70" t="s">
        <v>295</v>
      </c>
      <c r="L70">
        <v>26.62</v>
      </c>
      <c r="M70" t="s">
        <v>926</v>
      </c>
      <c r="N70" t="s">
        <v>264</v>
      </c>
      <c r="O70" t="s">
        <v>926</v>
      </c>
      <c r="P70" t="s">
        <v>699</v>
      </c>
      <c r="Q70">
        <v>2909.08</v>
      </c>
      <c r="R70" t="s">
        <v>114</v>
      </c>
      <c r="S70">
        <v>1.58</v>
      </c>
      <c r="T70">
        <v>21.42</v>
      </c>
      <c r="U70" t="s">
        <v>927</v>
      </c>
      <c r="V70" t="s">
        <v>928</v>
      </c>
      <c r="W70" t="s">
        <v>461</v>
      </c>
      <c r="X70">
        <v>9.01</v>
      </c>
      <c r="Y70" t="s">
        <v>929</v>
      </c>
      <c r="Z70" t="s">
        <v>930</v>
      </c>
      <c r="AA70" t="s">
        <v>931</v>
      </c>
      <c r="AB70">
        <v>1.1100000000000001</v>
      </c>
      <c r="AC70" t="s">
        <v>932</v>
      </c>
      <c r="AD70">
        <v>46.59</v>
      </c>
      <c r="AE70" t="s">
        <v>933</v>
      </c>
      <c r="AF70">
        <v>6.64</v>
      </c>
      <c r="AG70">
        <v>0</v>
      </c>
      <c r="AH70">
        <v>0</v>
      </c>
      <c r="AI70" s="4">
        <v>34554</v>
      </c>
    </row>
    <row r="71" spans="1:35">
      <c r="A71">
        <v>70</v>
      </c>
      <c r="B71" t="str">
        <f>"300467"</f>
        <v>300467</v>
      </c>
      <c r="C71" t="s">
        <v>934</v>
      </c>
      <c r="D71" s="4">
        <v>43190</v>
      </c>
      <c r="E71" t="s">
        <v>935</v>
      </c>
      <c r="F71" t="s">
        <v>282</v>
      </c>
      <c r="G71" s="2">
        <v>8269</v>
      </c>
      <c r="H71">
        <v>0.23</v>
      </c>
      <c r="I71">
        <v>13.58</v>
      </c>
      <c r="J71">
        <v>8.93</v>
      </c>
      <c r="K71" t="s">
        <v>284</v>
      </c>
      <c r="L71">
        <v>319.18</v>
      </c>
      <c r="M71" t="s">
        <v>936</v>
      </c>
      <c r="N71" t="s">
        <v>937</v>
      </c>
      <c r="O71" t="s">
        <v>938</v>
      </c>
      <c r="P71" t="s">
        <v>939</v>
      </c>
      <c r="Q71">
        <v>232.13</v>
      </c>
      <c r="R71" t="s">
        <v>618</v>
      </c>
      <c r="S71">
        <v>0.88</v>
      </c>
      <c r="T71">
        <v>84.75</v>
      </c>
      <c r="U71" t="s">
        <v>940</v>
      </c>
      <c r="V71" t="s">
        <v>941</v>
      </c>
      <c r="W71" t="s">
        <v>942</v>
      </c>
      <c r="X71">
        <v>8.93</v>
      </c>
      <c r="Y71" t="s">
        <v>943</v>
      </c>
      <c r="Z71" t="s">
        <v>944</v>
      </c>
      <c r="AA71" t="s">
        <v>945</v>
      </c>
      <c r="AB71">
        <v>2.2599999999999998</v>
      </c>
      <c r="AC71" t="s">
        <v>946</v>
      </c>
      <c r="AD71">
        <v>85.47</v>
      </c>
      <c r="AE71" t="s">
        <v>725</v>
      </c>
      <c r="AF71">
        <v>12.08</v>
      </c>
      <c r="AG71">
        <v>0</v>
      </c>
      <c r="AH71">
        <v>0</v>
      </c>
      <c r="AI71" s="4">
        <v>42151</v>
      </c>
    </row>
    <row r="72" spans="1:35">
      <c r="A72">
        <v>71</v>
      </c>
      <c r="B72" t="str">
        <f>"000858"</f>
        <v>000858</v>
      </c>
      <c r="C72" t="s">
        <v>947</v>
      </c>
      <c r="D72" s="4">
        <v>43190</v>
      </c>
      <c r="E72" t="s">
        <v>948</v>
      </c>
      <c r="F72" t="s">
        <v>949</v>
      </c>
      <c r="G72" s="2" t="s">
        <v>950</v>
      </c>
      <c r="H72">
        <v>1.28</v>
      </c>
      <c r="I72">
        <v>15.49</v>
      </c>
      <c r="J72">
        <v>8.91</v>
      </c>
      <c r="K72" t="s">
        <v>229</v>
      </c>
      <c r="L72">
        <v>36.799999999999997</v>
      </c>
      <c r="M72" t="s">
        <v>951</v>
      </c>
      <c r="N72">
        <v>0</v>
      </c>
      <c r="O72" t="s">
        <v>930</v>
      </c>
      <c r="P72" t="s">
        <v>952</v>
      </c>
      <c r="Q72">
        <v>38.35</v>
      </c>
      <c r="R72" t="s">
        <v>953</v>
      </c>
      <c r="S72">
        <v>10.99</v>
      </c>
      <c r="T72">
        <v>73.19</v>
      </c>
      <c r="U72" t="s">
        <v>954</v>
      </c>
      <c r="V72" t="s">
        <v>955</v>
      </c>
      <c r="W72" t="s">
        <v>956</v>
      </c>
      <c r="X72">
        <v>8.91</v>
      </c>
      <c r="Y72" t="s">
        <v>957</v>
      </c>
      <c r="Z72" t="s">
        <v>462</v>
      </c>
      <c r="AA72" t="s">
        <v>958</v>
      </c>
      <c r="AB72">
        <v>5.16</v>
      </c>
      <c r="AC72" t="s">
        <v>959</v>
      </c>
      <c r="AD72">
        <v>73.2</v>
      </c>
      <c r="AE72" t="s">
        <v>960</v>
      </c>
      <c r="AF72">
        <v>0.69</v>
      </c>
      <c r="AG72">
        <v>0</v>
      </c>
      <c r="AH72">
        <v>0</v>
      </c>
      <c r="AI72" s="4">
        <v>35912</v>
      </c>
    </row>
    <row r="73" spans="1:35">
      <c r="A73">
        <v>72</v>
      </c>
      <c r="B73" t="str">
        <f>"600519"</f>
        <v>600519</v>
      </c>
      <c r="C73" t="s">
        <v>961</v>
      </c>
      <c r="D73" s="4">
        <v>43190</v>
      </c>
      <c r="E73" t="s">
        <v>164</v>
      </c>
      <c r="F73" t="s">
        <v>164</v>
      </c>
      <c r="G73" s="2" t="s">
        <v>915</v>
      </c>
      <c r="H73">
        <v>6.77</v>
      </c>
      <c r="I73">
        <v>68.569999999999993</v>
      </c>
      <c r="J73">
        <v>8.89</v>
      </c>
      <c r="K73" t="s">
        <v>962</v>
      </c>
      <c r="L73">
        <v>32.21</v>
      </c>
      <c r="M73" t="s">
        <v>580</v>
      </c>
      <c r="N73">
        <v>0</v>
      </c>
      <c r="O73" t="s">
        <v>580</v>
      </c>
      <c r="P73" t="s">
        <v>963</v>
      </c>
      <c r="Q73">
        <v>38.93</v>
      </c>
      <c r="R73" t="s">
        <v>964</v>
      </c>
      <c r="S73">
        <v>59.47</v>
      </c>
      <c r="T73">
        <v>91.31</v>
      </c>
      <c r="U73" t="s">
        <v>965</v>
      </c>
      <c r="V73" t="s">
        <v>966</v>
      </c>
      <c r="W73" t="s">
        <v>839</v>
      </c>
      <c r="X73">
        <v>8.89</v>
      </c>
      <c r="Y73" t="s">
        <v>967</v>
      </c>
      <c r="Z73" t="s">
        <v>968</v>
      </c>
      <c r="AA73" t="s">
        <v>969</v>
      </c>
      <c r="AB73">
        <v>10.76</v>
      </c>
      <c r="AC73" t="s">
        <v>970</v>
      </c>
      <c r="AD73">
        <v>74.37</v>
      </c>
      <c r="AE73" t="s">
        <v>971</v>
      </c>
      <c r="AF73">
        <v>1.0900000000000001</v>
      </c>
      <c r="AG73">
        <v>0</v>
      </c>
      <c r="AH73">
        <v>0</v>
      </c>
      <c r="AI73" s="4">
        <v>37130</v>
      </c>
    </row>
    <row r="74" spans="1:35">
      <c r="A74">
        <v>73</v>
      </c>
      <c r="B74" t="str">
        <f>"000735"</f>
        <v>000735</v>
      </c>
      <c r="C74" t="s">
        <v>972</v>
      </c>
      <c r="D74" s="4">
        <v>43190</v>
      </c>
      <c r="E74" t="s">
        <v>973</v>
      </c>
      <c r="F74" t="s">
        <v>521</v>
      </c>
      <c r="G74" t="s">
        <v>974</v>
      </c>
      <c r="H74">
        <v>0.28999999999999998</v>
      </c>
      <c r="I74">
        <v>3.36</v>
      </c>
      <c r="J74">
        <v>8.89</v>
      </c>
      <c r="K74" t="s">
        <v>975</v>
      </c>
      <c r="L74">
        <v>-62.61</v>
      </c>
      <c r="M74" t="s">
        <v>976</v>
      </c>
      <c r="N74" t="s">
        <v>204</v>
      </c>
      <c r="O74" t="s">
        <v>976</v>
      </c>
      <c r="P74" t="s">
        <v>977</v>
      </c>
      <c r="Q74">
        <v>284.81</v>
      </c>
      <c r="R74" t="s">
        <v>978</v>
      </c>
      <c r="S74">
        <v>0.89</v>
      </c>
      <c r="T74">
        <v>16.97</v>
      </c>
      <c r="U74" t="s">
        <v>979</v>
      </c>
      <c r="V74" t="s">
        <v>980</v>
      </c>
      <c r="W74" t="s">
        <v>275</v>
      </c>
      <c r="X74">
        <v>8.89</v>
      </c>
      <c r="Y74" t="s">
        <v>981</v>
      </c>
      <c r="Z74" t="s">
        <v>926</v>
      </c>
      <c r="AA74" t="s">
        <v>982</v>
      </c>
      <c r="AB74">
        <v>4.54</v>
      </c>
      <c r="AC74" t="s">
        <v>113</v>
      </c>
      <c r="AD74">
        <v>59.62</v>
      </c>
      <c r="AE74" t="s">
        <v>983</v>
      </c>
      <c r="AF74">
        <v>1.38</v>
      </c>
      <c r="AG74">
        <v>0</v>
      </c>
      <c r="AH74">
        <v>0</v>
      </c>
      <c r="AI74" s="4">
        <v>35592</v>
      </c>
    </row>
    <row r="75" spans="1:35">
      <c r="A75">
        <v>74</v>
      </c>
      <c r="B75" t="str">
        <f>"600083"</f>
        <v>600083</v>
      </c>
      <c r="C75" t="s">
        <v>984</v>
      </c>
      <c r="D75" s="4">
        <v>43190</v>
      </c>
      <c r="E75" t="s">
        <v>985</v>
      </c>
      <c r="F75" t="s">
        <v>986</v>
      </c>
      <c r="G75" t="s">
        <v>987</v>
      </c>
      <c r="H75">
        <v>0.03</v>
      </c>
      <c r="I75">
        <v>0.31</v>
      </c>
      <c r="J75">
        <v>8.83</v>
      </c>
      <c r="K75" t="s">
        <v>988</v>
      </c>
      <c r="L75">
        <v>3111.43</v>
      </c>
      <c r="M75" t="s">
        <v>989</v>
      </c>
      <c r="N75">
        <v>0</v>
      </c>
      <c r="O75" t="s">
        <v>989</v>
      </c>
      <c r="P75" t="s">
        <v>990</v>
      </c>
      <c r="Q75">
        <v>1188.46</v>
      </c>
      <c r="R75" t="s">
        <v>991</v>
      </c>
      <c r="S75">
        <v>-1.1399999999999999</v>
      </c>
      <c r="T75">
        <v>2.54</v>
      </c>
      <c r="U75" t="s">
        <v>618</v>
      </c>
      <c r="V75" t="s">
        <v>844</v>
      </c>
      <c r="W75" t="s">
        <v>992</v>
      </c>
      <c r="X75">
        <v>8.83</v>
      </c>
      <c r="Y75" t="s">
        <v>993</v>
      </c>
      <c r="Z75" t="s">
        <v>372</v>
      </c>
      <c r="AA75" t="s">
        <v>994</v>
      </c>
      <c r="AB75">
        <v>61.88</v>
      </c>
      <c r="AC75" t="s">
        <v>995</v>
      </c>
      <c r="AD75">
        <v>33.94</v>
      </c>
      <c r="AE75" t="s">
        <v>996</v>
      </c>
      <c r="AF75">
        <v>0.42</v>
      </c>
      <c r="AG75">
        <v>0</v>
      </c>
      <c r="AH75">
        <v>0</v>
      </c>
      <c r="AI75" s="4">
        <v>35587</v>
      </c>
    </row>
    <row r="76" spans="1:35">
      <c r="A76">
        <v>75</v>
      </c>
      <c r="B76" t="str">
        <f>"300444"</f>
        <v>300444</v>
      </c>
      <c r="C76" t="s">
        <v>997</v>
      </c>
      <c r="D76" s="4">
        <v>43190</v>
      </c>
      <c r="E76" t="s">
        <v>89</v>
      </c>
      <c r="F76" t="s">
        <v>64</v>
      </c>
      <c r="G76" s="2">
        <v>7365</v>
      </c>
      <c r="H76">
        <v>0.36</v>
      </c>
      <c r="I76">
        <v>4.25</v>
      </c>
      <c r="J76">
        <v>8.75</v>
      </c>
      <c r="K76" t="s">
        <v>998</v>
      </c>
      <c r="L76">
        <v>117.29</v>
      </c>
      <c r="M76" t="s">
        <v>443</v>
      </c>
      <c r="N76" t="s">
        <v>804</v>
      </c>
      <c r="O76" t="s">
        <v>443</v>
      </c>
      <c r="P76" t="s">
        <v>282</v>
      </c>
      <c r="Q76">
        <v>776.47</v>
      </c>
      <c r="R76" t="s">
        <v>999</v>
      </c>
      <c r="S76">
        <v>1.54</v>
      </c>
      <c r="T76">
        <v>28.52</v>
      </c>
      <c r="U76" t="s">
        <v>884</v>
      </c>
      <c r="V76" t="s">
        <v>1000</v>
      </c>
      <c r="W76" t="s">
        <v>269</v>
      </c>
      <c r="X76">
        <v>8.75</v>
      </c>
      <c r="Y76" t="s">
        <v>304</v>
      </c>
      <c r="Z76" t="s">
        <v>971</v>
      </c>
      <c r="AA76" t="s">
        <v>1001</v>
      </c>
      <c r="AB76">
        <v>3.07</v>
      </c>
      <c r="AC76" t="s">
        <v>176</v>
      </c>
      <c r="AD76">
        <v>40.770000000000003</v>
      </c>
      <c r="AE76" t="s">
        <v>1002</v>
      </c>
      <c r="AF76">
        <v>1.72</v>
      </c>
      <c r="AG76">
        <v>0</v>
      </c>
      <c r="AH76">
        <v>0</v>
      </c>
      <c r="AI76" s="4">
        <v>42117</v>
      </c>
    </row>
    <row r="77" spans="1:35">
      <c r="A77">
        <v>76</v>
      </c>
      <c r="B77" t="str">
        <f>"300174"</f>
        <v>300174</v>
      </c>
      <c r="C77" t="s">
        <v>1003</v>
      </c>
      <c r="D77" s="4">
        <v>43190</v>
      </c>
      <c r="E77" t="s">
        <v>203</v>
      </c>
      <c r="F77" t="s">
        <v>1004</v>
      </c>
      <c r="G77" s="2" t="s">
        <v>1005</v>
      </c>
      <c r="H77">
        <v>0.21</v>
      </c>
      <c r="I77">
        <v>2.5</v>
      </c>
      <c r="J77">
        <v>8.66</v>
      </c>
      <c r="K77" t="s">
        <v>1006</v>
      </c>
      <c r="L77">
        <v>154.97</v>
      </c>
      <c r="M77" t="s">
        <v>1007</v>
      </c>
      <c r="N77" t="s">
        <v>1008</v>
      </c>
      <c r="O77" t="s">
        <v>1009</v>
      </c>
      <c r="P77" t="s">
        <v>1010</v>
      </c>
      <c r="Q77">
        <v>304.36</v>
      </c>
      <c r="R77" t="s">
        <v>1011</v>
      </c>
      <c r="S77">
        <v>0.81</v>
      </c>
      <c r="T77">
        <v>25.62</v>
      </c>
      <c r="U77" t="s">
        <v>833</v>
      </c>
      <c r="V77" t="s">
        <v>1012</v>
      </c>
      <c r="W77" t="s">
        <v>89</v>
      </c>
      <c r="X77">
        <v>8.66</v>
      </c>
      <c r="Y77" t="s">
        <v>1013</v>
      </c>
      <c r="Z77" t="s">
        <v>776</v>
      </c>
      <c r="AA77" t="s">
        <v>1014</v>
      </c>
      <c r="AB77">
        <v>8.81</v>
      </c>
      <c r="AC77" t="s">
        <v>1015</v>
      </c>
      <c r="AD77">
        <v>40.6</v>
      </c>
      <c r="AE77" t="s">
        <v>1016</v>
      </c>
      <c r="AF77">
        <v>0.59</v>
      </c>
      <c r="AG77">
        <v>0</v>
      </c>
      <c r="AH77">
        <v>0</v>
      </c>
      <c r="AI77" s="4">
        <v>40575</v>
      </c>
    </row>
    <row r="78" spans="1:35">
      <c r="A78">
        <v>77</v>
      </c>
      <c r="B78" t="str">
        <f>"000596"</f>
        <v>000596</v>
      </c>
      <c r="C78" t="s">
        <v>1017</v>
      </c>
      <c r="D78" s="4">
        <v>43190</v>
      </c>
      <c r="E78" t="s">
        <v>1018</v>
      </c>
      <c r="F78" t="s">
        <v>165</v>
      </c>
      <c r="G78" s="2">
        <v>0</v>
      </c>
      <c r="H78">
        <v>1.1499999999999999</v>
      </c>
      <c r="I78">
        <v>12.94</v>
      </c>
      <c r="J78">
        <v>8.61</v>
      </c>
      <c r="K78" t="s">
        <v>402</v>
      </c>
      <c r="L78">
        <v>17.8</v>
      </c>
      <c r="M78" t="s">
        <v>1019</v>
      </c>
      <c r="N78" t="s">
        <v>1020</v>
      </c>
      <c r="O78" t="s">
        <v>1021</v>
      </c>
      <c r="P78" t="s">
        <v>108</v>
      </c>
      <c r="Q78">
        <v>42.5</v>
      </c>
      <c r="R78" t="s">
        <v>1022</v>
      </c>
      <c r="S78">
        <v>8.7899999999999991</v>
      </c>
      <c r="T78">
        <v>79.73</v>
      </c>
      <c r="U78" t="s">
        <v>689</v>
      </c>
      <c r="V78" t="s">
        <v>1023</v>
      </c>
      <c r="W78" t="s">
        <v>775</v>
      </c>
      <c r="X78">
        <v>8.61</v>
      </c>
      <c r="Y78" t="s">
        <v>763</v>
      </c>
      <c r="Z78" t="s">
        <v>230</v>
      </c>
      <c r="AA78" t="s">
        <v>610</v>
      </c>
      <c r="AB78">
        <v>6.44</v>
      </c>
      <c r="AC78" t="s">
        <v>1024</v>
      </c>
      <c r="AD78">
        <v>61.05</v>
      </c>
      <c r="AE78" t="s">
        <v>1025</v>
      </c>
      <c r="AF78">
        <v>2.57</v>
      </c>
      <c r="AG78" t="s">
        <v>280</v>
      </c>
      <c r="AH78">
        <v>0</v>
      </c>
      <c r="AI78" s="4">
        <v>35335</v>
      </c>
    </row>
    <row r="79" spans="1:35">
      <c r="A79">
        <v>78</v>
      </c>
      <c r="B79" t="str">
        <f>"002460"</f>
        <v>002460</v>
      </c>
      <c r="C79" t="s">
        <v>1026</v>
      </c>
      <c r="D79" s="4">
        <v>43190</v>
      </c>
      <c r="E79" t="s">
        <v>323</v>
      </c>
      <c r="F79" t="s">
        <v>1021</v>
      </c>
      <c r="G79" s="2">
        <v>4834</v>
      </c>
      <c r="H79">
        <v>0.32</v>
      </c>
      <c r="I79">
        <v>3.49</v>
      </c>
      <c r="J79">
        <v>8.6</v>
      </c>
      <c r="K79" t="s">
        <v>407</v>
      </c>
      <c r="L79">
        <v>67.97</v>
      </c>
      <c r="M79" t="s">
        <v>662</v>
      </c>
      <c r="N79" t="s">
        <v>1027</v>
      </c>
      <c r="O79" t="s">
        <v>662</v>
      </c>
      <c r="P79" t="s">
        <v>1028</v>
      </c>
      <c r="Q79">
        <v>162.6</v>
      </c>
      <c r="R79" t="s">
        <v>1029</v>
      </c>
      <c r="S79">
        <v>1.8</v>
      </c>
      <c r="T79">
        <v>46.08</v>
      </c>
      <c r="U79" t="s">
        <v>1030</v>
      </c>
      <c r="V79" t="s">
        <v>551</v>
      </c>
      <c r="W79" t="s">
        <v>539</v>
      </c>
      <c r="X79">
        <v>8.6</v>
      </c>
      <c r="Y79" t="s">
        <v>1031</v>
      </c>
      <c r="Z79" t="s">
        <v>356</v>
      </c>
      <c r="AA79" t="s">
        <v>613</v>
      </c>
      <c r="AB79">
        <v>10.19</v>
      </c>
      <c r="AC79" t="s">
        <v>1032</v>
      </c>
      <c r="AD79">
        <v>51.84</v>
      </c>
      <c r="AE79" t="s">
        <v>1033</v>
      </c>
      <c r="AF79">
        <v>0.82</v>
      </c>
      <c r="AG79">
        <v>0</v>
      </c>
      <c r="AH79">
        <v>0</v>
      </c>
      <c r="AI79" s="4">
        <v>40400</v>
      </c>
    </row>
    <row r="80" spans="1:35">
      <c r="A80">
        <v>79</v>
      </c>
      <c r="B80" t="str">
        <f>"300121"</f>
        <v>300121</v>
      </c>
      <c r="C80" t="s">
        <v>1034</v>
      </c>
      <c r="D80" s="4">
        <v>43190</v>
      </c>
      <c r="E80" t="s">
        <v>138</v>
      </c>
      <c r="F80" t="s">
        <v>1035</v>
      </c>
      <c r="G80" s="2" t="s">
        <v>1036</v>
      </c>
      <c r="H80">
        <v>0.27</v>
      </c>
      <c r="I80">
        <v>3.81</v>
      </c>
      <c r="J80">
        <v>8.4700000000000006</v>
      </c>
      <c r="K80" t="s">
        <v>1037</v>
      </c>
      <c r="L80">
        <v>46.95</v>
      </c>
      <c r="M80" t="s">
        <v>86</v>
      </c>
      <c r="N80">
        <v>0</v>
      </c>
      <c r="O80" t="s">
        <v>1038</v>
      </c>
      <c r="P80" t="s">
        <v>533</v>
      </c>
      <c r="Q80">
        <v>197.05</v>
      </c>
      <c r="R80" t="s">
        <v>1012</v>
      </c>
      <c r="S80">
        <v>1.05</v>
      </c>
      <c r="T80">
        <v>36.299999999999997</v>
      </c>
      <c r="U80" t="s">
        <v>1039</v>
      </c>
      <c r="V80" t="s">
        <v>115</v>
      </c>
      <c r="W80" t="s">
        <v>1040</v>
      </c>
      <c r="X80">
        <v>8.4700000000000006</v>
      </c>
      <c r="Y80" t="s">
        <v>1041</v>
      </c>
      <c r="Z80" t="s">
        <v>1042</v>
      </c>
      <c r="AA80" t="s">
        <v>1043</v>
      </c>
      <c r="AB80">
        <v>3.41</v>
      </c>
      <c r="AC80" t="s">
        <v>833</v>
      </c>
      <c r="AD80">
        <v>66.17</v>
      </c>
      <c r="AE80" t="s">
        <v>1044</v>
      </c>
      <c r="AF80">
        <v>1.73</v>
      </c>
      <c r="AG80">
        <v>0</v>
      </c>
      <c r="AH80">
        <v>0</v>
      </c>
      <c r="AI80" s="4">
        <v>40438</v>
      </c>
    </row>
    <row r="81" spans="1:35">
      <c r="A81">
        <v>80</v>
      </c>
      <c r="B81" t="str">
        <f>"300122"</f>
        <v>300122</v>
      </c>
      <c r="C81" t="s">
        <v>1045</v>
      </c>
      <c r="D81" s="4">
        <v>43190</v>
      </c>
      <c r="E81" t="s">
        <v>847</v>
      </c>
      <c r="F81" t="s">
        <v>125</v>
      </c>
      <c r="G81" t="s">
        <v>1046</v>
      </c>
      <c r="H81">
        <v>0.16</v>
      </c>
      <c r="I81">
        <v>1.87</v>
      </c>
      <c r="J81">
        <v>8.4600000000000009</v>
      </c>
      <c r="K81" t="s">
        <v>1047</v>
      </c>
      <c r="L81">
        <v>416.73</v>
      </c>
      <c r="M81" t="s">
        <v>1048</v>
      </c>
      <c r="N81">
        <v>0</v>
      </c>
      <c r="O81" t="s">
        <v>342</v>
      </c>
      <c r="P81" t="s">
        <v>1049</v>
      </c>
      <c r="Q81">
        <v>330.44</v>
      </c>
      <c r="R81" t="s">
        <v>101</v>
      </c>
      <c r="S81">
        <v>0.68</v>
      </c>
      <c r="T81">
        <v>54.96</v>
      </c>
      <c r="U81" t="s">
        <v>1050</v>
      </c>
      <c r="V81" t="s">
        <v>1051</v>
      </c>
      <c r="W81" t="s">
        <v>523</v>
      </c>
      <c r="X81">
        <v>8.4600000000000009</v>
      </c>
      <c r="Y81" t="s">
        <v>1052</v>
      </c>
      <c r="Z81" t="s">
        <v>747</v>
      </c>
      <c r="AA81" t="s">
        <v>1053</v>
      </c>
      <c r="AB81">
        <v>23.11</v>
      </c>
      <c r="AC81" t="s">
        <v>1054</v>
      </c>
      <c r="AD81">
        <v>65.95</v>
      </c>
      <c r="AE81" t="s">
        <v>415</v>
      </c>
      <c r="AF81">
        <v>0.13</v>
      </c>
      <c r="AG81">
        <v>0</v>
      </c>
      <c r="AH81">
        <v>0</v>
      </c>
      <c r="AI81" s="4">
        <v>40449</v>
      </c>
    </row>
    <row r="82" spans="1:35">
      <c r="A82">
        <v>81</v>
      </c>
      <c r="B82" t="str">
        <f>"603589"</f>
        <v>603589</v>
      </c>
      <c r="C82" t="s">
        <v>1055</v>
      </c>
      <c r="D82" s="4">
        <v>43190</v>
      </c>
      <c r="E82" t="s">
        <v>494</v>
      </c>
      <c r="F82" t="s">
        <v>205</v>
      </c>
      <c r="G82" s="2" t="s">
        <v>522</v>
      </c>
      <c r="H82">
        <v>0.75</v>
      </c>
      <c r="I82">
        <v>9.2200000000000006</v>
      </c>
      <c r="J82">
        <v>8.4499999999999993</v>
      </c>
      <c r="K82" t="s">
        <v>300</v>
      </c>
      <c r="L82">
        <v>21.02</v>
      </c>
      <c r="M82" t="s">
        <v>1056</v>
      </c>
      <c r="N82" t="s">
        <v>1057</v>
      </c>
      <c r="O82" t="s">
        <v>1058</v>
      </c>
      <c r="P82" t="s">
        <v>1059</v>
      </c>
      <c r="Q82">
        <v>37.200000000000003</v>
      </c>
      <c r="R82" t="s">
        <v>464</v>
      </c>
      <c r="S82">
        <v>5.99</v>
      </c>
      <c r="T82">
        <v>74.739999999999995</v>
      </c>
      <c r="U82" t="s">
        <v>1060</v>
      </c>
      <c r="V82" t="s">
        <v>1061</v>
      </c>
      <c r="W82" t="s">
        <v>835</v>
      </c>
      <c r="X82">
        <v>8.4499999999999993</v>
      </c>
      <c r="Y82" t="s">
        <v>115</v>
      </c>
      <c r="Z82" t="s">
        <v>1062</v>
      </c>
      <c r="AA82" t="s">
        <v>1063</v>
      </c>
      <c r="AB82">
        <v>6.5</v>
      </c>
      <c r="AC82" t="s">
        <v>1064</v>
      </c>
      <c r="AD82">
        <v>76.650000000000006</v>
      </c>
      <c r="AE82" t="s">
        <v>1065</v>
      </c>
      <c r="AF82">
        <v>1.63</v>
      </c>
      <c r="AG82">
        <v>0</v>
      </c>
      <c r="AH82">
        <v>0</v>
      </c>
      <c r="AI82" s="4">
        <v>42184</v>
      </c>
    </row>
    <row r="83" spans="1:35">
      <c r="A83">
        <v>82</v>
      </c>
      <c r="B83" t="str">
        <f>"000702"</f>
        <v>000702</v>
      </c>
      <c r="C83" t="s">
        <v>1066</v>
      </c>
      <c r="D83" s="4">
        <v>43190</v>
      </c>
      <c r="E83" t="s">
        <v>122</v>
      </c>
      <c r="F83" t="s">
        <v>122</v>
      </c>
      <c r="G83">
        <v>8270</v>
      </c>
      <c r="H83">
        <v>0.15</v>
      </c>
      <c r="I83">
        <v>1.91</v>
      </c>
      <c r="J83">
        <v>8.42</v>
      </c>
      <c r="K83" t="s">
        <v>1067</v>
      </c>
      <c r="L83">
        <v>13.02</v>
      </c>
      <c r="M83" t="s">
        <v>1068</v>
      </c>
      <c r="N83" t="s">
        <v>1069</v>
      </c>
      <c r="O83" t="s">
        <v>1070</v>
      </c>
      <c r="P83" t="s">
        <v>1071</v>
      </c>
      <c r="Q83">
        <v>859.62</v>
      </c>
      <c r="R83" t="s">
        <v>1072</v>
      </c>
      <c r="S83">
        <v>0.05</v>
      </c>
      <c r="T83">
        <v>7.81</v>
      </c>
      <c r="U83" t="s">
        <v>1073</v>
      </c>
      <c r="V83" t="s">
        <v>1074</v>
      </c>
      <c r="W83" t="s">
        <v>94</v>
      </c>
      <c r="X83">
        <v>8.42</v>
      </c>
      <c r="Y83" t="s">
        <v>454</v>
      </c>
      <c r="Z83" t="s">
        <v>148</v>
      </c>
      <c r="AA83" t="s">
        <v>1075</v>
      </c>
      <c r="AB83">
        <v>3.36</v>
      </c>
      <c r="AC83" t="s">
        <v>1076</v>
      </c>
      <c r="AD83">
        <v>70.3</v>
      </c>
      <c r="AE83" t="s">
        <v>1077</v>
      </c>
      <c r="AF83">
        <v>0.68</v>
      </c>
      <c r="AG83">
        <v>0</v>
      </c>
      <c r="AH83">
        <v>0</v>
      </c>
      <c r="AI83" s="4">
        <v>35507</v>
      </c>
    </row>
    <row r="84" spans="1:35">
      <c r="A84">
        <v>83</v>
      </c>
      <c r="B84" t="str">
        <f>"002110"</f>
        <v>002110</v>
      </c>
      <c r="C84" t="s">
        <v>1078</v>
      </c>
      <c r="D84" s="4">
        <v>43190</v>
      </c>
      <c r="E84" t="s">
        <v>971</v>
      </c>
      <c r="F84" t="s">
        <v>1079</v>
      </c>
      <c r="G84" s="2" t="s">
        <v>1080</v>
      </c>
      <c r="H84">
        <v>0.7</v>
      </c>
      <c r="I84">
        <v>7.22</v>
      </c>
      <c r="J84">
        <v>8.4</v>
      </c>
      <c r="K84" t="s">
        <v>1081</v>
      </c>
      <c r="L84">
        <v>27.14</v>
      </c>
      <c r="M84" t="s">
        <v>1082</v>
      </c>
      <c r="N84" t="s">
        <v>1083</v>
      </c>
      <c r="O84" t="s">
        <v>1082</v>
      </c>
      <c r="P84" t="s">
        <v>1084</v>
      </c>
      <c r="Q84">
        <v>136.91</v>
      </c>
      <c r="R84" t="s">
        <v>1085</v>
      </c>
      <c r="S84">
        <v>2.41</v>
      </c>
      <c r="T84">
        <v>22.82</v>
      </c>
      <c r="U84" t="s">
        <v>787</v>
      </c>
      <c r="V84" t="s">
        <v>1086</v>
      </c>
      <c r="W84" t="s">
        <v>1087</v>
      </c>
      <c r="X84">
        <v>8.4</v>
      </c>
      <c r="Y84" t="s">
        <v>765</v>
      </c>
      <c r="Z84" t="s">
        <v>1050</v>
      </c>
      <c r="AA84" t="s">
        <v>1088</v>
      </c>
      <c r="AB84">
        <v>2.2999999999999998</v>
      </c>
      <c r="AC84" t="s">
        <v>1089</v>
      </c>
      <c r="AD84">
        <v>68.89</v>
      </c>
      <c r="AE84" t="s">
        <v>1090</v>
      </c>
      <c r="AF84">
        <v>3.34</v>
      </c>
      <c r="AG84">
        <v>0</v>
      </c>
      <c r="AH84">
        <v>0</v>
      </c>
      <c r="AI84" s="4">
        <v>39108</v>
      </c>
    </row>
    <row r="85" spans="1:35">
      <c r="A85">
        <v>84</v>
      </c>
      <c r="B85" t="str">
        <f>"600282"</f>
        <v>600282</v>
      </c>
      <c r="C85" t="s">
        <v>1091</v>
      </c>
      <c r="D85" s="4">
        <v>43190</v>
      </c>
      <c r="E85" t="s">
        <v>738</v>
      </c>
      <c r="F85" t="s">
        <v>948</v>
      </c>
      <c r="G85" s="2" t="s">
        <v>1092</v>
      </c>
      <c r="H85">
        <v>0.23</v>
      </c>
      <c r="I85">
        <v>2.81</v>
      </c>
      <c r="J85">
        <v>8.33</v>
      </c>
      <c r="K85" t="s">
        <v>252</v>
      </c>
      <c r="L85">
        <v>21.9</v>
      </c>
      <c r="M85" t="s">
        <v>162</v>
      </c>
      <c r="N85" t="s">
        <v>1093</v>
      </c>
      <c r="O85" t="s">
        <v>162</v>
      </c>
      <c r="P85" t="s">
        <v>1094</v>
      </c>
      <c r="Q85">
        <v>83.62</v>
      </c>
      <c r="R85" t="s">
        <v>1095</v>
      </c>
      <c r="S85">
        <v>1.22</v>
      </c>
      <c r="T85">
        <v>19.829999999999998</v>
      </c>
      <c r="U85" t="s">
        <v>1096</v>
      </c>
      <c r="V85" t="s">
        <v>1097</v>
      </c>
      <c r="W85" t="s">
        <v>1098</v>
      </c>
      <c r="X85">
        <v>8.33</v>
      </c>
      <c r="Y85" t="s">
        <v>1099</v>
      </c>
      <c r="Z85" t="s">
        <v>1100</v>
      </c>
      <c r="AA85" t="s">
        <v>699</v>
      </c>
      <c r="AB85">
        <v>1.6</v>
      </c>
      <c r="AC85" t="s">
        <v>932</v>
      </c>
      <c r="AD85">
        <v>31.14</v>
      </c>
      <c r="AE85" t="s">
        <v>1101</v>
      </c>
      <c r="AF85">
        <v>0.42</v>
      </c>
      <c r="AG85">
        <v>0</v>
      </c>
      <c r="AH85">
        <v>0</v>
      </c>
      <c r="AI85" s="4">
        <v>36788</v>
      </c>
    </row>
    <row r="86" spans="1:35">
      <c r="A86">
        <v>85</v>
      </c>
      <c r="B86" t="str">
        <f>"000651"</f>
        <v>000651</v>
      </c>
      <c r="C86" t="s">
        <v>1102</v>
      </c>
      <c r="D86" s="4">
        <v>43190</v>
      </c>
      <c r="E86" t="s">
        <v>1103</v>
      </c>
      <c r="F86" t="s">
        <v>1104</v>
      </c>
      <c r="G86" s="2" t="s">
        <v>1105</v>
      </c>
      <c r="H86">
        <v>0.93</v>
      </c>
      <c r="I86">
        <v>11.79</v>
      </c>
      <c r="J86">
        <v>8.18</v>
      </c>
      <c r="K86" t="s">
        <v>1106</v>
      </c>
      <c r="L86">
        <v>33.26</v>
      </c>
      <c r="M86" t="s">
        <v>1107</v>
      </c>
      <c r="N86" t="s">
        <v>1108</v>
      </c>
      <c r="O86" t="s">
        <v>1109</v>
      </c>
      <c r="P86" t="s">
        <v>1110</v>
      </c>
      <c r="Q86">
        <v>39.04</v>
      </c>
      <c r="R86" t="s">
        <v>1111</v>
      </c>
      <c r="S86">
        <v>10.19</v>
      </c>
      <c r="T86">
        <v>30.86</v>
      </c>
      <c r="U86" t="s">
        <v>1112</v>
      </c>
      <c r="V86" t="s">
        <v>1113</v>
      </c>
      <c r="W86" t="s">
        <v>1114</v>
      </c>
      <c r="X86">
        <v>8.18</v>
      </c>
      <c r="Y86" t="s">
        <v>1115</v>
      </c>
      <c r="Z86" t="s">
        <v>1116</v>
      </c>
      <c r="AA86" t="s">
        <v>1117</v>
      </c>
      <c r="AB86">
        <v>4.01</v>
      </c>
      <c r="AC86" t="s">
        <v>1118</v>
      </c>
      <c r="AD86">
        <v>32.479999999999997</v>
      </c>
      <c r="AE86" t="s">
        <v>1119</v>
      </c>
      <c r="AF86">
        <v>0.02</v>
      </c>
      <c r="AG86">
        <v>0</v>
      </c>
      <c r="AH86">
        <v>0</v>
      </c>
      <c r="AI86" s="4">
        <v>35387</v>
      </c>
    </row>
    <row r="87" spans="1:35">
      <c r="A87">
        <v>86</v>
      </c>
      <c r="B87" t="str">
        <f>"002597"</f>
        <v>002597</v>
      </c>
      <c r="C87" t="s">
        <v>1120</v>
      </c>
      <c r="D87" s="4">
        <v>43190</v>
      </c>
      <c r="E87" t="s">
        <v>1121</v>
      </c>
      <c r="F87" t="s">
        <v>1002</v>
      </c>
      <c r="G87" t="s">
        <v>1122</v>
      </c>
      <c r="H87">
        <v>0.52</v>
      </c>
      <c r="I87">
        <v>5.15</v>
      </c>
      <c r="J87">
        <v>8.11</v>
      </c>
      <c r="K87" t="s">
        <v>354</v>
      </c>
      <c r="L87">
        <v>2.76</v>
      </c>
      <c r="M87" t="s">
        <v>499</v>
      </c>
      <c r="N87" t="s">
        <v>1123</v>
      </c>
      <c r="O87" t="s">
        <v>52</v>
      </c>
      <c r="P87" t="s">
        <v>1124</v>
      </c>
      <c r="Q87">
        <v>45.18</v>
      </c>
      <c r="R87" t="s">
        <v>891</v>
      </c>
      <c r="S87">
        <v>2.7</v>
      </c>
      <c r="T87">
        <v>34.979999999999997</v>
      </c>
      <c r="U87" t="s">
        <v>1125</v>
      </c>
      <c r="V87" t="s">
        <v>230</v>
      </c>
      <c r="W87" t="s">
        <v>101</v>
      </c>
      <c r="X87">
        <v>8.11</v>
      </c>
      <c r="Y87" t="s">
        <v>261</v>
      </c>
      <c r="Z87" t="s">
        <v>1126</v>
      </c>
      <c r="AA87" t="s">
        <v>140</v>
      </c>
      <c r="AB87">
        <v>4.05</v>
      </c>
      <c r="AC87" t="s">
        <v>1127</v>
      </c>
      <c r="AD87">
        <v>60.36</v>
      </c>
      <c r="AE87" t="s">
        <v>1128</v>
      </c>
      <c r="AF87">
        <v>0.9</v>
      </c>
      <c r="AG87">
        <v>0</v>
      </c>
      <c r="AH87">
        <v>0</v>
      </c>
      <c r="AI87" s="4">
        <v>40731</v>
      </c>
    </row>
    <row r="88" spans="1:35">
      <c r="A88">
        <v>87</v>
      </c>
      <c r="B88" t="str">
        <f>"001979"</f>
        <v>001979</v>
      </c>
      <c r="C88" t="s">
        <v>1129</v>
      </c>
      <c r="D88" s="4">
        <v>43190</v>
      </c>
      <c r="E88" t="s">
        <v>1130</v>
      </c>
      <c r="F88" t="s">
        <v>183</v>
      </c>
      <c r="G88" s="2" t="s">
        <v>1131</v>
      </c>
      <c r="H88">
        <v>0.73</v>
      </c>
      <c r="I88">
        <v>8.18</v>
      </c>
      <c r="J88">
        <v>8.11</v>
      </c>
      <c r="K88" t="s">
        <v>1132</v>
      </c>
      <c r="L88">
        <v>32.04</v>
      </c>
      <c r="M88" t="s">
        <v>885</v>
      </c>
      <c r="N88" t="s">
        <v>1133</v>
      </c>
      <c r="O88" t="s">
        <v>885</v>
      </c>
      <c r="P88" t="s">
        <v>1134</v>
      </c>
      <c r="Q88">
        <v>172.31</v>
      </c>
      <c r="R88" t="s">
        <v>1135</v>
      </c>
      <c r="S88">
        <v>4.3099999999999996</v>
      </c>
      <c r="T88">
        <v>49.45</v>
      </c>
      <c r="U88" t="s">
        <v>1136</v>
      </c>
      <c r="V88" t="s">
        <v>1137</v>
      </c>
      <c r="W88" t="s">
        <v>733</v>
      </c>
      <c r="X88">
        <v>8.11</v>
      </c>
      <c r="Y88" t="s">
        <v>1138</v>
      </c>
      <c r="Z88" t="s">
        <v>1139</v>
      </c>
      <c r="AA88" t="s">
        <v>1140</v>
      </c>
      <c r="AB88">
        <v>2.62</v>
      </c>
      <c r="AC88" t="s">
        <v>1141</v>
      </c>
      <c r="AD88">
        <v>20.67</v>
      </c>
      <c r="AE88" t="s">
        <v>761</v>
      </c>
      <c r="AF88">
        <v>2.4700000000000002</v>
      </c>
      <c r="AG88">
        <v>0</v>
      </c>
      <c r="AH88">
        <v>0</v>
      </c>
      <c r="AI88" s="4">
        <v>42368</v>
      </c>
    </row>
    <row r="89" spans="1:35">
      <c r="A89">
        <v>88</v>
      </c>
      <c r="B89" t="str">
        <f>"600887"</f>
        <v>600887</v>
      </c>
      <c r="C89" t="s">
        <v>1142</v>
      </c>
      <c r="D89" s="4">
        <v>43190</v>
      </c>
      <c r="E89" t="s">
        <v>1081</v>
      </c>
      <c r="F89" t="s">
        <v>1143</v>
      </c>
      <c r="G89" s="2" t="s">
        <v>1144</v>
      </c>
      <c r="H89">
        <v>0.35</v>
      </c>
      <c r="I89">
        <v>3.77</v>
      </c>
      <c r="J89">
        <v>8.0299999999999994</v>
      </c>
      <c r="K89" t="s">
        <v>957</v>
      </c>
      <c r="L89">
        <v>25.1</v>
      </c>
      <c r="M89" t="s">
        <v>981</v>
      </c>
      <c r="N89" t="s">
        <v>1145</v>
      </c>
      <c r="O89" t="s">
        <v>981</v>
      </c>
      <c r="P89" t="s">
        <v>876</v>
      </c>
      <c r="Q89">
        <v>21.15</v>
      </c>
      <c r="R89" t="s">
        <v>1146</v>
      </c>
      <c r="S89">
        <v>1.97</v>
      </c>
      <c r="T89">
        <v>38.799999999999997</v>
      </c>
      <c r="U89" t="s">
        <v>1147</v>
      </c>
      <c r="V89" t="s">
        <v>1148</v>
      </c>
      <c r="W89" t="s">
        <v>1149</v>
      </c>
      <c r="X89">
        <v>8.0299999999999994</v>
      </c>
      <c r="Y89" t="s">
        <v>1150</v>
      </c>
      <c r="Z89" t="s">
        <v>1151</v>
      </c>
      <c r="AA89" t="s">
        <v>1152</v>
      </c>
      <c r="AB89">
        <v>7.48</v>
      </c>
      <c r="AC89" t="s">
        <v>1153</v>
      </c>
      <c r="AD89">
        <v>55.48</v>
      </c>
      <c r="AE89" t="s">
        <v>502</v>
      </c>
      <c r="AF89">
        <v>0.46</v>
      </c>
      <c r="AG89">
        <v>0</v>
      </c>
      <c r="AH89">
        <v>0</v>
      </c>
      <c r="AI89" s="4">
        <v>35136</v>
      </c>
    </row>
    <row r="90" spans="1:35">
      <c r="A90">
        <v>89</v>
      </c>
      <c r="B90" t="str">
        <f>"600167"</f>
        <v>600167</v>
      </c>
      <c r="C90" t="s">
        <v>1154</v>
      </c>
      <c r="D90" s="4">
        <v>43190</v>
      </c>
      <c r="E90" t="s">
        <v>775</v>
      </c>
      <c r="F90" t="s">
        <v>544</v>
      </c>
      <c r="G90" t="s">
        <v>1155</v>
      </c>
      <c r="H90">
        <v>0.34</v>
      </c>
      <c r="I90">
        <v>4.24</v>
      </c>
      <c r="J90">
        <v>8.0299999999999994</v>
      </c>
      <c r="K90" t="s">
        <v>625</v>
      </c>
      <c r="L90">
        <v>14.95</v>
      </c>
      <c r="M90" t="s">
        <v>805</v>
      </c>
      <c r="N90" t="s">
        <v>1156</v>
      </c>
      <c r="O90" t="s">
        <v>1041</v>
      </c>
      <c r="P90" t="s">
        <v>1157</v>
      </c>
      <c r="Q90">
        <v>31.71</v>
      </c>
      <c r="R90" t="s">
        <v>1158</v>
      </c>
      <c r="S90">
        <v>1.53</v>
      </c>
      <c r="T90">
        <v>59.68</v>
      </c>
      <c r="U90" t="s">
        <v>1159</v>
      </c>
      <c r="V90" t="s">
        <v>1160</v>
      </c>
      <c r="W90" t="s">
        <v>260</v>
      </c>
      <c r="X90">
        <v>8.0299999999999994</v>
      </c>
      <c r="Y90" t="s">
        <v>1161</v>
      </c>
      <c r="Z90" t="s">
        <v>1162</v>
      </c>
      <c r="AA90" t="s">
        <v>578</v>
      </c>
      <c r="AB90">
        <v>2.37</v>
      </c>
      <c r="AC90" t="s">
        <v>1163</v>
      </c>
      <c r="AD90">
        <v>71.22</v>
      </c>
      <c r="AE90" t="s">
        <v>1164</v>
      </c>
      <c r="AF90">
        <v>1.61</v>
      </c>
      <c r="AG90">
        <v>0</v>
      </c>
      <c r="AH90">
        <v>0</v>
      </c>
      <c r="AI90" s="4">
        <v>36188</v>
      </c>
    </row>
    <row r="91" spans="1:35">
      <c r="A91">
        <v>90</v>
      </c>
      <c r="B91" t="str">
        <f>"002032"</f>
        <v>002032</v>
      </c>
      <c r="C91" t="s">
        <v>1165</v>
      </c>
      <c r="D91" s="4">
        <v>43190</v>
      </c>
      <c r="E91" t="s">
        <v>605</v>
      </c>
      <c r="F91" t="s">
        <v>1166</v>
      </c>
      <c r="G91" s="2" t="s">
        <v>1167</v>
      </c>
      <c r="H91">
        <v>0.55000000000000004</v>
      </c>
      <c r="I91">
        <v>6.09</v>
      </c>
      <c r="J91">
        <v>8.0299999999999994</v>
      </c>
      <c r="K91" t="s">
        <v>780</v>
      </c>
      <c r="L91">
        <v>21.24</v>
      </c>
      <c r="M91" t="s">
        <v>1168</v>
      </c>
      <c r="N91" t="s">
        <v>1169</v>
      </c>
      <c r="O91" t="s">
        <v>1168</v>
      </c>
      <c r="P91" t="s">
        <v>153</v>
      </c>
      <c r="Q91">
        <v>21.92</v>
      </c>
      <c r="R91" t="s">
        <v>1170</v>
      </c>
      <c r="S91">
        <v>4.5599999999999996</v>
      </c>
      <c r="T91">
        <v>31.07</v>
      </c>
      <c r="U91" t="s">
        <v>1171</v>
      </c>
      <c r="V91" t="s">
        <v>1172</v>
      </c>
      <c r="W91" t="s">
        <v>1173</v>
      </c>
      <c r="X91">
        <v>8.0299999999999994</v>
      </c>
      <c r="Y91" t="s">
        <v>1174</v>
      </c>
      <c r="Z91" t="s">
        <v>1175</v>
      </c>
      <c r="AA91" t="s">
        <v>1176</v>
      </c>
      <c r="AB91">
        <v>8.86</v>
      </c>
      <c r="AC91" t="s">
        <v>1177</v>
      </c>
      <c r="AD91">
        <v>61.53</v>
      </c>
      <c r="AE91" t="s">
        <v>198</v>
      </c>
      <c r="AF91">
        <v>0.13</v>
      </c>
      <c r="AG91">
        <v>0</v>
      </c>
      <c r="AH91">
        <v>0</v>
      </c>
      <c r="AI91" s="4">
        <v>38216</v>
      </c>
    </row>
    <row r="92" spans="1:35">
      <c r="A92">
        <v>91</v>
      </c>
      <c r="B92" t="str">
        <f>"300132"</f>
        <v>300132</v>
      </c>
      <c r="C92" t="s">
        <v>1178</v>
      </c>
      <c r="D92" s="4">
        <v>43190</v>
      </c>
      <c r="E92" t="s">
        <v>501</v>
      </c>
      <c r="F92" t="s">
        <v>679</v>
      </c>
      <c r="G92" s="2" t="s">
        <v>1179</v>
      </c>
      <c r="H92">
        <v>0.16</v>
      </c>
      <c r="I92">
        <v>1.99</v>
      </c>
      <c r="J92">
        <v>8.02</v>
      </c>
      <c r="K92" t="s">
        <v>1180</v>
      </c>
      <c r="L92">
        <v>64.680000000000007</v>
      </c>
      <c r="M92" t="s">
        <v>1181</v>
      </c>
      <c r="N92">
        <v>0</v>
      </c>
      <c r="O92" t="s">
        <v>1182</v>
      </c>
      <c r="P92" t="s">
        <v>1183</v>
      </c>
      <c r="Q92">
        <v>429.74</v>
      </c>
      <c r="R92" t="s">
        <v>1184</v>
      </c>
      <c r="S92">
        <v>0.69</v>
      </c>
      <c r="T92">
        <v>38.08</v>
      </c>
      <c r="U92" t="s">
        <v>407</v>
      </c>
      <c r="V92" t="s">
        <v>359</v>
      </c>
      <c r="W92" t="s">
        <v>559</v>
      </c>
      <c r="X92">
        <v>8.02</v>
      </c>
      <c r="Y92" t="s">
        <v>726</v>
      </c>
      <c r="Z92" t="s">
        <v>126</v>
      </c>
      <c r="AA92" t="s">
        <v>1185</v>
      </c>
      <c r="AB92">
        <v>4.91</v>
      </c>
      <c r="AC92" t="s">
        <v>1041</v>
      </c>
      <c r="AD92">
        <v>75.349999999999994</v>
      </c>
      <c r="AE92" t="s">
        <v>1186</v>
      </c>
      <c r="AF92">
        <v>0.21</v>
      </c>
      <c r="AG92">
        <v>0</v>
      </c>
      <c r="AH92">
        <v>0</v>
      </c>
      <c r="AI92" s="4">
        <v>40477</v>
      </c>
    </row>
    <row r="93" spans="1:35">
      <c r="A93">
        <v>92</v>
      </c>
      <c r="B93" t="str">
        <f>"601888"</f>
        <v>601888</v>
      </c>
      <c r="C93" t="s">
        <v>1187</v>
      </c>
      <c r="D93" s="4">
        <v>43190</v>
      </c>
      <c r="E93" t="s">
        <v>275</v>
      </c>
      <c r="F93" t="s">
        <v>275</v>
      </c>
      <c r="G93" t="s">
        <v>1188</v>
      </c>
      <c r="H93">
        <v>0.59</v>
      </c>
      <c r="I93">
        <v>7.73</v>
      </c>
      <c r="J93">
        <v>7.97</v>
      </c>
      <c r="K93" t="s">
        <v>1189</v>
      </c>
      <c r="L93">
        <v>53.07</v>
      </c>
      <c r="M93" t="s">
        <v>1190</v>
      </c>
      <c r="N93" t="s">
        <v>1191</v>
      </c>
      <c r="O93" t="s">
        <v>1190</v>
      </c>
      <c r="P93" t="s">
        <v>613</v>
      </c>
      <c r="Q93">
        <v>61.48</v>
      </c>
      <c r="R93" t="s">
        <v>1192</v>
      </c>
      <c r="S93">
        <v>4.5599999999999996</v>
      </c>
      <c r="T93">
        <v>39.47</v>
      </c>
      <c r="U93" t="s">
        <v>1193</v>
      </c>
      <c r="V93" t="s">
        <v>1194</v>
      </c>
      <c r="W93" t="s">
        <v>538</v>
      </c>
      <c r="X93">
        <v>7.97</v>
      </c>
      <c r="Y93" t="s">
        <v>1195</v>
      </c>
      <c r="Z93" t="s">
        <v>1196</v>
      </c>
      <c r="AA93" t="s">
        <v>337</v>
      </c>
      <c r="AB93">
        <v>8.4600000000000009</v>
      </c>
      <c r="AC93" t="s">
        <v>571</v>
      </c>
      <c r="AD93">
        <v>65.77</v>
      </c>
      <c r="AE93" t="s">
        <v>1133</v>
      </c>
      <c r="AF93">
        <v>1.97</v>
      </c>
      <c r="AG93">
        <v>0</v>
      </c>
      <c r="AH93">
        <v>0</v>
      </c>
      <c r="AI93" s="4">
        <v>40101</v>
      </c>
    </row>
    <row r="94" spans="1:35">
      <c r="A94">
        <v>93</v>
      </c>
      <c r="B94" t="str">
        <f>"002215"</f>
        <v>002215</v>
      </c>
      <c r="C94" t="s">
        <v>1197</v>
      </c>
      <c r="D94" s="4">
        <v>43190</v>
      </c>
      <c r="E94" t="s">
        <v>1198</v>
      </c>
      <c r="F94" t="s">
        <v>1073</v>
      </c>
      <c r="G94" t="s">
        <v>1199</v>
      </c>
      <c r="H94">
        <v>0.18</v>
      </c>
      <c r="I94">
        <v>2.14</v>
      </c>
      <c r="J94">
        <v>7.94</v>
      </c>
      <c r="K94" t="s">
        <v>919</v>
      </c>
      <c r="L94">
        <v>20.32</v>
      </c>
      <c r="M94" t="s">
        <v>1200</v>
      </c>
      <c r="N94" t="s">
        <v>1201</v>
      </c>
      <c r="O94" t="s">
        <v>1202</v>
      </c>
      <c r="P94" t="s">
        <v>1203</v>
      </c>
      <c r="Q94">
        <v>40.36</v>
      </c>
      <c r="R94" t="s">
        <v>1204</v>
      </c>
      <c r="S94">
        <v>0.69</v>
      </c>
      <c r="T94">
        <v>33.85</v>
      </c>
      <c r="U94" t="s">
        <v>152</v>
      </c>
      <c r="V94" t="s">
        <v>1205</v>
      </c>
      <c r="W94" t="s">
        <v>1206</v>
      </c>
      <c r="X94">
        <v>7.94</v>
      </c>
      <c r="Y94" t="s">
        <v>712</v>
      </c>
      <c r="Z94" t="s">
        <v>275</v>
      </c>
      <c r="AA94" t="s">
        <v>1207</v>
      </c>
      <c r="AB94">
        <v>3.09</v>
      </c>
      <c r="AC94" t="s">
        <v>876</v>
      </c>
      <c r="AD94">
        <v>46.13</v>
      </c>
      <c r="AE94" t="s">
        <v>120</v>
      </c>
      <c r="AF94">
        <v>0.33</v>
      </c>
      <c r="AG94">
        <v>0</v>
      </c>
      <c r="AH94">
        <v>0</v>
      </c>
      <c r="AI94" s="4">
        <v>39496</v>
      </c>
    </row>
    <row r="95" spans="1:35">
      <c r="A95">
        <v>94</v>
      </c>
      <c r="B95" t="str">
        <f>"300511"</f>
        <v>300511</v>
      </c>
      <c r="C95" t="s">
        <v>1208</v>
      </c>
      <c r="D95" s="4">
        <v>43190</v>
      </c>
      <c r="E95" t="s">
        <v>1209</v>
      </c>
      <c r="F95" t="s">
        <v>1210</v>
      </c>
      <c r="G95">
        <v>5430</v>
      </c>
      <c r="H95">
        <v>0.26</v>
      </c>
      <c r="I95">
        <v>3.4</v>
      </c>
      <c r="J95">
        <v>7.76</v>
      </c>
      <c r="K95" t="s">
        <v>734</v>
      </c>
      <c r="L95">
        <v>106.35</v>
      </c>
      <c r="M95" t="s">
        <v>355</v>
      </c>
      <c r="N95">
        <v>0</v>
      </c>
      <c r="O95" t="s">
        <v>355</v>
      </c>
      <c r="P95" t="s">
        <v>355</v>
      </c>
      <c r="Q95">
        <v>132.28</v>
      </c>
      <c r="R95" t="s">
        <v>1044</v>
      </c>
      <c r="S95">
        <v>1.43</v>
      </c>
      <c r="T95">
        <v>27.9</v>
      </c>
      <c r="U95" t="s">
        <v>1211</v>
      </c>
      <c r="V95" t="s">
        <v>1212</v>
      </c>
      <c r="W95" t="s">
        <v>1213</v>
      </c>
      <c r="X95">
        <v>7.76</v>
      </c>
      <c r="Y95" t="s">
        <v>565</v>
      </c>
      <c r="Z95" t="s">
        <v>1214</v>
      </c>
      <c r="AA95" t="s">
        <v>1215</v>
      </c>
      <c r="AB95">
        <v>2.66</v>
      </c>
      <c r="AC95" t="s">
        <v>855</v>
      </c>
      <c r="AD95">
        <v>39.729999999999997</v>
      </c>
      <c r="AE95" t="s">
        <v>1216</v>
      </c>
      <c r="AF95">
        <v>0.92</v>
      </c>
      <c r="AG95">
        <v>0</v>
      </c>
      <c r="AH95">
        <v>0</v>
      </c>
      <c r="AI95" s="4">
        <v>42494</v>
      </c>
    </row>
    <row r="96" spans="1:35">
      <c r="A96">
        <v>95</v>
      </c>
      <c r="B96" t="str">
        <f>"000568"</f>
        <v>000568</v>
      </c>
      <c r="C96" t="s">
        <v>1217</v>
      </c>
      <c r="D96" s="4">
        <v>43190</v>
      </c>
      <c r="E96" t="s">
        <v>584</v>
      </c>
      <c r="F96" t="s">
        <v>538</v>
      </c>
      <c r="G96" t="s">
        <v>1218</v>
      </c>
      <c r="H96">
        <v>0.83</v>
      </c>
      <c r="I96">
        <v>11.18</v>
      </c>
      <c r="J96">
        <v>7.68</v>
      </c>
      <c r="K96" t="s">
        <v>1219</v>
      </c>
      <c r="L96">
        <v>26.2</v>
      </c>
      <c r="M96" t="s">
        <v>76</v>
      </c>
      <c r="N96" t="s">
        <v>1200</v>
      </c>
      <c r="O96" t="s">
        <v>1052</v>
      </c>
      <c r="P96" t="s">
        <v>264</v>
      </c>
      <c r="Q96">
        <v>51.86</v>
      </c>
      <c r="R96" t="s">
        <v>1220</v>
      </c>
      <c r="S96">
        <v>6.65</v>
      </c>
      <c r="T96">
        <v>74.67</v>
      </c>
      <c r="U96" t="s">
        <v>1221</v>
      </c>
      <c r="V96" t="s">
        <v>1222</v>
      </c>
      <c r="W96" t="s">
        <v>1223</v>
      </c>
      <c r="X96">
        <v>7.68</v>
      </c>
      <c r="Y96" t="s">
        <v>1224</v>
      </c>
      <c r="Z96" t="s">
        <v>1225</v>
      </c>
      <c r="AA96" t="s">
        <v>1226</v>
      </c>
      <c r="AB96">
        <v>5.84</v>
      </c>
      <c r="AC96" t="s">
        <v>814</v>
      </c>
      <c r="AD96">
        <v>81.260000000000005</v>
      </c>
      <c r="AE96" t="s">
        <v>816</v>
      </c>
      <c r="AF96">
        <v>2.42</v>
      </c>
      <c r="AG96">
        <v>0</v>
      </c>
      <c r="AH96">
        <v>0</v>
      </c>
      <c r="AI96" s="4">
        <v>34463</v>
      </c>
    </row>
    <row r="97" spans="1:35">
      <c r="A97">
        <v>96</v>
      </c>
      <c r="B97" t="str">
        <f>"600436"</f>
        <v>600436</v>
      </c>
      <c r="C97" t="s">
        <v>1227</v>
      </c>
      <c r="D97" s="4">
        <v>43190</v>
      </c>
      <c r="E97" t="s">
        <v>1168</v>
      </c>
      <c r="F97" t="s">
        <v>1168</v>
      </c>
      <c r="G97" t="s">
        <v>1228</v>
      </c>
      <c r="H97">
        <v>0.54</v>
      </c>
      <c r="I97">
        <v>6.93</v>
      </c>
      <c r="J97">
        <v>7.61</v>
      </c>
      <c r="K97" t="s">
        <v>982</v>
      </c>
      <c r="L97">
        <v>42.06</v>
      </c>
      <c r="M97" t="s">
        <v>1229</v>
      </c>
      <c r="N97" t="s">
        <v>1230</v>
      </c>
      <c r="O97" t="s">
        <v>165</v>
      </c>
      <c r="P97" t="s">
        <v>90</v>
      </c>
      <c r="Q97">
        <v>44.06</v>
      </c>
      <c r="R97" t="s">
        <v>260</v>
      </c>
      <c r="S97">
        <v>4</v>
      </c>
      <c r="T97">
        <v>46.49</v>
      </c>
      <c r="U97" t="s">
        <v>1081</v>
      </c>
      <c r="V97" t="s">
        <v>1231</v>
      </c>
      <c r="W97" t="s">
        <v>94</v>
      </c>
      <c r="X97">
        <v>7.61</v>
      </c>
      <c r="Y97" t="s">
        <v>1214</v>
      </c>
      <c r="Z97" t="s">
        <v>926</v>
      </c>
      <c r="AA97" t="s">
        <v>1232</v>
      </c>
      <c r="AB97">
        <v>15.41</v>
      </c>
      <c r="AC97" t="s">
        <v>1233</v>
      </c>
      <c r="AD97">
        <v>72.98</v>
      </c>
      <c r="AE97" t="s">
        <v>448</v>
      </c>
      <c r="AF97">
        <v>1.06</v>
      </c>
      <c r="AG97">
        <v>0</v>
      </c>
      <c r="AH97">
        <v>0</v>
      </c>
      <c r="AI97" s="4">
        <v>37788</v>
      </c>
    </row>
    <row r="98" spans="1:35">
      <c r="A98">
        <v>97</v>
      </c>
      <c r="B98" t="str">
        <f>"603596"</f>
        <v>603596</v>
      </c>
      <c r="C98" t="s">
        <v>1234</v>
      </c>
      <c r="D98" s="4">
        <v>43190</v>
      </c>
      <c r="E98" t="s">
        <v>1235</v>
      </c>
      <c r="F98" t="s">
        <v>1236</v>
      </c>
      <c r="G98" t="s">
        <v>1237</v>
      </c>
      <c r="H98">
        <v>0.21</v>
      </c>
      <c r="I98">
        <v>4.28</v>
      </c>
      <c r="J98">
        <v>7.6</v>
      </c>
      <c r="K98" t="s">
        <v>1238</v>
      </c>
      <c r="L98">
        <v>10.34</v>
      </c>
      <c r="M98" t="s">
        <v>677</v>
      </c>
      <c r="N98" t="s">
        <v>1239</v>
      </c>
      <c r="O98" t="s">
        <v>677</v>
      </c>
      <c r="P98" t="s">
        <v>1240</v>
      </c>
      <c r="Q98">
        <v>37.630000000000003</v>
      </c>
      <c r="R98" t="s">
        <v>1241</v>
      </c>
      <c r="S98">
        <v>1.5</v>
      </c>
      <c r="T98">
        <v>24.19</v>
      </c>
      <c r="U98" t="s">
        <v>1242</v>
      </c>
      <c r="V98" t="s">
        <v>728</v>
      </c>
      <c r="W98" t="s">
        <v>1243</v>
      </c>
      <c r="X98">
        <v>7.6</v>
      </c>
      <c r="Y98" t="s">
        <v>1244</v>
      </c>
      <c r="Z98" t="s">
        <v>538</v>
      </c>
      <c r="AA98" t="s">
        <v>1245</v>
      </c>
      <c r="AB98">
        <v>7.51</v>
      </c>
      <c r="AC98" t="s">
        <v>1033</v>
      </c>
      <c r="AD98">
        <v>40.229999999999997</v>
      </c>
      <c r="AE98" t="s">
        <v>920</v>
      </c>
      <c r="AF98">
        <v>1.62</v>
      </c>
      <c r="AG98">
        <v>0</v>
      </c>
      <c r="AH98">
        <v>0</v>
      </c>
      <c r="AI98" s="4">
        <v>43217</v>
      </c>
    </row>
    <row r="99" spans="1:35">
      <c r="A99">
        <v>98</v>
      </c>
      <c r="B99" t="str">
        <f>"600426"</f>
        <v>600426</v>
      </c>
      <c r="C99" t="s">
        <v>1246</v>
      </c>
      <c r="D99" s="4">
        <v>43190</v>
      </c>
      <c r="E99" t="s">
        <v>1062</v>
      </c>
      <c r="F99" t="s">
        <v>50</v>
      </c>
      <c r="G99" t="s">
        <v>1247</v>
      </c>
      <c r="H99">
        <v>0.45</v>
      </c>
      <c r="I99">
        <v>6.04</v>
      </c>
      <c r="J99">
        <v>7.6</v>
      </c>
      <c r="K99" t="s">
        <v>1248</v>
      </c>
      <c r="L99">
        <v>39.83</v>
      </c>
      <c r="M99" t="s">
        <v>519</v>
      </c>
      <c r="N99">
        <v>0</v>
      </c>
      <c r="O99" t="s">
        <v>906</v>
      </c>
      <c r="P99" t="s">
        <v>1249</v>
      </c>
      <c r="Q99">
        <v>133.91</v>
      </c>
      <c r="R99" t="s">
        <v>1250</v>
      </c>
      <c r="S99">
        <v>3.35</v>
      </c>
      <c r="T99">
        <v>30.14</v>
      </c>
      <c r="U99" t="s">
        <v>1251</v>
      </c>
      <c r="V99" t="s">
        <v>1252</v>
      </c>
      <c r="W99" t="s">
        <v>525</v>
      </c>
      <c r="X99">
        <v>7.6</v>
      </c>
      <c r="Y99" t="s">
        <v>1253</v>
      </c>
      <c r="Z99" t="s">
        <v>612</v>
      </c>
      <c r="AA99" t="s">
        <v>1219</v>
      </c>
      <c r="AB99">
        <v>2.9</v>
      </c>
      <c r="AC99" t="s">
        <v>1254</v>
      </c>
      <c r="AD99">
        <v>59.53</v>
      </c>
      <c r="AE99" t="s">
        <v>1255</v>
      </c>
      <c r="AF99">
        <v>1.24</v>
      </c>
      <c r="AG99">
        <v>0</v>
      </c>
      <c r="AH99">
        <v>0</v>
      </c>
      <c r="AI99" s="4">
        <v>37427</v>
      </c>
    </row>
    <row r="100" spans="1:35">
      <c r="A100">
        <v>99</v>
      </c>
      <c r="B100" t="str">
        <f>"603198"</f>
        <v>603198</v>
      </c>
      <c r="C100" t="s">
        <v>1256</v>
      </c>
      <c r="D100" s="4">
        <v>43190</v>
      </c>
      <c r="E100" t="s">
        <v>539</v>
      </c>
      <c r="F100" t="s">
        <v>539</v>
      </c>
      <c r="G100">
        <v>4108</v>
      </c>
      <c r="H100">
        <v>0.41</v>
      </c>
      <c r="I100">
        <v>4.8499999999999996</v>
      </c>
      <c r="J100">
        <v>7.57</v>
      </c>
      <c r="K100" t="s">
        <v>835</v>
      </c>
      <c r="L100">
        <v>11.87</v>
      </c>
      <c r="M100" t="s">
        <v>704</v>
      </c>
      <c r="N100" t="s">
        <v>1257</v>
      </c>
      <c r="O100" t="s">
        <v>704</v>
      </c>
      <c r="P100" t="s">
        <v>144</v>
      </c>
      <c r="Q100">
        <v>12.46</v>
      </c>
      <c r="R100" t="s">
        <v>877</v>
      </c>
      <c r="S100">
        <v>1.9</v>
      </c>
      <c r="T100">
        <v>65.41</v>
      </c>
      <c r="U100" t="s">
        <v>1250</v>
      </c>
      <c r="V100" t="s">
        <v>1258</v>
      </c>
      <c r="W100" t="s">
        <v>926</v>
      </c>
      <c r="X100">
        <v>7.57</v>
      </c>
      <c r="Y100" t="s">
        <v>982</v>
      </c>
      <c r="Z100" t="s">
        <v>973</v>
      </c>
      <c r="AA100" t="s">
        <v>1259</v>
      </c>
      <c r="AB100">
        <v>3.74</v>
      </c>
      <c r="AC100" t="s">
        <v>1233</v>
      </c>
      <c r="AD100">
        <v>78.42</v>
      </c>
      <c r="AE100" t="s">
        <v>164</v>
      </c>
      <c r="AF100">
        <v>1.58</v>
      </c>
      <c r="AG100">
        <v>0</v>
      </c>
      <c r="AH100">
        <v>0</v>
      </c>
      <c r="AI100" s="4">
        <v>42152</v>
      </c>
    </row>
    <row r="101" spans="1:35">
      <c r="A101">
        <v>100</v>
      </c>
      <c r="B101" t="str">
        <f>"600340"</f>
        <v>600340</v>
      </c>
      <c r="C101" t="s">
        <v>1260</v>
      </c>
      <c r="D101" s="4">
        <v>43190</v>
      </c>
      <c r="E101" t="s">
        <v>1242</v>
      </c>
      <c r="F101" t="s">
        <v>1242</v>
      </c>
      <c r="G101" t="s">
        <v>1261</v>
      </c>
      <c r="H101">
        <v>0.77</v>
      </c>
      <c r="I101">
        <v>9.1999999999999993</v>
      </c>
      <c r="J101">
        <v>7.56</v>
      </c>
      <c r="K101" t="s">
        <v>1262</v>
      </c>
      <c r="L101">
        <v>21.48</v>
      </c>
      <c r="M101" t="s">
        <v>1263</v>
      </c>
      <c r="N101" t="s">
        <v>1264</v>
      </c>
      <c r="O101" t="s">
        <v>884</v>
      </c>
      <c r="P101" t="s">
        <v>865</v>
      </c>
      <c r="Q101">
        <v>30.33</v>
      </c>
      <c r="R101" t="s">
        <v>1265</v>
      </c>
      <c r="S101">
        <v>6.68</v>
      </c>
      <c r="T101">
        <v>59.98</v>
      </c>
      <c r="U101" t="s">
        <v>1266</v>
      </c>
      <c r="V101" t="s">
        <v>1267</v>
      </c>
      <c r="W101" t="s">
        <v>502</v>
      </c>
      <c r="X101">
        <v>7.56</v>
      </c>
      <c r="Y101" t="s">
        <v>1268</v>
      </c>
      <c r="Z101" t="s">
        <v>1269</v>
      </c>
      <c r="AA101" t="s">
        <v>1270</v>
      </c>
      <c r="AB101">
        <v>3.06</v>
      </c>
      <c r="AC101" t="s">
        <v>1271</v>
      </c>
      <c r="AD101">
        <v>10.34</v>
      </c>
      <c r="AE101" t="s">
        <v>693</v>
      </c>
      <c r="AF101">
        <v>1.0900000000000001</v>
      </c>
      <c r="AG101">
        <v>0</v>
      </c>
      <c r="AH101">
        <v>0</v>
      </c>
      <c r="AI101" s="4">
        <v>37985</v>
      </c>
    </row>
    <row r="102" spans="1:35">
      <c r="A102">
        <v>101</v>
      </c>
      <c r="B102" t="str">
        <f>"000963"</f>
        <v>000963</v>
      </c>
      <c r="C102" t="s">
        <v>1272</v>
      </c>
      <c r="D102" s="4">
        <v>43190</v>
      </c>
      <c r="E102" t="s">
        <v>584</v>
      </c>
      <c r="F102" t="s">
        <v>1025</v>
      </c>
      <c r="G102" t="s">
        <v>1273</v>
      </c>
      <c r="H102">
        <v>0.45</v>
      </c>
      <c r="I102">
        <v>5.73</v>
      </c>
      <c r="J102">
        <v>7.56</v>
      </c>
      <c r="K102" t="s">
        <v>231</v>
      </c>
      <c r="L102">
        <v>9.61</v>
      </c>
      <c r="M102" t="s">
        <v>1274</v>
      </c>
      <c r="N102" t="s">
        <v>1275</v>
      </c>
      <c r="O102" t="s">
        <v>1173</v>
      </c>
      <c r="P102" t="s">
        <v>1276</v>
      </c>
      <c r="Q102">
        <v>21.17</v>
      </c>
      <c r="R102" t="s">
        <v>1277</v>
      </c>
      <c r="S102">
        <v>2.71</v>
      </c>
      <c r="T102">
        <v>31.65</v>
      </c>
      <c r="U102" t="s">
        <v>1278</v>
      </c>
      <c r="V102" t="s">
        <v>1279</v>
      </c>
      <c r="W102" t="s">
        <v>702</v>
      </c>
      <c r="X102">
        <v>7.56</v>
      </c>
      <c r="Y102" t="s">
        <v>1280</v>
      </c>
      <c r="Z102" t="s">
        <v>1281</v>
      </c>
      <c r="AA102" t="s">
        <v>295</v>
      </c>
      <c r="AB102">
        <v>8.16</v>
      </c>
      <c r="AC102" t="s">
        <v>1282</v>
      </c>
      <c r="AD102">
        <v>52.18</v>
      </c>
      <c r="AE102" t="s">
        <v>1252</v>
      </c>
      <c r="AF102">
        <v>1.68</v>
      </c>
      <c r="AG102">
        <v>0</v>
      </c>
      <c r="AH102">
        <v>0</v>
      </c>
      <c r="AI102" s="4">
        <v>36552</v>
      </c>
    </row>
    <row r="103" spans="1:35">
      <c r="A103">
        <v>102</v>
      </c>
      <c r="B103" t="str">
        <f>"600726"</f>
        <v>600726</v>
      </c>
      <c r="C103" t="s">
        <v>1283</v>
      </c>
      <c r="D103" s="4">
        <v>43190</v>
      </c>
      <c r="E103" t="s">
        <v>1284</v>
      </c>
      <c r="F103" t="s">
        <v>391</v>
      </c>
      <c r="G103" t="s">
        <v>70</v>
      </c>
      <c r="H103">
        <v>0.09</v>
      </c>
      <c r="I103">
        <v>1.27</v>
      </c>
      <c r="J103">
        <v>7.55</v>
      </c>
      <c r="K103" t="s">
        <v>1285</v>
      </c>
      <c r="L103">
        <v>12.43</v>
      </c>
      <c r="M103" t="s">
        <v>669</v>
      </c>
      <c r="N103" t="s">
        <v>1286</v>
      </c>
      <c r="O103" t="s">
        <v>1287</v>
      </c>
      <c r="P103" t="s">
        <v>1288</v>
      </c>
      <c r="Q103">
        <v>-30.66</v>
      </c>
      <c r="R103" t="s">
        <v>1289</v>
      </c>
      <c r="S103">
        <v>-0.7</v>
      </c>
      <c r="T103">
        <v>13.13</v>
      </c>
      <c r="U103" t="s">
        <v>1290</v>
      </c>
      <c r="V103" t="s">
        <v>1291</v>
      </c>
      <c r="W103" t="s">
        <v>1292</v>
      </c>
      <c r="X103">
        <v>7.55</v>
      </c>
      <c r="Y103" t="s">
        <v>715</v>
      </c>
      <c r="Z103" t="s">
        <v>929</v>
      </c>
      <c r="AA103" t="s">
        <v>1293</v>
      </c>
      <c r="AB103">
        <v>2.1800000000000002</v>
      </c>
      <c r="AC103" t="s">
        <v>1294</v>
      </c>
      <c r="AD103">
        <v>9.8699999999999992</v>
      </c>
      <c r="AE103" t="s">
        <v>115</v>
      </c>
      <c r="AF103">
        <v>0.86</v>
      </c>
      <c r="AG103" t="s">
        <v>1295</v>
      </c>
      <c r="AH103">
        <v>0</v>
      </c>
      <c r="AI103" s="4">
        <v>35247</v>
      </c>
    </row>
    <row r="104" spans="1:35">
      <c r="A104">
        <v>103</v>
      </c>
      <c r="B104" t="str">
        <f>"000567"</f>
        <v>000567</v>
      </c>
      <c r="C104" t="s">
        <v>1296</v>
      </c>
      <c r="D104" s="4">
        <v>43190</v>
      </c>
      <c r="E104" t="s">
        <v>540</v>
      </c>
      <c r="F104" t="s">
        <v>609</v>
      </c>
      <c r="G104">
        <v>8139</v>
      </c>
      <c r="H104">
        <v>0.05</v>
      </c>
      <c r="I104">
        <v>9.1300000000000008</v>
      </c>
      <c r="J104">
        <v>7.48</v>
      </c>
      <c r="K104" t="s">
        <v>1297</v>
      </c>
      <c r="L104">
        <v>109.51</v>
      </c>
      <c r="M104" t="s">
        <v>1298</v>
      </c>
      <c r="N104" t="s">
        <v>1299</v>
      </c>
      <c r="O104" t="s">
        <v>1298</v>
      </c>
      <c r="P104" t="s">
        <v>1300</v>
      </c>
      <c r="Q104">
        <v>23.73</v>
      </c>
      <c r="R104" t="s">
        <v>1301</v>
      </c>
      <c r="S104">
        <v>0.11</v>
      </c>
      <c r="T104">
        <v>0</v>
      </c>
      <c r="U104" t="s">
        <v>1302</v>
      </c>
      <c r="V104" t="s">
        <v>1303</v>
      </c>
      <c r="W104" t="s">
        <v>1304</v>
      </c>
      <c r="X104">
        <v>7.48</v>
      </c>
      <c r="Y104" t="s">
        <v>907</v>
      </c>
      <c r="Z104" t="s">
        <v>223</v>
      </c>
      <c r="AA104" t="s">
        <v>175</v>
      </c>
      <c r="AB104">
        <v>1.55</v>
      </c>
      <c r="AC104" t="s">
        <v>1305</v>
      </c>
      <c r="AD104">
        <v>56.08</v>
      </c>
      <c r="AE104" t="s">
        <v>431</v>
      </c>
      <c r="AF104">
        <v>8.02</v>
      </c>
      <c r="AG104">
        <v>0</v>
      </c>
      <c r="AH104">
        <v>0</v>
      </c>
      <c r="AI104" s="4">
        <v>34479</v>
      </c>
    </row>
    <row r="105" spans="1:35">
      <c r="A105">
        <v>104</v>
      </c>
      <c r="B105" t="str">
        <f>"002120"</f>
        <v>002120</v>
      </c>
      <c r="C105" t="s">
        <v>1306</v>
      </c>
      <c r="D105" s="4">
        <v>43190</v>
      </c>
      <c r="E105" t="s">
        <v>1307</v>
      </c>
      <c r="F105" t="s">
        <v>657</v>
      </c>
      <c r="G105" t="s">
        <v>360</v>
      </c>
      <c r="H105">
        <v>0.31</v>
      </c>
      <c r="I105">
        <v>7.19</v>
      </c>
      <c r="J105">
        <v>7.45</v>
      </c>
      <c r="K105" t="s">
        <v>1308</v>
      </c>
      <c r="L105">
        <v>40.44</v>
      </c>
      <c r="M105" t="s">
        <v>1309</v>
      </c>
      <c r="N105" t="s">
        <v>1310</v>
      </c>
      <c r="O105" t="s">
        <v>174</v>
      </c>
      <c r="P105" t="s">
        <v>78</v>
      </c>
      <c r="Q105">
        <v>44.74</v>
      </c>
      <c r="R105" t="s">
        <v>1164</v>
      </c>
      <c r="S105">
        <v>2.83</v>
      </c>
      <c r="T105">
        <v>26.01</v>
      </c>
      <c r="U105" t="s">
        <v>1311</v>
      </c>
      <c r="V105" t="s">
        <v>1312</v>
      </c>
      <c r="W105" t="s">
        <v>1313</v>
      </c>
      <c r="X105">
        <v>7.45</v>
      </c>
      <c r="Y105" t="s">
        <v>1314</v>
      </c>
      <c r="Z105" t="s">
        <v>940</v>
      </c>
      <c r="AA105" t="s">
        <v>1315</v>
      </c>
      <c r="AB105">
        <v>7.4</v>
      </c>
      <c r="AC105" t="s">
        <v>1316</v>
      </c>
      <c r="AD105">
        <v>60.28</v>
      </c>
      <c r="AE105" t="s">
        <v>1317</v>
      </c>
      <c r="AF105">
        <v>3.17</v>
      </c>
      <c r="AG105">
        <v>0</v>
      </c>
      <c r="AH105">
        <v>0</v>
      </c>
      <c r="AI105" s="4">
        <v>39147</v>
      </c>
    </row>
    <row r="106" spans="1:35">
      <c r="A106">
        <v>105</v>
      </c>
      <c r="B106" t="str">
        <f>"603568"</f>
        <v>603568</v>
      </c>
      <c r="C106" t="s">
        <v>1318</v>
      </c>
      <c r="D106" s="4">
        <v>43190</v>
      </c>
      <c r="E106" t="s">
        <v>1319</v>
      </c>
      <c r="F106" t="s">
        <v>487</v>
      </c>
      <c r="G106">
        <v>6543</v>
      </c>
      <c r="H106">
        <v>0.26</v>
      </c>
      <c r="I106">
        <v>3.37</v>
      </c>
      <c r="J106">
        <v>7.42</v>
      </c>
      <c r="K106" t="s">
        <v>1320</v>
      </c>
      <c r="L106">
        <v>52.56</v>
      </c>
      <c r="M106" t="s">
        <v>1264</v>
      </c>
      <c r="N106" t="s">
        <v>1321</v>
      </c>
      <c r="O106" t="s">
        <v>1264</v>
      </c>
      <c r="P106" t="s">
        <v>1202</v>
      </c>
      <c r="Q106">
        <v>47.37</v>
      </c>
      <c r="R106" t="s">
        <v>80</v>
      </c>
      <c r="S106">
        <v>1.89</v>
      </c>
      <c r="T106">
        <v>66.56</v>
      </c>
      <c r="U106" t="s">
        <v>1322</v>
      </c>
      <c r="V106" t="s">
        <v>192</v>
      </c>
      <c r="W106" t="s">
        <v>1323</v>
      </c>
      <c r="X106">
        <v>7.42</v>
      </c>
      <c r="Y106" t="s">
        <v>1052</v>
      </c>
      <c r="Z106" t="s">
        <v>1324</v>
      </c>
      <c r="AA106" t="s">
        <v>926</v>
      </c>
      <c r="AB106">
        <v>6.79</v>
      </c>
      <c r="AC106" t="s">
        <v>1294</v>
      </c>
      <c r="AD106">
        <v>60</v>
      </c>
      <c r="AE106" t="s">
        <v>478</v>
      </c>
      <c r="AF106">
        <v>0.41</v>
      </c>
      <c r="AG106">
        <v>0</v>
      </c>
      <c r="AH106">
        <v>0</v>
      </c>
      <c r="AI106" s="4">
        <v>42152</v>
      </c>
    </row>
    <row r="107" spans="1:35">
      <c r="A107">
        <v>106</v>
      </c>
      <c r="B107" t="str">
        <f>"000046"</f>
        <v>000046</v>
      </c>
      <c r="C107" t="s">
        <v>1325</v>
      </c>
      <c r="D107" s="4">
        <v>43190</v>
      </c>
      <c r="E107" t="s">
        <v>1326</v>
      </c>
      <c r="F107" t="s">
        <v>1327</v>
      </c>
      <c r="G107" t="s">
        <v>1328</v>
      </c>
      <c r="H107">
        <v>0.28999999999999998</v>
      </c>
      <c r="I107">
        <v>4.09</v>
      </c>
      <c r="J107">
        <v>7.35</v>
      </c>
      <c r="K107" t="s">
        <v>1329</v>
      </c>
      <c r="L107">
        <v>-15.87</v>
      </c>
      <c r="M107" t="s">
        <v>1330</v>
      </c>
      <c r="N107" t="s">
        <v>205</v>
      </c>
      <c r="O107" t="s">
        <v>115</v>
      </c>
      <c r="P107" t="s">
        <v>908</v>
      </c>
      <c r="Q107">
        <v>249.42</v>
      </c>
      <c r="R107" t="s">
        <v>1331</v>
      </c>
      <c r="S107">
        <v>1.73</v>
      </c>
      <c r="T107">
        <v>42.22</v>
      </c>
      <c r="U107" t="s">
        <v>1332</v>
      </c>
      <c r="V107" t="s">
        <v>1333</v>
      </c>
      <c r="W107" t="s">
        <v>895</v>
      </c>
      <c r="X107">
        <v>7.35</v>
      </c>
      <c r="Y107" t="s">
        <v>1334</v>
      </c>
      <c r="Z107" t="s">
        <v>1335</v>
      </c>
      <c r="AA107" t="s">
        <v>1336</v>
      </c>
      <c r="AB107">
        <v>1.53</v>
      </c>
      <c r="AC107" t="s">
        <v>1337</v>
      </c>
      <c r="AD107">
        <v>10.7</v>
      </c>
      <c r="AE107" t="s">
        <v>1338</v>
      </c>
      <c r="AF107">
        <v>1.01</v>
      </c>
      <c r="AG107">
        <v>0</v>
      </c>
      <c r="AH107">
        <v>0</v>
      </c>
      <c r="AI107" s="4">
        <v>34589</v>
      </c>
    </row>
    <row r="108" spans="1:35">
      <c r="A108">
        <v>107</v>
      </c>
      <c r="B108" t="str">
        <f>"300136"</f>
        <v>300136</v>
      </c>
      <c r="C108" t="s">
        <v>1339</v>
      </c>
      <c r="D108" s="4">
        <v>43190</v>
      </c>
      <c r="E108" t="s">
        <v>392</v>
      </c>
      <c r="F108" t="s">
        <v>1204</v>
      </c>
      <c r="G108" t="s">
        <v>1340</v>
      </c>
      <c r="H108">
        <v>0.21</v>
      </c>
      <c r="I108">
        <v>3.02</v>
      </c>
      <c r="J108">
        <v>7.33</v>
      </c>
      <c r="K108" t="s">
        <v>1341</v>
      </c>
      <c r="L108">
        <v>20.03</v>
      </c>
      <c r="M108" t="s">
        <v>474</v>
      </c>
      <c r="N108" t="s">
        <v>1342</v>
      </c>
      <c r="O108" t="s">
        <v>203</v>
      </c>
      <c r="P108" t="s">
        <v>118</v>
      </c>
      <c r="Q108">
        <v>2.82</v>
      </c>
      <c r="R108" t="s">
        <v>1343</v>
      </c>
      <c r="S108">
        <v>1.78</v>
      </c>
      <c r="T108">
        <v>37.32</v>
      </c>
      <c r="U108" t="s">
        <v>1344</v>
      </c>
      <c r="V108" t="s">
        <v>1345</v>
      </c>
      <c r="W108" t="s">
        <v>1346</v>
      </c>
      <c r="X108">
        <v>7.33</v>
      </c>
      <c r="Y108" t="s">
        <v>1347</v>
      </c>
      <c r="Z108" t="s">
        <v>1348</v>
      </c>
      <c r="AA108" t="s">
        <v>1349</v>
      </c>
      <c r="AB108">
        <v>9.92</v>
      </c>
      <c r="AC108" t="s">
        <v>1350</v>
      </c>
      <c r="AD108">
        <v>53.93</v>
      </c>
      <c r="AE108" t="s">
        <v>1028</v>
      </c>
      <c r="AF108">
        <v>0.36</v>
      </c>
      <c r="AG108">
        <v>0</v>
      </c>
      <c r="AH108">
        <v>0</v>
      </c>
      <c r="AI108" s="4">
        <v>40487</v>
      </c>
    </row>
    <row r="109" spans="1:35">
      <c r="A109">
        <v>108</v>
      </c>
      <c r="B109" t="str">
        <f>"603773"</f>
        <v>603773</v>
      </c>
      <c r="C109" t="s">
        <v>1351</v>
      </c>
      <c r="D109" s="4">
        <v>43190</v>
      </c>
      <c r="E109" t="s">
        <v>1352</v>
      </c>
      <c r="F109" t="s">
        <v>1353</v>
      </c>
      <c r="G109" t="s">
        <v>1354</v>
      </c>
      <c r="H109">
        <v>0.59</v>
      </c>
      <c r="I109">
        <v>16.149999999999999</v>
      </c>
      <c r="J109">
        <v>7.3</v>
      </c>
      <c r="K109" t="s">
        <v>64</v>
      </c>
      <c r="L109">
        <v>28.57</v>
      </c>
      <c r="M109" t="s">
        <v>1355</v>
      </c>
      <c r="N109">
        <v>0</v>
      </c>
      <c r="O109" t="s">
        <v>1356</v>
      </c>
      <c r="P109" t="s">
        <v>1357</v>
      </c>
      <c r="Q109">
        <v>13.67</v>
      </c>
      <c r="R109" t="s">
        <v>704</v>
      </c>
      <c r="S109">
        <v>4.58</v>
      </c>
      <c r="T109">
        <v>55.54</v>
      </c>
      <c r="U109" t="s">
        <v>978</v>
      </c>
      <c r="V109" t="s">
        <v>1358</v>
      </c>
      <c r="W109" t="s">
        <v>1359</v>
      </c>
      <c r="X109">
        <v>7.3</v>
      </c>
      <c r="Y109" t="s">
        <v>916</v>
      </c>
      <c r="Z109" t="s">
        <v>1360</v>
      </c>
      <c r="AA109" t="s">
        <v>1361</v>
      </c>
      <c r="AB109">
        <v>3.87</v>
      </c>
      <c r="AC109" t="s">
        <v>1362</v>
      </c>
      <c r="AD109">
        <v>76.98</v>
      </c>
      <c r="AE109" t="s">
        <v>126</v>
      </c>
      <c r="AF109">
        <v>10.199999999999999</v>
      </c>
      <c r="AG109">
        <v>0</v>
      </c>
      <c r="AH109">
        <v>0</v>
      </c>
      <c r="AI109" s="4">
        <v>43207</v>
      </c>
    </row>
    <row r="110" spans="1:35">
      <c r="A110">
        <v>109</v>
      </c>
      <c r="B110" t="str">
        <f>"600645"</f>
        <v>600645</v>
      </c>
      <c r="C110" t="s">
        <v>1363</v>
      </c>
      <c r="D110" s="4">
        <v>43190</v>
      </c>
      <c r="E110" t="s">
        <v>165</v>
      </c>
      <c r="F110" t="s">
        <v>165</v>
      </c>
      <c r="G110">
        <v>9163</v>
      </c>
      <c r="H110">
        <v>0.3</v>
      </c>
      <c r="I110">
        <v>4.1100000000000003</v>
      </c>
      <c r="J110">
        <v>7.25</v>
      </c>
      <c r="K110" t="s">
        <v>1364</v>
      </c>
      <c r="L110">
        <v>2.88</v>
      </c>
      <c r="M110" t="s">
        <v>1365</v>
      </c>
      <c r="N110" t="s">
        <v>197</v>
      </c>
      <c r="O110" t="s">
        <v>1365</v>
      </c>
      <c r="P110" t="s">
        <v>256</v>
      </c>
      <c r="Q110">
        <v>310.17</v>
      </c>
      <c r="R110" t="s">
        <v>1366</v>
      </c>
      <c r="S110">
        <v>0.47</v>
      </c>
      <c r="T110">
        <v>69.16</v>
      </c>
      <c r="U110" t="s">
        <v>570</v>
      </c>
      <c r="V110" t="s">
        <v>1073</v>
      </c>
      <c r="W110" t="s">
        <v>1058</v>
      </c>
      <c r="X110">
        <v>7.25</v>
      </c>
      <c r="Y110" t="s">
        <v>124</v>
      </c>
      <c r="Z110" t="s">
        <v>354</v>
      </c>
      <c r="AA110" t="s">
        <v>37</v>
      </c>
      <c r="AB110">
        <v>5.17</v>
      </c>
      <c r="AC110" t="s">
        <v>1367</v>
      </c>
      <c r="AD110">
        <v>51.97</v>
      </c>
      <c r="AE110" t="s">
        <v>1368</v>
      </c>
      <c r="AF110">
        <v>2.57</v>
      </c>
      <c r="AG110">
        <v>0</v>
      </c>
      <c r="AH110">
        <v>0</v>
      </c>
      <c r="AI110" s="4">
        <v>34093</v>
      </c>
    </row>
    <row r="111" spans="1:35">
      <c r="A111">
        <v>110</v>
      </c>
      <c r="B111" t="str">
        <f>"002833"</f>
        <v>002833</v>
      </c>
      <c r="C111" t="s">
        <v>1369</v>
      </c>
      <c r="D111" s="4">
        <v>43190</v>
      </c>
      <c r="E111" t="s">
        <v>1370</v>
      </c>
      <c r="F111" t="s">
        <v>1371</v>
      </c>
      <c r="G111">
        <v>7805</v>
      </c>
      <c r="H111">
        <v>0.52</v>
      </c>
      <c r="I111">
        <v>7.26</v>
      </c>
      <c r="J111">
        <v>7.24</v>
      </c>
      <c r="K111" t="s">
        <v>726</v>
      </c>
      <c r="L111">
        <v>36.75</v>
      </c>
      <c r="M111" t="s">
        <v>1372</v>
      </c>
      <c r="N111" t="s">
        <v>1373</v>
      </c>
      <c r="O111" t="s">
        <v>1372</v>
      </c>
      <c r="P111" t="s">
        <v>1374</v>
      </c>
      <c r="Q111">
        <v>31.38</v>
      </c>
      <c r="R111" t="s">
        <v>1128</v>
      </c>
      <c r="S111">
        <v>3.49</v>
      </c>
      <c r="T111">
        <v>35.840000000000003</v>
      </c>
      <c r="U111" t="s">
        <v>1033</v>
      </c>
      <c r="V111" t="s">
        <v>1375</v>
      </c>
      <c r="W111" t="s">
        <v>1376</v>
      </c>
      <c r="X111">
        <v>7.24</v>
      </c>
      <c r="Y111" t="s">
        <v>136</v>
      </c>
      <c r="Z111" t="s">
        <v>452</v>
      </c>
      <c r="AA111" t="s">
        <v>1377</v>
      </c>
      <c r="AB111">
        <v>7.57</v>
      </c>
      <c r="AC111" t="s">
        <v>1094</v>
      </c>
      <c r="AD111">
        <v>85.01</v>
      </c>
      <c r="AE111" t="s">
        <v>1378</v>
      </c>
      <c r="AF111">
        <v>2.57</v>
      </c>
      <c r="AG111">
        <v>0</v>
      </c>
      <c r="AH111">
        <v>0</v>
      </c>
      <c r="AI111" s="4">
        <v>42732</v>
      </c>
    </row>
    <row r="112" spans="1:35">
      <c r="A112">
        <v>111</v>
      </c>
      <c r="B112" t="str">
        <f>"002477"</f>
        <v>002477</v>
      </c>
      <c r="C112" t="s">
        <v>1379</v>
      </c>
      <c r="D112" s="4">
        <v>43190</v>
      </c>
      <c r="E112" t="s">
        <v>1380</v>
      </c>
      <c r="F112" t="s">
        <v>119</v>
      </c>
      <c r="G112" t="s">
        <v>1381</v>
      </c>
      <c r="H112">
        <v>0.11</v>
      </c>
      <c r="I112">
        <v>1.7</v>
      </c>
      <c r="J112">
        <v>7.24</v>
      </c>
      <c r="K112" t="s">
        <v>354</v>
      </c>
      <c r="L112">
        <v>-3.51</v>
      </c>
      <c r="M112" t="s">
        <v>545</v>
      </c>
      <c r="N112" t="s">
        <v>1382</v>
      </c>
      <c r="O112" t="s">
        <v>922</v>
      </c>
      <c r="P112" t="s">
        <v>1383</v>
      </c>
      <c r="Q112">
        <v>215.43</v>
      </c>
      <c r="R112" t="s">
        <v>1384</v>
      </c>
      <c r="S112">
        <v>0.45</v>
      </c>
      <c r="T112">
        <v>18.27</v>
      </c>
      <c r="U112" t="s">
        <v>1385</v>
      </c>
      <c r="V112" t="s">
        <v>311</v>
      </c>
      <c r="W112" t="s">
        <v>1386</v>
      </c>
      <c r="X112">
        <v>7.24</v>
      </c>
      <c r="Y112" t="s">
        <v>839</v>
      </c>
      <c r="Z112" t="s">
        <v>716</v>
      </c>
      <c r="AA112" t="s">
        <v>1387</v>
      </c>
      <c r="AB112">
        <v>1.95</v>
      </c>
      <c r="AC112" t="s">
        <v>1388</v>
      </c>
      <c r="AD112">
        <v>23.94</v>
      </c>
      <c r="AE112" t="s">
        <v>872</v>
      </c>
      <c r="AF112">
        <v>0.18</v>
      </c>
      <c r="AG112">
        <v>0</v>
      </c>
      <c r="AH112">
        <v>0</v>
      </c>
      <c r="AI112" s="4">
        <v>40436</v>
      </c>
    </row>
    <row r="113" spans="1:35">
      <c r="A113">
        <v>112</v>
      </c>
      <c r="B113" t="str">
        <f>"002075"</f>
        <v>002075</v>
      </c>
      <c r="C113" t="s">
        <v>1389</v>
      </c>
      <c r="D113" s="4">
        <v>43190</v>
      </c>
      <c r="E113" t="s">
        <v>1390</v>
      </c>
      <c r="F113" t="s">
        <v>1390</v>
      </c>
      <c r="G113" t="s">
        <v>549</v>
      </c>
      <c r="H113">
        <v>0.12</v>
      </c>
      <c r="I113">
        <v>1.65</v>
      </c>
      <c r="J113">
        <v>7.24</v>
      </c>
      <c r="K113" t="s">
        <v>1391</v>
      </c>
      <c r="L113">
        <v>16.04</v>
      </c>
      <c r="M113" t="s">
        <v>1392</v>
      </c>
      <c r="N113" t="s">
        <v>1393</v>
      </c>
      <c r="O113" t="s">
        <v>1394</v>
      </c>
      <c r="P113" t="s">
        <v>258</v>
      </c>
      <c r="Q113">
        <v>138.88</v>
      </c>
      <c r="R113" t="s">
        <v>980</v>
      </c>
      <c r="S113">
        <v>0.83</v>
      </c>
      <c r="T113">
        <v>22.68</v>
      </c>
      <c r="U113" t="s">
        <v>1220</v>
      </c>
      <c r="V113" t="s">
        <v>1395</v>
      </c>
      <c r="W113" t="s">
        <v>1396</v>
      </c>
      <c r="X113">
        <v>7.24</v>
      </c>
      <c r="Y113" t="s">
        <v>817</v>
      </c>
      <c r="Z113" t="s">
        <v>273</v>
      </c>
      <c r="AA113" t="s">
        <v>372</v>
      </c>
      <c r="AB113">
        <v>9.77</v>
      </c>
      <c r="AC113" t="s">
        <v>1397</v>
      </c>
      <c r="AD113">
        <v>37.4</v>
      </c>
      <c r="AE113" t="s">
        <v>1398</v>
      </c>
      <c r="AF113">
        <v>-0.28000000000000003</v>
      </c>
      <c r="AG113">
        <v>0</v>
      </c>
      <c r="AH113">
        <v>0</v>
      </c>
      <c r="AI113" s="4">
        <v>39015</v>
      </c>
    </row>
    <row r="114" spans="1:35">
      <c r="A114">
        <v>113</v>
      </c>
      <c r="B114" t="str">
        <f>"600681"</f>
        <v>600681</v>
      </c>
      <c r="C114" t="s">
        <v>1399</v>
      </c>
      <c r="D114" s="4">
        <v>43190</v>
      </c>
      <c r="E114" t="s">
        <v>978</v>
      </c>
      <c r="F114" t="s">
        <v>1400</v>
      </c>
      <c r="G114" t="s">
        <v>294</v>
      </c>
      <c r="H114">
        <v>0.28000000000000003</v>
      </c>
      <c r="I114">
        <v>3.63</v>
      </c>
      <c r="J114">
        <v>7.21</v>
      </c>
      <c r="K114" t="s">
        <v>847</v>
      </c>
      <c r="L114">
        <v>215.72</v>
      </c>
      <c r="M114" t="s">
        <v>976</v>
      </c>
      <c r="N114" t="s">
        <v>1401</v>
      </c>
      <c r="O114" t="s">
        <v>976</v>
      </c>
      <c r="P114" t="s">
        <v>1402</v>
      </c>
      <c r="Q114">
        <v>249.53</v>
      </c>
      <c r="R114" t="s">
        <v>691</v>
      </c>
      <c r="S114">
        <v>1.47</v>
      </c>
      <c r="T114">
        <v>22.64</v>
      </c>
      <c r="U114" t="s">
        <v>1403</v>
      </c>
      <c r="V114" t="s">
        <v>1404</v>
      </c>
      <c r="W114" t="s">
        <v>547</v>
      </c>
      <c r="X114">
        <v>7.21</v>
      </c>
      <c r="Y114" t="s">
        <v>774</v>
      </c>
      <c r="Z114" t="s">
        <v>516</v>
      </c>
      <c r="AA114" t="s">
        <v>1405</v>
      </c>
      <c r="AB114">
        <v>3.57</v>
      </c>
      <c r="AC114" t="s">
        <v>737</v>
      </c>
      <c r="AD114">
        <v>62.18</v>
      </c>
      <c r="AE114" t="s">
        <v>1307</v>
      </c>
      <c r="AF114">
        <v>1.28</v>
      </c>
      <c r="AG114">
        <v>0</v>
      </c>
      <c r="AH114">
        <v>0</v>
      </c>
      <c r="AI114" s="4">
        <v>34260</v>
      </c>
    </row>
    <row r="115" spans="1:35">
      <c r="A115">
        <v>114</v>
      </c>
      <c r="B115" t="str">
        <f>"002466"</f>
        <v>002466</v>
      </c>
      <c r="C115" t="s">
        <v>1406</v>
      </c>
      <c r="D115" s="4">
        <v>43190</v>
      </c>
      <c r="E115" t="s">
        <v>354</v>
      </c>
      <c r="F115" t="s">
        <v>354</v>
      </c>
      <c r="G115">
        <v>8977</v>
      </c>
      <c r="H115">
        <v>0.57999999999999996</v>
      </c>
      <c r="I115">
        <v>7.89</v>
      </c>
      <c r="J115">
        <v>7.21</v>
      </c>
      <c r="K115" t="s">
        <v>1190</v>
      </c>
      <c r="L115">
        <v>56.92</v>
      </c>
      <c r="M115" t="s">
        <v>295</v>
      </c>
      <c r="N115" t="s">
        <v>1407</v>
      </c>
      <c r="O115" t="s">
        <v>521</v>
      </c>
      <c r="P115" t="s">
        <v>1408</v>
      </c>
      <c r="Q115">
        <v>62.7</v>
      </c>
      <c r="R115" t="s">
        <v>1291</v>
      </c>
      <c r="S115">
        <v>3.54</v>
      </c>
      <c r="T115">
        <v>73.67</v>
      </c>
      <c r="U115" t="s">
        <v>1292</v>
      </c>
      <c r="V115" t="s">
        <v>636</v>
      </c>
      <c r="W115" t="s">
        <v>538</v>
      </c>
      <c r="X115">
        <v>7.21</v>
      </c>
      <c r="Y115" t="s">
        <v>1409</v>
      </c>
      <c r="Z115" t="s">
        <v>242</v>
      </c>
      <c r="AA115" t="s">
        <v>1410</v>
      </c>
      <c r="AB115">
        <v>6.97</v>
      </c>
      <c r="AC115" t="s">
        <v>1411</v>
      </c>
      <c r="AD115">
        <v>51.39</v>
      </c>
      <c r="AE115" t="s">
        <v>1412</v>
      </c>
      <c r="AF115">
        <v>3.68</v>
      </c>
      <c r="AG115">
        <v>0</v>
      </c>
      <c r="AH115">
        <v>0</v>
      </c>
      <c r="AI115" s="4">
        <v>40421</v>
      </c>
    </row>
    <row r="116" spans="1:35">
      <c r="A116">
        <v>115</v>
      </c>
      <c r="B116" t="str">
        <f>"000672"</f>
        <v>000672</v>
      </c>
      <c r="C116" t="s">
        <v>1413</v>
      </c>
      <c r="D116" s="4">
        <v>43190</v>
      </c>
      <c r="E116" t="s">
        <v>1414</v>
      </c>
      <c r="F116" t="s">
        <v>1414</v>
      </c>
      <c r="G116" t="s">
        <v>779</v>
      </c>
      <c r="H116">
        <v>0.2</v>
      </c>
      <c r="I116">
        <v>2.86</v>
      </c>
      <c r="J116">
        <v>7.14</v>
      </c>
      <c r="K116" t="s">
        <v>1415</v>
      </c>
      <c r="L116">
        <v>9.52</v>
      </c>
      <c r="M116" t="s">
        <v>696</v>
      </c>
      <c r="N116" t="s">
        <v>1416</v>
      </c>
      <c r="O116" t="s">
        <v>1417</v>
      </c>
      <c r="P116" t="s">
        <v>1360</v>
      </c>
      <c r="Q116">
        <v>89.33</v>
      </c>
      <c r="R116" t="s">
        <v>578</v>
      </c>
      <c r="S116">
        <v>2.69</v>
      </c>
      <c r="T116">
        <v>39.42</v>
      </c>
      <c r="U116" t="s">
        <v>1418</v>
      </c>
      <c r="V116" t="s">
        <v>356</v>
      </c>
      <c r="W116" t="s">
        <v>865</v>
      </c>
      <c r="X116">
        <v>7.14</v>
      </c>
      <c r="Y116" t="s">
        <v>1419</v>
      </c>
      <c r="Z116" t="s">
        <v>884</v>
      </c>
      <c r="AA116" t="s">
        <v>202</v>
      </c>
      <c r="AB116">
        <v>3.1</v>
      </c>
      <c r="AC116" t="s">
        <v>1213</v>
      </c>
      <c r="AD116">
        <v>38.119999999999997</v>
      </c>
      <c r="AE116" t="s">
        <v>1420</v>
      </c>
      <c r="AF116">
        <v>-1.18</v>
      </c>
      <c r="AG116">
        <v>0</v>
      </c>
      <c r="AH116">
        <v>0</v>
      </c>
      <c r="AI116" s="4">
        <v>35417</v>
      </c>
    </row>
    <row r="117" spans="1:35">
      <c r="A117">
        <v>116</v>
      </c>
      <c r="B117" t="str">
        <f>"600609"</f>
        <v>600609</v>
      </c>
      <c r="C117" t="s">
        <v>1421</v>
      </c>
      <c r="D117" s="4">
        <v>43190</v>
      </c>
      <c r="E117" t="s">
        <v>1223</v>
      </c>
      <c r="F117" t="s">
        <v>1223</v>
      </c>
      <c r="G117" t="s">
        <v>1422</v>
      </c>
      <c r="H117">
        <v>0.02</v>
      </c>
      <c r="I117">
        <v>0.27</v>
      </c>
      <c r="J117">
        <v>7.12</v>
      </c>
      <c r="K117" t="s">
        <v>971</v>
      </c>
      <c r="L117">
        <v>9.82</v>
      </c>
      <c r="M117" t="s">
        <v>1423</v>
      </c>
      <c r="N117" t="s">
        <v>1424</v>
      </c>
      <c r="O117" t="s">
        <v>443</v>
      </c>
      <c r="P117" t="s">
        <v>1425</v>
      </c>
      <c r="Q117">
        <v>137.91</v>
      </c>
      <c r="R117" t="s">
        <v>1426</v>
      </c>
      <c r="S117">
        <v>-2.21</v>
      </c>
      <c r="T117">
        <v>12.62</v>
      </c>
      <c r="U117" t="s">
        <v>1427</v>
      </c>
      <c r="V117" t="s">
        <v>524</v>
      </c>
      <c r="W117" t="s">
        <v>1157</v>
      </c>
      <c r="X117">
        <v>7.12</v>
      </c>
      <c r="Y117" t="s">
        <v>573</v>
      </c>
      <c r="Z117" t="s">
        <v>818</v>
      </c>
      <c r="AA117" t="s">
        <v>304</v>
      </c>
      <c r="AB117">
        <v>14.91</v>
      </c>
      <c r="AC117" t="s">
        <v>535</v>
      </c>
      <c r="AD117">
        <v>5.03</v>
      </c>
      <c r="AE117" t="s">
        <v>192</v>
      </c>
      <c r="AF117">
        <v>1.07</v>
      </c>
      <c r="AG117">
        <v>0</v>
      </c>
      <c r="AH117">
        <v>0</v>
      </c>
      <c r="AI117" s="4">
        <v>33809</v>
      </c>
    </row>
    <row r="118" spans="1:35">
      <c r="A118">
        <v>117</v>
      </c>
      <c r="B118" t="str">
        <f>"300700"</f>
        <v>300700</v>
      </c>
      <c r="C118" t="s">
        <v>1428</v>
      </c>
      <c r="D118" s="4">
        <v>43190</v>
      </c>
      <c r="E118" t="s">
        <v>1429</v>
      </c>
      <c r="F118" t="s">
        <v>1430</v>
      </c>
      <c r="G118">
        <v>1541</v>
      </c>
      <c r="H118">
        <v>0.47</v>
      </c>
      <c r="I118">
        <v>6.35</v>
      </c>
      <c r="J118">
        <v>7.11</v>
      </c>
      <c r="K118" t="s">
        <v>326</v>
      </c>
      <c r="L118">
        <v>168.12</v>
      </c>
      <c r="M118" t="s">
        <v>1431</v>
      </c>
      <c r="N118" t="s">
        <v>1432</v>
      </c>
      <c r="O118" t="s">
        <v>1433</v>
      </c>
      <c r="P118" t="s">
        <v>1434</v>
      </c>
      <c r="Q118">
        <v>265.64999999999998</v>
      </c>
      <c r="R118" t="s">
        <v>844</v>
      </c>
      <c r="S118">
        <v>2.1800000000000002</v>
      </c>
      <c r="T118">
        <v>50.05</v>
      </c>
      <c r="U118" t="s">
        <v>978</v>
      </c>
      <c r="V118" t="s">
        <v>846</v>
      </c>
      <c r="W118" t="s">
        <v>1435</v>
      </c>
      <c r="X118">
        <v>7.11</v>
      </c>
      <c r="Y118" t="s">
        <v>1436</v>
      </c>
      <c r="Z118" t="s">
        <v>1317</v>
      </c>
      <c r="AA118" t="s">
        <v>1437</v>
      </c>
      <c r="AB118">
        <v>8.81</v>
      </c>
      <c r="AC118" t="s">
        <v>1438</v>
      </c>
      <c r="AD118">
        <v>52.96</v>
      </c>
      <c r="AE118" t="s">
        <v>668</v>
      </c>
      <c r="AF118">
        <v>2.9</v>
      </c>
      <c r="AG118">
        <v>0</v>
      </c>
      <c r="AH118">
        <v>0</v>
      </c>
      <c r="AI118" s="4">
        <v>42990</v>
      </c>
    </row>
    <row r="119" spans="1:35">
      <c r="A119">
        <v>118</v>
      </c>
      <c r="B119" t="str">
        <f>"300146"</f>
        <v>300146</v>
      </c>
      <c r="C119" t="s">
        <v>1439</v>
      </c>
      <c r="D119" s="4">
        <v>43190</v>
      </c>
      <c r="E119" t="s">
        <v>80</v>
      </c>
      <c r="F119" t="s">
        <v>421</v>
      </c>
      <c r="G119" t="s">
        <v>1440</v>
      </c>
      <c r="H119">
        <v>0.25</v>
      </c>
      <c r="I119">
        <v>3.06</v>
      </c>
      <c r="J119">
        <v>7.1</v>
      </c>
      <c r="K119" t="s">
        <v>295</v>
      </c>
      <c r="L119">
        <v>45.03</v>
      </c>
      <c r="M119" t="s">
        <v>1358</v>
      </c>
      <c r="N119" t="s">
        <v>1441</v>
      </c>
      <c r="O119" t="s">
        <v>1358</v>
      </c>
      <c r="P119" t="s">
        <v>1035</v>
      </c>
      <c r="Q119">
        <v>31.39</v>
      </c>
      <c r="R119" t="s">
        <v>625</v>
      </c>
      <c r="S119">
        <v>0.49</v>
      </c>
      <c r="T119">
        <v>67.61</v>
      </c>
      <c r="U119" t="s">
        <v>1442</v>
      </c>
      <c r="V119" t="s">
        <v>1443</v>
      </c>
      <c r="W119" t="s">
        <v>1444</v>
      </c>
      <c r="X119">
        <v>7.1</v>
      </c>
      <c r="Y119" t="s">
        <v>926</v>
      </c>
      <c r="Z119" t="s">
        <v>264</v>
      </c>
      <c r="AA119" t="s">
        <v>1445</v>
      </c>
      <c r="AB119">
        <v>5.42</v>
      </c>
      <c r="AC119" t="s">
        <v>1446</v>
      </c>
      <c r="AD119">
        <v>79.05</v>
      </c>
      <c r="AE119" t="s">
        <v>712</v>
      </c>
      <c r="AF119">
        <v>1.38</v>
      </c>
      <c r="AG119">
        <v>0</v>
      </c>
      <c r="AH119">
        <v>0</v>
      </c>
      <c r="AI119" s="4">
        <v>40527</v>
      </c>
    </row>
    <row r="120" spans="1:35">
      <c r="A120">
        <v>119</v>
      </c>
      <c r="B120" t="str">
        <f>"601918"</f>
        <v>601918</v>
      </c>
      <c r="C120" t="s">
        <v>1447</v>
      </c>
      <c r="D120" s="4">
        <v>43190</v>
      </c>
      <c r="E120" t="s">
        <v>512</v>
      </c>
      <c r="F120" t="s">
        <v>512</v>
      </c>
      <c r="G120" t="s">
        <v>1448</v>
      </c>
      <c r="H120">
        <v>0.14000000000000001</v>
      </c>
      <c r="I120">
        <v>2.0099999999999998</v>
      </c>
      <c r="J120">
        <v>7.08</v>
      </c>
      <c r="K120" t="s">
        <v>1449</v>
      </c>
      <c r="L120">
        <v>24.86</v>
      </c>
      <c r="M120" t="s">
        <v>1450</v>
      </c>
      <c r="N120" t="s">
        <v>1451</v>
      </c>
      <c r="O120" t="s">
        <v>1002</v>
      </c>
      <c r="P120" t="s">
        <v>139</v>
      </c>
      <c r="Q120">
        <v>94.99</v>
      </c>
      <c r="R120" t="s">
        <v>1452</v>
      </c>
      <c r="S120">
        <v>-0.19</v>
      </c>
      <c r="T120">
        <v>48.31</v>
      </c>
      <c r="U120" t="s">
        <v>394</v>
      </c>
      <c r="V120" t="s">
        <v>1391</v>
      </c>
      <c r="W120" t="s">
        <v>1453</v>
      </c>
      <c r="X120">
        <v>7.08</v>
      </c>
      <c r="Y120" t="s">
        <v>1454</v>
      </c>
      <c r="Z120" t="s">
        <v>580</v>
      </c>
      <c r="AA120" t="s">
        <v>794</v>
      </c>
      <c r="AB120">
        <v>1.75</v>
      </c>
      <c r="AC120" t="s">
        <v>1326</v>
      </c>
      <c r="AD120">
        <v>16.5</v>
      </c>
      <c r="AE120" t="s">
        <v>1455</v>
      </c>
      <c r="AF120">
        <v>0.7</v>
      </c>
      <c r="AG120">
        <v>0</v>
      </c>
      <c r="AH120">
        <v>0</v>
      </c>
      <c r="AI120" s="4">
        <v>39435</v>
      </c>
    </row>
    <row r="121" spans="1:35">
      <c r="A121">
        <v>120</v>
      </c>
      <c r="B121" t="str">
        <f>"300568"</f>
        <v>300568</v>
      </c>
      <c r="C121" t="s">
        <v>1456</v>
      </c>
      <c r="D121" s="4">
        <v>43190</v>
      </c>
      <c r="E121" t="s">
        <v>255</v>
      </c>
      <c r="F121" t="s">
        <v>86</v>
      </c>
      <c r="G121">
        <v>8549</v>
      </c>
      <c r="H121">
        <v>0.47</v>
      </c>
      <c r="I121">
        <v>7.06</v>
      </c>
      <c r="J121">
        <v>7.06</v>
      </c>
      <c r="K121" t="s">
        <v>1457</v>
      </c>
      <c r="L121">
        <v>43.24</v>
      </c>
      <c r="M121" t="s">
        <v>1458</v>
      </c>
      <c r="N121">
        <v>0</v>
      </c>
      <c r="O121" t="s">
        <v>1459</v>
      </c>
      <c r="P121" t="s">
        <v>1460</v>
      </c>
      <c r="Q121">
        <v>158.13</v>
      </c>
      <c r="R121" t="s">
        <v>1461</v>
      </c>
      <c r="S121">
        <v>1.91</v>
      </c>
      <c r="T121">
        <v>53.02</v>
      </c>
      <c r="U121" t="s">
        <v>685</v>
      </c>
      <c r="V121" t="s">
        <v>747</v>
      </c>
      <c r="W121" t="s">
        <v>1462</v>
      </c>
      <c r="X121">
        <v>7.06</v>
      </c>
      <c r="Y121" t="s">
        <v>759</v>
      </c>
      <c r="Z121" t="s">
        <v>108</v>
      </c>
      <c r="AA121" t="s">
        <v>460</v>
      </c>
      <c r="AB121">
        <v>4.78</v>
      </c>
      <c r="AC121" t="s">
        <v>350</v>
      </c>
      <c r="AD121">
        <v>47.54</v>
      </c>
      <c r="AE121" t="s">
        <v>46</v>
      </c>
      <c r="AF121">
        <v>3.84</v>
      </c>
      <c r="AG121">
        <v>0</v>
      </c>
      <c r="AH121">
        <v>0</v>
      </c>
      <c r="AI121" s="4">
        <v>42705</v>
      </c>
    </row>
    <row r="122" spans="1:35">
      <c r="A122">
        <v>121</v>
      </c>
      <c r="B122" t="str">
        <f>"000895"</f>
        <v>000895</v>
      </c>
      <c r="C122" t="s">
        <v>1463</v>
      </c>
      <c r="D122" s="4">
        <v>43190</v>
      </c>
      <c r="E122" t="s">
        <v>461</v>
      </c>
      <c r="F122" t="s">
        <v>461</v>
      </c>
      <c r="G122" t="s">
        <v>1464</v>
      </c>
      <c r="H122">
        <v>0.32</v>
      </c>
      <c r="I122">
        <v>3.66</v>
      </c>
      <c r="J122">
        <v>7.02</v>
      </c>
      <c r="K122" t="s">
        <v>1465</v>
      </c>
      <c r="L122">
        <v>-1.38</v>
      </c>
      <c r="M122" t="s">
        <v>1214</v>
      </c>
      <c r="N122" t="s">
        <v>1466</v>
      </c>
      <c r="O122" t="s">
        <v>1384</v>
      </c>
      <c r="P122" t="s">
        <v>521</v>
      </c>
      <c r="Q122">
        <v>21.09</v>
      </c>
      <c r="R122" t="s">
        <v>1467</v>
      </c>
      <c r="S122">
        <v>1.53</v>
      </c>
      <c r="T122">
        <v>19.72</v>
      </c>
      <c r="U122" t="s">
        <v>1468</v>
      </c>
      <c r="V122" t="s">
        <v>900</v>
      </c>
      <c r="W122" t="s">
        <v>466</v>
      </c>
      <c r="X122">
        <v>7.02</v>
      </c>
      <c r="Y122" t="s">
        <v>930</v>
      </c>
      <c r="Z122" t="s">
        <v>1469</v>
      </c>
      <c r="AA122" t="s">
        <v>1364</v>
      </c>
      <c r="AB122">
        <v>7.14</v>
      </c>
      <c r="AC122" t="s">
        <v>587</v>
      </c>
      <c r="AD122">
        <v>66.8</v>
      </c>
      <c r="AE122" t="s">
        <v>183</v>
      </c>
      <c r="AF122">
        <v>0.56999999999999995</v>
      </c>
      <c r="AG122">
        <v>0</v>
      </c>
      <c r="AH122">
        <v>0</v>
      </c>
      <c r="AI122" s="4">
        <v>36139</v>
      </c>
    </row>
    <row r="123" spans="1:35">
      <c r="A123">
        <v>122</v>
      </c>
      <c r="B123" t="str">
        <f>"600719"</f>
        <v>600719</v>
      </c>
      <c r="C123" t="s">
        <v>1470</v>
      </c>
      <c r="D123" s="4">
        <v>43190</v>
      </c>
      <c r="E123" t="s">
        <v>338</v>
      </c>
      <c r="F123" t="s">
        <v>338</v>
      </c>
      <c r="G123" t="s">
        <v>1471</v>
      </c>
      <c r="H123">
        <v>0.13</v>
      </c>
      <c r="I123">
        <v>1.92</v>
      </c>
      <c r="J123">
        <v>7</v>
      </c>
      <c r="K123" t="s">
        <v>335</v>
      </c>
      <c r="L123">
        <v>2.08</v>
      </c>
      <c r="M123" t="s">
        <v>1472</v>
      </c>
      <c r="N123">
        <v>0</v>
      </c>
      <c r="O123" t="s">
        <v>1473</v>
      </c>
      <c r="P123" t="s">
        <v>1474</v>
      </c>
      <c r="Q123">
        <v>-8.24</v>
      </c>
      <c r="R123" t="s">
        <v>1475</v>
      </c>
      <c r="S123">
        <v>0.26</v>
      </c>
      <c r="T123">
        <v>23.52</v>
      </c>
      <c r="U123" t="s">
        <v>847</v>
      </c>
      <c r="V123" t="s">
        <v>1476</v>
      </c>
      <c r="W123" t="s">
        <v>650</v>
      </c>
      <c r="X123">
        <v>7</v>
      </c>
      <c r="Y123" t="s">
        <v>1477</v>
      </c>
      <c r="Z123" t="s">
        <v>175</v>
      </c>
      <c r="AA123" t="s">
        <v>1478</v>
      </c>
      <c r="AB123">
        <v>2.19</v>
      </c>
      <c r="AC123" t="s">
        <v>1019</v>
      </c>
      <c r="AD123">
        <v>48.86</v>
      </c>
      <c r="AE123" t="s">
        <v>533</v>
      </c>
      <c r="AF123">
        <v>0.25</v>
      </c>
      <c r="AG123">
        <v>0</v>
      </c>
      <c r="AH123">
        <v>0</v>
      </c>
      <c r="AI123" s="4">
        <v>35262</v>
      </c>
    </row>
    <row r="124" spans="1:35">
      <c r="A124">
        <v>123</v>
      </c>
      <c r="B124" t="str">
        <f>"000789"</f>
        <v>000789</v>
      </c>
      <c r="C124" t="s">
        <v>1479</v>
      </c>
      <c r="D124" s="4">
        <v>43190</v>
      </c>
      <c r="E124" t="s">
        <v>1480</v>
      </c>
      <c r="F124" t="s">
        <v>1480</v>
      </c>
      <c r="G124">
        <v>9410</v>
      </c>
      <c r="H124">
        <v>0.37</v>
      </c>
      <c r="I124">
        <v>5.08</v>
      </c>
      <c r="J124">
        <v>7</v>
      </c>
      <c r="K124" t="s">
        <v>79</v>
      </c>
      <c r="L124">
        <v>48.79</v>
      </c>
      <c r="M124" t="s">
        <v>1481</v>
      </c>
      <c r="N124" t="s">
        <v>1482</v>
      </c>
      <c r="O124" t="s">
        <v>1483</v>
      </c>
      <c r="P124" t="s">
        <v>1484</v>
      </c>
      <c r="Q124">
        <v>3358.7</v>
      </c>
      <c r="R124" t="s">
        <v>578</v>
      </c>
      <c r="S124">
        <v>3.35</v>
      </c>
      <c r="T124">
        <v>36.72</v>
      </c>
      <c r="U124" t="s">
        <v>1485</v>
      </c>
      <c r="V124" t="s">
        <v>907</v>
      </c>
      <c r="W124" t="s">
        <v>1031</v>
      </c>
      <c r="X124">
        <v>7</v>
      </c>
      <c r="Y124" t="s">
        <v>1486</v>
      </c>
      <c r="Z124" t="s">
        <v>570</v>
      </c>
      <c r="AA124" t="s">
        <v>1487</v>
      </c>
      <c r="AB124">
        <v>2.13</v>
      </c>
      <c r="AC124" t="s">
        <v>1488</v>
      </c>
      <c r="AD124">
        <v>38.04</v>
      </c>
      <c r="AE124" t="s">
        <v>1489</v>
      </c>
      <c r="AF124">
        <v>0.39</v>
      </c>
      <c r="AG124">
        <v>0</v>
      </c>
      <c r="AH124">
        <v>0</v>
      </c>
      <c r="AI124" s="4">
        <v>35696</v>
      </c>
    </row>
    <row r="125" spans="1:35">
      <c r="A125">
        <v>124</v>
      </c>
      <c r="B125" t="str">
        <f>"000418"</f>
        <v>000418</v>
      </c>
      <c r="C125" t="s">
        <v>1490</v>
      </c>
      <c r="D125" s="4">
        <v>43190</v>
      </c>
      <c r="E125" t="s">
        <v>1491</v>
      </c>
      <c r="F125" t="s">
        <v>142</v>
      </c>
      <c r="G125">
        <v>0</v>
      </c>
      <c r="H125">
        <v>0.81</v>
      </c>
      <c r="I125">
        <v>10.98</v>
      </c>
      <c r="J125">
        <v>7</v>
      </c>
      <c r="K125" t="s">
        <v>1253</v>
      </c>
      <c r="L125">
        <v>19.71</v>
      </c>
      <c r="M125" t="s">
        <v>741</v>
      </c>
      <c r="N125" t="s">
        <v>1492</v>
      </c>
      <c r="O125" t="s">
        <v>1493</v>
      </c>
      <c r="P125" t="s">
        <v>1309</v>
      </c>
      <c r="Q125">
        <v>28.66</v>
      </c>
      <c r="R125" t="s">
        <v>1494</v>
      </c>
      <c r="S125">
        <v>7.38</v>
      </c>
      <c r="T125">
        <v>27.26</v>
      </c>
      <c r="U125" t="s">
        <v>1495</v>
      </c>
      <c r="V125" t="s">
        <v>962</v>
      </c>
      <c r="W125" t="s">
        <v>1496</v>
      </c>
      <c r="X125">
        <v>7</v>
      </c>
      <c r="Y125" t="s">
        <v>404</v>
      </c>
      <c r="Z125" t="s">
        <v>404</v>
      </c>
      <c r="AA125" t="s">
        <v>1497</v>
      </c>
      <c r="AB125">
        <v>6.05</v>
      </c>
      <c r="AC125" t="s">
        <v>1498</v>
      </c>
      <c r="AD125">
        <v>37.51</v>
      </c>
      <c r="AE125" t="s">
        <v>1082</v>
      </c>
      <c r="AF125">
        <v>2.0099999999999998</v>
      </c>
      <c r="AG125" t="s">
        <v>608</v>
      </c>
      <c r="AH125">
        <v>0</v>
      </c>
      <c r="AI125" s="4">
        <v>35517</v>
      </c>
    </row>
    <row r="126" spans="1:35">
      <c r="A126">
        <v>125</v>
      </c>
      <c r="B126" t="str">
        <f>"603868"</f>
        <v>603868</v>
      </c>
      <c r="C126" t="s">
        <v>1499</v>
      </c>
      <c r="D126" s="4">
        <v>43190</v>
      </c>
      <c r="E126" t="s">
        <v>346</v>
      </c>
      <c r="F126" t="s">
        <v>1500</v>
      </c>
      <c r="G126">
        <v>3552</v>
      </c>
      <c r="H126">
        <v>0.4</v>
      </c>
      <c r="I126">
        <v>4.43</v>
      </c>
      <c r="J126">
        <v>6.98</v>
      </c>
      <c r="K126" t="s">
        <v>274</v>
      </c>
      <c r="L126">
        <v>-5.93</v>
      </c>
      <c r="M126" t="s">
        <v>985</v>
      </c>
      <c r="N126" t="s">
        <v>1501</v>
      </c>
      <c r="O126" t="s">
        <v>1245</v>
      </c>
      <c r="P126" t="s">
        <v>1200</v>
      </c>
      <c r="Q126">
        <v>-12.99</v>
      </c>
      <c r="R126" t="s">
        <v>548</v>
      </c>
      <c r="S126">
        <v>1.35</v>
      </c>
      <c r="T126">
        <v>37.869999999999997</v>
      </c>
      <c r="U126" t="s">
        <v>907</v>
      </c>
      <c r="V126" t="s">
        <v>1029</v>
      </c>
      <c r="W126" t="s">
        <v>1502</v>
      </c>
      <c r="X126">
        <v>6.98</v>
      </c>
      <c r="Y126" t="s">
        <v>872</v>
      </c>
      <c r="Z126" t="s">
        <v>68</v>
      </c>
      <c r="AA126" t="s">
        <v>1503</v>
      </c>
      <c r="AB126">
        <v>11.05</v>
      </c>
      <c r="AC126" t="s">
        <v>1504</v>
      </c>
      <c r="AD126">
        <v>81.87</v>
      </c>
      <c r="AE126" t="s">
        <v>1319</v>
      </c>
      <c r="AF126">
        <v>1.58</v>
      </c>
      <c r="AG126">
        <v>0</v>
      </c>
      <c r="AH126">
        <v>0</v>
      </c>
      <c r="AI126" s="4">
        <v>42478</v>
      </c>
    </row>
    <row r="127" spans="1:35">
      <c r="A127">
        <v>126</v>
      </c>
      <c r="B127" t="str">
        <f>"603899"</f>
        <v>603899</v>
      </c>
      <c r="C127" t="s">
        <v>1505</v>
      </c>
      <c r="D127" s="4">
        <v>43190</v>
      </c>
      <c r="E127" t="s">
        <v>1506</v>
      </c>
      <c r="F127" t="s">
        <v>1506</v>
      </c>
      <c r="G127" t="s">
        <v>1507</v>
      </c>
      <c r="H127">
        <v>0.22</v>
      </c>
      <c r="I127">
        <v>3.05</v>
      </c>
      <c r="J127">
        <v>6.97</v>
      </c>
      <c r="K127" t="s">
        <v>980</v>
      </c>
      <c r="L127">
        <v>30.25</v>
      </c>
      <c r="M127" t="s">
        <v>1484</v>
      </c>
      <c r="N127" t="s">
        <v>1508</v>
      </c>
      <c r="O127" t="s">
        <v>1489</v>
      </c>
      <c r="P127" t="s">
        <v>844</v>
      </c>
      <c r="Q127">
        <v>23.22</v>
      </c>
      <c r="R127" t="s">
        <v>1367</v>
      </c>
      <c r="S127">
        <v>1.46</v>
      </c>
      <c r="T127">
        <v>27.19</v>
      </c>
      <c r="U127" t="s">
        <v>1170</v>
      </c>
      <c r="V127" t="s">
        <v>1158</v>
      </c>
      <c r="W127" t="s">
        <v>1509</v>
      </c>
      <c r="X127">
        <v>6.97</v>
      </c>
      <c r="Y127" t="s">
        <v>264</v>
      </c>
      <c r="Z127" t="s">
        <v>835</v>
      </c>
      <c r="AA127" t="s">
        <v>1510</v>
      </c>
      <c r="AB127">
        <v>10.07</v>
      </c>
      <c r="AC127" t="s">
        <v>1161</v>
      </c>
      <c r="AD127">
        <v>70.22</v>
      </c>
      <c r="AE127" t="s">
        <v>1511</v>
      </c>
      <c r="AF127">
        <v>0.3</v>
      </c>
      <c r="AG127">
        <v>0</v>
      </c>
      <c r="AH127">
        <v>0</v>
      </c>
      <c r="AI127" s="4">
        <v>42031</v>
      </c>
    </row>
    <row r="128" spans="1:35">
      <c r="A128">
        <v>127</v>
      </c>
      <c r="B128" t="str">
        <f>"600298"</f>
        <v>600298</v>
      </c>
      <c r="C128" t="s">
        <v>1512</v>
      </c>
      <c r="D128" s="4">
        <v>43190</v>
      </c>
      <c r="E128" t="s">
        <v>909</v>
      </c>
      <c r="F128" t="s">
        <v>909</v>
      </c>
      <c r="G128" t="s">
        <v>168</v>
      </c>
      <c r="H128">
        <v>0.34</v>
      </c>
      <c r="I128">
        <v>4.5999999999999996</v>
      </c>
      <c r="J128">
        <v>6.97</v>
      </c>
      <c r="K128" t="s">
        <v>1244</v>
      </c>
      <c r="L128">
        <v>14.9</v>
      </c>
      <c r="M128" t="s">
        <v>205</v>
      </c>
      <c r="N128" t="s">
        <v>1513</v>
      </c>
      <c r="O128" t="s">
        <v>120</v>
      </c>
      <c r="P128" t="s">
        <v>91</v>
      </c>
      <c r="Q128">
        <v>30.24</v>
      </c>
      <c r="R128" t="s">
        <v>1308</v>
      </c>
      <c r="S128">
        <v>2.88</v>
      </c>
      <c r="T128">
        <v>36.729999999999997</v>
      </c>
      <c r="U128" t="s">
        <v>1514</v>
      </c>
      <c r="V128" t="s">
        <v>1515</v>
      </c>
      <c r="W128" t="s">
        <v>1233</v>
      </c>
      <c r="X128">
        <v>6.97</v>
      </c>
      <c r="Y128" t="s">
        <v>1133</v>
      </c>
      <c r="Z128" t="s">
        <v>1516</v>
      </c>
      <c r="AA128" t="s">
        <v>176</v>
      </c>
      <c r="AB128">
        <v>7.76</v>
      </c>
      <c r="AC128" t="s">
        <v>1517</v>
      </c>
      <c r="AD128">
        <v>49.91</v>
      </c>
      <c r="AE128" t="s">
        <v>1518</v>
      </c>
      <c r="AF128">
        <v>0.79</v>
      </c>
      <c r="AG128">
        <v>0</v>
      </c>
      <c r="AH128">
        <v>0</v>
      </c>
      <c r="AI128" s="4">
        <v>36756</v>
      </c>
    </row>
    <row r="129" spans="1:35">
      <c r="A129">
        <v>128</v>
      </c>
      <c r="B129" t="str">
        <f>"601801"</f>
        <v>601801</v>
      </c>
      <c r="C129" t="s">
        <v>1519</v>
      </c>
      <c r="D129" s="4">
        <v>43190</v>
      </c>
      <c r="E129" t="s">
        <v>119</v>
      </c>
      <c r="F129" t="s">
        <v>119</v>
      </c>
      <c r="G129" t="s">
        <v>1520</v>
      </c>
      <c r="H129">
        <v>0.33</v>
      </c>
      <c r="I129">
        <v>5.01</v>
      </c>
      <c r="J129">
        <v>6.9</v>
      </c>
      <c r="K129" t="s">
        <v>1449</v>
      </c>
      <c r="L129">
        <v>16.61</v>
      </c>
      <c r="M129" t="s">
        <v>1521</v>
      </c>
      <c r="N129" t="s">
        <v>1522</v>
      </c>
      <c r="O129" t="s">
        <v>563</v>
      </c>
      <c r="P129" t="s">
        <v>1523</v>
      </c>
      <c r="Q129">
        <v>5.34</v>
      </c>
      <c r="R129" t="s">
        <v>1231</v>
      </c>
      <c r="S129">
        <v>2.34</v>
      </c>
      <c r="T129">
        <v>20.149999999999999</v>
      </c>
      <c r="U129" t="s">
        <v>1524</v>
      </c>
      <c r="V129" t="s">
        <v>716</v>
      </c>
      <c r="W129" t="s">
        <v>679</v>
      </c>
      <c r="X129">
        <v>6.9</v>
      </c>
      <c r="Y129" t="s">
        <v>946</v>
      </c>
      <c r="Z129" t="s">
        <v>583</v>
      </c>
      <c r="AA129" t="s">
        <v>1525</v>
      </c>
      <c r="AB129">
        <v>1.57</v>
      </c>
      <c r="AC129" t="s">
        <v>1526</v>
      </c>
      <c r="AD129">
        <v>74.900000000000006</v>
      </c>
      <c r="AE129" t="s">
        <v>223</v>
      </c>
      <c r="AF129">
        <v>1.22</v>
      </c>
      <c r="AG129">
        <v>0</v>
      </c>
      <c r="AH129">
        <v>0</v>
      </c>
      <c r="AI129" s="4">
        <v>40196</v>
      </c>
    </row>
    <row r="130" spans="1:35">
      <c r="A130">
        <v>129</v>
      </c>
      <c r="B130" t="str">
        <f>"000333"</f>
        <v>000333</v>
      </c>
      <c r="C130" t="s">
        <v>1527</v>
      </c>
      <c r="D130" s="4">
        <v>43190</v>
      </c>
      <c r="E130" t="s">
        <v>1196</v>
      </c>
      <c r="F130" t="s">
        <v>1109</v>
      </c>
      <c r="G130" t="s">
        <v>1528</v>
      </c>
      <c r="H130">
        <v>0.8</v>
      </c>
      <c r="I130">
        <v>10.85</v>
      </c>
      <c r="J130">
        <v>6.87</v>
      </c>
      <c r="K130" t="s">
        <v>1529</v>
      </c>
      <c r="L130">
        <v>17.170000000000002</v>
      </c>
      <c r="M130" t="s">
        <v>467</v>
      </c>
      <c r="N130" t="s">
        <v>1530</v>
      </c>
      <c r="O130" t="s">
        <v>1531</v>
      </c>
      <c r="P130" t="s">
        <v>1532</v>
      </c>
      <c r="Q130">
        <v>20.76</v>
      </c>
      <c r="R130" t="s">
        <v>1533</v>
      </c>
      <c r="S130">
        <v>6.82</v>
      </c>
      <c r="T130">
        <v>25.62</v>
      </c>
      <c r="U130" t="s">
        <v>1534</v>
      </c>
      <c r="V130" t="s">
        <v>1535</v>
      </c>
      <c r="W130" t="s">
        <v>1385</v>
      </c>
      <c r="X130">
        <v>6.87</v>
      </c>
      <c r="Y130" t="s">
        <v>1536</v>
      </c>
      <c r="Z130" t="s">
        <v>1537</v>
      </c>
      <c r="AA130" t="s">
        <v>1538</v>
      </c>
      <c r="AB130">
        <v>5.03</v>
      </c>
      <c r="AC130" t="s">
        <v>1539</v>
      </c>
      <c r="AD130">
        <v>31.37</v>
      </c>
      <c r="AE130" t="s">
        <v>1540</v>
      </c>
      <c r="AF130">
        <v>2.48</v>
      </c>
      <c r="AG130">
        <v>0</v>
      </c>
      <c r="AH130">
        <v>0</v>
      </c>
      <c r="AI130" s="4">
        <v>41535</v>
      </c>
    </row>
    <row r="131" spans="1:35">
      <c r="A131">
        <v>130</v>
      </c>
      <c r="B131" t="str">
        <f>"600741"</f>
        <v>600741</v>
      </c>
      <c r="C131" t="s">
        <v>1541</v>
      </c>
      <c r="D131" s="4">
        <v>43190</v>
      </c>
      <c r="E131" t="s">
        <v>423</v>
      </c>
      <c r="F131" t="s">
        <v>1542</v>
      </c>
      <c r="G131" t="s">
        <v>1543</v>
      </c>
      <c r="H131">
        <v>0.92</v>
      </c>
      <c r="I131">
        <v>13.92</v>
      </c>
      <c r="J131">
        <v>6.84</v>
      </c>
      <c r="K131" t="s">
        <v>1544</v>
      </c>
      <c r="L131">
        <v>18.37</v>
      </c>
      <c r="M131" t="s">
        <v>1224</v>
      </c>
      <c r="N131" t="s">
        <v>419</v>
      </c>
      <c r="O131" t="s">
        <v>1545</v>
      </c>
      <c r="P131" t="s">
        <v>1546</v>
      </c>
      <c r="Q131">
        <v>90.45</v>
      </c>
      <c r="R131" t="s">
        <v>1547</v>
      </c>
      <c r="S131">
        <v>7.69</v>
      </c>
      <c r="T131">
        <v>13.06</v>
      </c>
      <c r="U131" t="s">
        <v>1548</v>
      </c>
      <c r="V131" t="s">
        <v>1549</v>
      </c>
      <c r="W131" t="s">
        <v>1550</v>
      </c>
      <c r="X131">
        <v>6.84</v>
      </c>
      <c r="Y131" t="s">
        <v>1551</v>
      </c>
      <c r="Z131" t="s">
        <v>1552</v>
      </c>
      <c r="AA131" t="s">
        <v>1553</v>
      </c>
      <c r="AB131">
        <v>1.86</v>
      </c>
      <c r="AC131" t="s">
        <v>1554</v>
      </c>
      <c r="AD131">
        <v>33.74</v>
      </c>
      <c r="AE131" t="s">
        <v>311</v>
      </c>
      <c r="AF131">
        <v>4.0599999999999996</v>
      </c>
      <c r="AG131">
        <v>0</v>
      </c>
      <c r="AH131">
        <v>0</v>
      </c>
      <c r="AI131" s="4">
        <v>35303</v>
      </c>
    </row>
    <row r="132" spans="1:35">
      <c r="A132">
        <v>131</v>
      </c>
      <c r="B132" t="str">
        <f>"300577"</f>
        <v>300577</v>
      </c>
      <c r="C132" t="s">
        <v>1555</v>
      </c>
      <c r="D132" s="4">
        <v>43190</v>
      </c>
      <c r="E132" t="s">
        <v>696</v>
      </c>
      <c r="F132" t="s">
        <v>1556</v>
      </c>
      <c r="G132">
        <v>8785</v>
      </c>
      <c r="H132">
        <v>0.16</v>
      </c>
      <c r="I132">
        <v>2.2799999999999998</v>
      </c>
      <c r="J132">
        <v>6.83</v>
      </c>
      <c r="K132" t="s">
        <v>104</v>
      </c>
      <c r="L132">
        <v>88.18</v>
      </c>
      <c r="M132" t="s">
        <v>1557</v>
      </c>
      <c r="N132" t="s">
        <v>1558</v>
      </c>
      <c r="O132" t="s">
        <v>1559</v>
      </c>
      <c r="P132" t="s">
        <v>1560</v>
      </c>
      <c r="Q132">
        <v>25.29</v>
      </c>
      <c r="R132" t="s">
        <v>669</v>
      </c>
      <c r="S132">
        <v>0.91</v>
      </c>
      <c r="T132">
        <v>25.57</v>
      </c>
      <c r="U132" t="s">
        <v>1079</v>
      </c>
      <c r="V132" t="s">
        <v>1561</v>
      </c>
      <c r="W132" t="s">
        <v>1562</v>
      </c>
      <c r="X132">
        <v>6.83</v>
      </c>
      <c r="Y132" t="s">
        <v>153</v>
      </c>
      <c r="Z132" t="s">
        <v>1563</v>
      </c>
      <c r="AA132" t="s">
        <v>1564</v>
      </c>
      <c r="AB132">
        <v>16.52</v>
      </c>
      <c r="AC132" t="s">
        <v>1565</v>
      </c>
      <c r="AD132">
        <v>52.93</v>
      </c>
      <c r="AE132" t="s">
        <v>1360</v>
      </c>
      <c r="AF132">
        <v>0.37</v>
      </c>
      <c r="AG132">
        <v>0</v>
      </c>
      <c r="AH132">
        <v>0</v>
      </c>
      <c r="AI132" s="4">
        <v>42725</v>
      </c>
    </row>
    <row r="133" spans="1:35">
      <c r="A133">
        <v>132</v>
      </c>
      <c r="B133" t="str">
        <f>"002133"</f>
        <v>002133</v>
      </c>
      <c r="C133" t="s">
        <v>1566</v>
      </c>
      <c r="D133" s="4">
        <v>43190</v>
      </c>
      <c r="E133" t="s">
        <v>1162</v>
      </c>
      <c r="F133" t="s">
        <v>1567</v>
      </c>
      <c r="G133" t="s">
        <v>1568</v>
      </c>
      <c r="H133">
        <v>0.27</v>
      </c>
      <c r="I133">
        <v>4</v>
      </c>
      <c r="J133">
        <v>6.83</v>
      </c>
      <c r="K133" t="s">
        <v>1569</v>
      </c>
      <c r="L133">
        <v>120</v>
      </c>
      <c r="M133" t="s">
        <v>734</v>
      </c>
      <c r="N133" t="s">
        <v>1570</v>
      </c>
      <c r="O133" t="s">
        <v>734</v>
      </c>
      <c r="P133" t="s">
        <v>415</v>
      </c>
      <c r="Q133">
        <v>945.85</v>
      </c>
      <c r="R133" t="s">
        <v>350</v>
      </c>
      <c r="S133">
        <v>1.67</v>
      </c>
      <c r="T133">
        <v>46.12</v>
      </c>
      <c r="U133" t="s">
        <v>1571</v>
      </c>
      <c r="V133" t="s">
        <v>1572</v>
      </c>
      <c r="W133" t="s">
        <v>1573</v>
      </c>
      <c r="X133">
        <v>6.83</v>
      </c>
      <c r="Y133" t="s">
        <v>1574</v>
      </c>
      <c r="Z133" t="s">
        <v>1242</v>
      </c>
      <c r="AA133" t="s">
        <v>747</v>
      </c>
      <c r="AB133">
        <v>1.0900000000000001</v>
      </c>
      <c r="AC133" t="s">
        <v>907</v>
      </c>
      <c r="AD133">
        <v>38.33</v>
      </c>
      <c r="AE133" t="s">
        <v>1575</v>
      </c>
      <c r="AF133">
        <v>1.08</v>
      </c>
      <c r="AG133">
        <v>0</v>
      </c>
      <c r="AH133">
        <v>0</v>
      </c>
      <c r="AI133" s="4">
        <v>39199</v>
      </c>
    </row>
    <row r="134" spans="1:35">
      <c r="A134">
        <v>133</v>
      </c>
      <c r="B134" t="str">
        <f>"600486"</f>
        <v>600486</v>
      </c>
      <c r="C134" t="s">
        <v>1576</v>
      </c>
      <c r="D134" s="4">
        <v>43190</v>
      </c>
      <c r="E134" t="s">
        <v>1048</v>
      </c>
      <c r="F134" t="s">
        <v>1048</v>
      </c>
      <c r="G134" t="s">
        <v>1577</v>
      </c>
      <c r="H134">
        <v>0.88</v>
      </c>
      <c r="I134">
        <v>12.92</v>
      </c>
      <c r="J134">
        <v>6.79</v>
      </c>
      <c r="K134" t="s">
        <v>50</v>
      </c>
      <c r="L134">
        <v>53.4</v>
      </c>
      <c r="M134" t="s">
        <v>1578</v>
      </c>
      <c r="N134" t="s">
        <v>1579</v>
      </c>
      <c r="O134" t="s">
        <v>1578</v>
      </c>
      <c r="P134" t="s">
        <v>594</v>
      </c>
      <c r="Q134">
        <v>111.02</v>
      </c>
      <c r="R134" t="s">
        <v>158</v>
      </c>
      <c r="S134">
        <v>8.14</v>
      </c>
      <c r="T134">
        <v>32.46</v>
      </c>
      <c r="U134" t="s">
        <v>1580</v>
      </c>
      <c r="V134" t="s">
        <v>1581</v>
      </c>
      <c r="W134" t="s">
        <v>1284</v>
      </c>
      <c r="X134">
        <v>6.79</v>
      </c>
      <c r="Y134" t="s">
        <v>1347</v>
      </c>
      <c r="Z134" t="s">
        <v>1294</v>
      </c>
      <c r="AA134" t="s">
        <v>1582</v>
      </c>
      <c r="AB134">
        <v>4.2699999999999996</v>
      </c>
      <c r="AC134" t="s">
        <v>1583</v>
      </c>
      <c r="AD134">
        <v>60.86</v>
      </c>
      <c r="AE134" t="s">
        <v>1584</v>
      </c>
      <c r="AF134">
        <v>2.63</v>
      </c>
      <c r="AG134">
        <v>0</v>
      </c>
      <c r="AH134">
        <v>0</v>
      </c>
      <c r="AI134" s="4">
        <v>37371</v>
      </c>
    </row>
    <row r="135" spans="1:35">
      <c r="A135">
        <v>134</v>
      </c>
      <c r="B135" t="str">
        <f>"002128"</f>
        <v>002128</v>
      </c>
      <c r="C135" t="s">
        <v>1585</v>
      </c>
      <c r="D135" s="4">
        <v>43190</v>
      </c>
      <c r="E135" t="s">
        <v>1244</v>
      </c>
      <c r="F135" t="s">
        <v>1244</v>
      </c>
      <c r="G135" t="s">
        <v>1586</v>
      </c>
      <c r="H135">
        <v>0.46</v>
      </c>
      <c r="I135">
        <v>6.86</v>
      </c>
      <c r="J135">
        <v>6.67</v>
      </c>
      <c r="K135" t="s">
        <v>316</v>
      </c>
      <c r="L135">
        <v>6.13</v>
      </c>
      <c r="M135" t="s">
        <v>1587</v>
      </c>
      <c r="N135" t="s">
        <v>1588</v>
      </c>
      <c r="O135" t="s">
        <v>1589</v>
      </c>
      <c r="P135" t="s">
        <v>1590</v>
      </c>
      <c r="Q135">
        <v>6.7</v>
      </c>
      <c r="R135" t="s">
        <v>526</v>
      </c>
      <c r="S135">
        <v>4.4000000000000004</v>
      </c>
      <c r="T135">
        <v>55.14</v>
      </c>
      <c r="U135" t="s">
        <v>587</v>
      </c>
      <c r="V135" t="s">
        <v>1591</v>
      </c>
      <c r="W135" t="s">
        <v>1592</v>
      </c>
      <c r="X135">
        <v>6.67</v>
      </c>
      <c r="Y135" t="s">
        <v>230</v>
      </c>
      <c r="Z135" t="s">
        <v>1593</v>
      </c>
      <c r="AA135" t="s">
        <v>1594</v>
      </c>
      <c r="AB135">
        <v>1.32</v>
      </c>
      <c r="AC135" t="s">
        <v>315</v>
      </c>
      <c r="AD135">
        <v>74.510000000000005</v>
      </c>
      <c r="AE135" t="s">
        <v>300</v>
      </c>
      <c r="AF135">
        <v>0.77</v>
      </c>
      <c r="AG135">
        <v>0</v>
      </c>
      <c r="AH135">
        <v>0</v>
      </c>
      <c r="AI135" s="4">
        <v>39190</v>
      </c>
    </row>
    <row r="136" spans="1:35">
      <c r="A136">
        <v>135</v>
      </c>
      <c r="B136" t="str">
        <f>"000885"</f>
        <v>000885</v>
      </c>
      <c r="C136" t="s">
        <v>1595</v>
      </c>
      <c r="D136" s="4">
        <v>43190</v>
      </c>
      <c r="E136" t="s">
        <v>1596</v>
      </c>
      <c r="F136" t="s">
        <v>1596</v>
      </c>
      <c r="G136">
        <v>9509</v>
      </c>
      <c r="H136">
        <v>0.26</v>
      </c>
      <c r="I136">
        <v>4.0199999999999996</v>
      </c>
      <c r="J136">
        <v>6.67</v>
      </c>
      <c r="K136" t="s">
        <v>324</v>
      </c>
      <c r="L136">
        <v>-60.43</v>
      </c>
      <c r="M136" t="s">
        <v>1597</v>
      </c>
      <c r="N136" t="s">
        <v>1598</v>
      </c>
      <c r="O136" t="s">
        <v>603</v>
      </c>
      <c r="P136" t="s">
        <v>1038</v>
      </c>
      <c r="Q136">
        <v>4.95</v>
      </c>
      <c r="R136" t="s">
        <v>521</v>
      </c>
      <c r="S136">
        <v>2.14</v>
      </c>
      <c r="T136">
        <v>60.95</v>
      </c>
      <c r="U136" t="s">
        <v>874</v>
      </c>
      <c r="V136" t="s">
        <v>922</v>
      </c>
      <c r="W136" t="s">
        <v>1599</v>
      </c>
      <c r="X136">
        <v>6.67</v>
      </c>
      <c r="Y136" t="s">
        <v>1600</v>
      </c>
      <c r="Z136" t="s">
        <v>261</v>
      </c>
      <c r="AA136" t="s">
        <v>1601</v>
      </c>
      <c r="AB136">
        <v>2.67</v>
      </c>
      <c r="AC136" t="s">
        <v>119</v>
      </c>
      <c r="AD136">
        <v>25.1</v>
      </c>
      <c r="AE136" t="s">
        <v>1602</v>
      </c>
      <c r="AF136">
        <v>0.11</v>
      </c>
      <c r="AG136">
        <v>0</v>
      </c>
      <c r="AH136">
        <v>0</v>
      </c>
      <c r="AI136" s="4">
        <v>36238</v>
      </c>
    </row>
    <row r="137" spans="1:35">
      <c r="A137">
        <v>136</v>
      </c>
      <c r="B137" t="str">
        <f>"002710"</f>
        <v>002710</v>
      </c>
      <c r="C137" t="s">
        <v>1603</v>
      </c>
      <c r="D137" s="4">
        <v>41547</v>
      </c>
      <c r="E137" t="s">
        <v>280</v>
      </c>
      <c r="F137">
        <v>0</v>
      </c>
      <c r="G137">
        <v>0</v>
      </c>
      <c r="H137">
        <v>0.28999999999999998</v>
      </c>
      <c r="I137">
        <v>4.34</v>
      </c>
      <c r="J137">
        <v>6.66</v>
      </c>
      <c r="K137" t="s">
        <v>1076</v>
      </c>
      <c r="L137">
        <v>0</v>
      </c>
      <c r="M137" t="s">
        <v>1604</v>
      </c>
      <c r="N137" t="s">
        <v>1605</v>
      </c>
      <c r="O137" t="s">
        <v>1606</v>
      </c>
      <c r="P137" t="s">
        <v>1607</v>
      </c>
      <c r="Q137">
        <v>0</v>
      </c>
      <c r="R137" t="s">
        <v>745</v>
      </c>
      <c r="S137">
        <v>1.22</v>
      </c>
      <c r="T137">
        <v>38.67</v>
      </c>
      <c r="U137" t="s">
        <v>1608</v>
      </c>
      <c r="V137" t="s">
        <v>1609</v>
      </c>
      <c r="W137" t="s">
        <v>1597</v>
      </c>
      <c r="X137">
        <v>6.66</v>
      </c>
      <c r="Y137" t="s">
        <v>682</v>
      </c>
      <c r="Z137" t="s">
        <v>1004</v>
      </c>
      <c r="AA137" t="s">
        <v>1610</v>
      </c>
      <c r="AB137" t="s">
        <v>288</v>
      </c>
      <c r="AC137" t="s">
        <v>1611</v>
      </c>
      <c r="AD137">
        <v>68.37</v>
      </c>
      <c r="AE137" t="s">
        <v>531</v>
      </c>
      <c r="AF137">
        <v>2.02</v>
      </c>
      <c r="AG137">
        <v>0</v>
      </c>
      <c r="AH137">
        <v>0</v>
      </c>
      <c r="AI137" t="s">
        <v>99</v>
      </c>
    </row>
    <row r="138" spans="1:35">
      <c r="A138">
        <v>137</v>
      </c>
      <c r="B138" t="str">
        <f>"002294"</f>
        <v>002294</v>
      </c>
      <c r="C138" t="s">
        <v>1612</v>
      </c>
      <c r="D138" s="4">
        <v>43190</v>
      </c>
      <c r="E138" t="s">
        <v>407</v>
      </c>
      <c r="F138" t="s">
        <v>407</v>
      </c>
      <c r="G138" t="s">
        <v>1613</v>
      </c>
      <c r="H138">
        <v>0.4</v>
      </c>
      <c r="I138">
        <v>5.38</v>
      </c>
      <c r="J138">
        <v>6.63</v>
      </c>
      <c r="K138" t="s">
        <v>835</v>
      </c>
      <c r="L138">
        <v>15.86</v>
      </c>
      <c r="M138" t="s">
        <v>1358</v>
      </c>
      <c r="N138" t="s">
        <v>1614</v>
      </c>
      <c r="O138" t="s">
        <v>1615</v>
      </c>
      <c r="P138" t="s">
        <v>749</v>
      </c>
      <c r="Q138">
        <v>10.33</v>
      </c>
      <c r="R138" t="s">
        <v>1616</v>
      </c>
      <c r="S138">
        <v>3.73</v>
      </c>
      <c r="T138">
        <v>81.25</v>
      </c>
      <c r="U138" t="s">
        <v>1617</v>
      </c>
      <c r="V138" t="s">
        <v>1419</v>
      </c>
      <c r="W138" t="s">
        <v>250</v>
      </c>
      <c r="X138">
        <v>6.63</v>
      </c>
      <c r="Y138" t="s">
        <v>1618</v>
      </c>
      <c r="Z138" t="s">
        <v>362</v>
      </c>
      <c r="AA138" t="s">
        <v>1365</v>
      </c>
      <c r="AB138">
        <v>7.02</v>
      </c>
      <c r="AC138" t="s">
        <v>1619</v>
      </c>
      <c r="AD138">
        <v>90.18</v>
      </c>
      <c r="AE138" t="s">
        <v>136</v>
      </c>
      <c r="AF138">
        <v>0.15</v>
      </c>
      <c r="AG138">
        <v>0</v>
      </c>
      <c r="AH138">
        <v>0</v>
      </c>
      <c r="AI138" s="4">
        <v>40066</v>
      </c>
    </row>
    <row r="139" spans="1:35">
      <c r="A139">
        <v>138</v>
      </c>
      <c r="B139" t="str">
        <f>"300628"</f>
        <v>300628</v>
      </c>
      <c r="C139" t="s">
        <v>1620</v>
      </c>
      <c r="D139" s="4">
        <v>43190</v>
      </c>
      <c r="E139" t="s">
        <v>1621</v>
      </c>
      <c r="F139" t="s">
        <v>1622</v>
      </c>
      <c r="G139">
        <v>1850</v>
      </c>
      <c r="H139">
        <v>0.66</v>
      </c>
      <c r="I139">
        <v>9.41</v>
      </c>
      <c r="J139">
        <v>6.61</v>
      </c>
      <c r="K139" t="s">
        <v>349</v>
      </c>
      <c r="L139">
        <v>31.76</v>
      </c>
      <c r="M139" t="s">
        <v>1287</v>
      </c>
      <c r="N139" t="s">
        <v>1623</v>
      </c>
      <c r="O139" t="s">
        <v>1287</v>
      </c>
      <c r="P139" t="s">
        <v>1624</v>
      </c>
      <c r="Q139">
        <v>39.049999999999997</v>
      </c>
      <c r="R139" t="s">
        <v>1025</v>
      </c>
      <c r="S139">
        <v>3.56</v>
      </c>
      <c r="T139">
        <v>60.98</v>
      </c>
      <c r="U139" t="s">
        <v>1404</v>
      </c>
      <c r="V139" t="s">
        <v>1625</v>
      </c>
      <c r="W139" t="s">
        <v>1626</v>
      </c>
      <c r="X139">
        <v>6.61</v>
      </c>
      <c r="Y139" t="s">
        <v>1627</v>
      </c>
      <c r="Z139" t="s">
        <v>1627</v>
      </c>
      <c r="AA139">
        <v>0</v>
      </c>
      <c r="AB139">
        <v>6.23</v>
      </c>
      <c r="AC139" t="s">
        <v>756</v>
      </c>
      <c r="AD139">
        <v>96.36</v>
      </c>
      <c r="AE139" t="s">
        <v>908</v>
      </c>
      <c r="AF139">
        <v>4.5999999999999996</v>
      </c>
      <c r="AG139">
        <v>0</v>
      </c>
      <c r="AH139">
        <v>0</v>
      </c>
      <c r="AI139" s="4">
        <v>42811</v>
      </c>
    </row>
    <row r="140" spans="1:35">
      <c r="A140">
        <v>139</v>
      </c>
      <c r="B140" t="str">
        <f>"300743"</f>
        <v>300743</v>
      </c>
      <c r="C140" t="s">
        <v>1628</v>
      </c>
      <c r="D140" s="4">
        <v>43190</v>
      </c>
      <c r="E140" t="s">
        <v>1629</v>
      </c>
      <c r="F140" t="s">
        <v>1630</v>
      </c>
      <c r="G140">
        <v>0</v>
      </c>
      <c r="H140">
        <v>0.17</v>
      </c>
      <c r="I140">
        <v>5.75</v>
      </c>
      <c r="J140">
        <v>6.55</v>
      </c>
      <c r="K140" t="s">
        <v>1631</v>
      </c>
      <c r="L140">
        <v>9.8000000000000007</v>
      </c>
      <c r="M140" t="s">
        <v>1632</v>
      </c>
      <c r="N140" t="s">
        <v>1633</v>
      </c>
      <c r="O140" t="s">
        <v>1634</v>
      </c>
      <c r="P140" t="s">
        <v>1635</v>
      </c>
      <c r="Q140">
        <v>9.67</v>
      </c>
      <c r="R140" t="s">
        <v>533</v>
      </c>
      <c r="S140">
        <v>1.56</v>
      </c>
      <c r="T140">
        <v>33.89</v>
      </c>
      <c r="U140" t="s">
        <v>52</v>
      </c>
      <c r="V140" t="s">
        <v>1366</v>
      </c>
      <c r="W140" t="s">
        <v>86</v>
      </c>
      <c r="X140">
        <v>6.55</v>
      </c>
      <c r="Y140" t="s">
        <v>552</v>
      </c>
      <c r="Z140" t="s">
        <v>1626</v>
      </c>
      <c r="AA140" t="s">
        <v>1636</v>
      </c>
      <c r="AB140">
        <v>11.71</v>
      </c>
      <c r="AC140" t="s">
        <v>1457</v>
      </c>
      <c r="AD140">
        <v>51.3</v>
      </c>
      <c r="AE140" t="s">
        <v>1637</v>
      </c>
      <c r="AF140">
        <v>2.98</v>
      </c>
      <c r="AG140">
        <v>0</v>
      </c>
      <c r="AH140">
        <v>0</v>
      </c>
      <c r="AI140" s="4">
        <v>43217</v>
      </c>
    </row>
    <row r="141" spans="1:35">
      <c r="A141">
        <v>140</v>
      </c>
      <c r="B141" t="str">
        <f>"600857"</f>
        <v>600857</v>
      </c>
      <c r="C141" t="s">
        <v>1638</v>
      </c>
      <c r="D141" s="4">
        <v>43190</v>
      </c>
      <c r="E141" t="s">
        <v>509</v>
      </c>
      <c r="F141" t="s">
        <v>509</v>
      </c>
      <c r="G141" t="s">
        <v>1639</v>
      </c>
      <c r="H141">
        <v>0.05</v>
      </c>
      <c r="I141">
        <v>0.79</v>
      </c>
      <c r="J141">
        <v>6.54</v>
      </c>
      <c r="K141" t="s">
        <v>798</v>
      </c>
      <c r="L141">
        <v>4.46</v>
      </c>
      <c r="M141" t="s">
        <v>1640</v>
      </c>
      <c r="N141" t="s">
        <v>1641</v>
      </c>
      <c r="O141" t="s">
        <v>1640</v>
      </c>
      <c r="P141" t="s">
        <v>1642</v>
      </c>
      <c r="Q141">
        <v>9.58</v>
      </c>
      <c r="R141" t="s">
        <v>1643</v>
      </c>
      <c r="S141">
        <v>-0.79</v>
      </c>
      <c r="T141">
        <v>13.4</v>
      </c>
      <c r="U141" t="s">
        <v>1644</v>
      </c>
      <c r="V141" t="s">
        <v>196</v>
      </c>
      <c r="W141" t="s">
        <v>256</v>
      </c>
      <c r="X141">
        <v>6.54</v>
      </c>
      <c r="Y141" t="s">
        <v>852</v>
      </c>
      <c r="Z141" t="s">
        <v>372</v>
      </c>
      <c r="AA141" t="s">
        <v>1645</v>
      </c>
      <c r="AB141">
        <v>13.26</v>
      </c>
      <c r="AC141" t="s">
        <v>1597</v>
      </c>
      <c r="AD141">
        <v>21.85</v>
      </c>
      <c r="AE141" t="s">
        <v>1646</v>
      </c>
      <c r="AF141">
        <v>0.28999999999999998</v>
      </c>
      <c r="AG141">
        <v>0</v>
      </c>
      <c r="AH141">
        <v>0</v>
      </c>
      <c r="AI141" s="4">
        <v>34449</v>
      </c>
    </row>
    <row r="142" spans="1:35">
      <c r="A142">
        <v>141</v>
      </c>
      <c r="B142" t="str">
        <f>"300072"</f>
        <v>300072</v>
      </c>
      <c r="C142" t="s">
        <v>1647</v>
      </c>
      <c r="D142" s="4">
        <v>43190</v>
      </c>
      <c r="E142" t="s">
        <v>1455</v>
      </c>
      <c r="F142" t="s">
        <v>971</v>
      </c>
      <c r="G142" t="s">
        <v>1648</v>
      </c>
      <c r="H142">
        <v>0.33</v>
      </c>
      <c r="I142">
        <v>5.2</v>
      </c>
      <c r="J142">
        <v>6.53</v>
      </c>
      <c r="K142" t="s">
        <v>773</v>
      </c>
      <c r="L142">
        <v>-20.38</v>
      </c>
      <c r="M142" t="s">
        <v>1649</v>
      </c>
      <c r="N142" t="s">
        <v>1650</v>
      </c>
      <c r="O142" t="s">
        <v>1651</v>
      </c>
      <c r="P142" t="s">
        <v>1652</v>
      </c>
      <c r="Q142">
        <v>35.94</v>
      </c>
      <c r="R142" t="s">
        <v>1599</v>
      </c>
      <c r="S142">
        <v>3.17</v>
      </c>
      <c r="T142">
        <v>25.71</v>
      </c>
      <c r="U142" t="s">
        <v>1653</v>
      </c>
      <c r="V142" t="s">
        <v>1654</v>
      </c>
      <c r="W142" t="s">
        <v>512</v>
      </c>
      <c r="X142">
        <v>6.53</v>
      </c>
      <c r="Y142" t="s">
        <v>1222</v>
      </c>
      <c r="Z142" t="s">
        <v>1655</v>
      </c>
      <c r="AA142" t="s">
        <v>783</v>
      </c>
      <c r="AB142">
        <v>4.4800000000000004</v>
      </c>
      <c r="AC142" t="s">
        <v>1656</v>
      </c>
      <c r="AD142">
        <v>36.71</v>
      </c>
      <c r="AE142" t="s">
        <v>820</v>
      </c>
      <c r="AF142">
        <v>0.94</v>
      </c>
      <c r="AG142">
        <v>0</v>
      </c>
      <c r="AH142">
        <v>0</v>
      </c>
      <c r="AI142" s="4">
        <v>40295</v>
      </c>
    </row>
    <row r="143" spans="1:35">
      <c r="A143">
        <v>142</v>
      </c>
      <c r="B143" t="str">
        <f>"002366"</f>
        <v>002366</v>
      </c>
      <c r="C143" t="s">
        <v>1657</v>
      </c>
      <c r="D143" s="4">
        <v>43190</v>
      </c>
      <c r="E143" t="s">
        <v>1658</v>
      </c>
      <c r="F143" t="s">
        <v>860</v>
      </c>
      <c r="G143" t="s">
        <v>1422</v>
      </c>
      <c r="H143">
        <v>0.21</v>
      </c>
      <c r="I143">
        <v>3.39</v>
      </c>
      <c r="J143">
        <v>6.49</v>
      </c>
      <c r="K143" t="s">
        <v>1659</v>
      </c>
      <c r="L143">
        <v>7.61</v>
      </c>
      <c r="M143" t="s">
        <v>1288</v>
      </c>
      <c r="N143">
        <v>0</v>
      </c>
      <c r="O143" t="s">
        <v>682</v>
      </c>
      <c r="P143" t="s">
        <v>37</v>
      </c>
      <c r="Q143">
        <v>13.67</v>
      </c>
      <c r="R143" t="s">
        <v>1126</v>
      </c>
      <c r="S143">
        <v>2.04</v>
      </c>
      <c r="T143">
        <v>62.5</v>
      </c>
      <c r="U143" t="s">
        <v>1498</v>
      </c>
      <c r="V143" t="s">
        <v>1660</v>
      </c>
      <c r="W143" t="s">
        <v>789</v>
      </c>
      <c r="X143">
        <v>6.49</v>
      </c>
      <c r="Y143" t="s">
        <v>738</v>
      </c>
      <c r="Z143" t="s">
        <v>1661</v>
      </c>
      <c r="AA143" t="s">
        <v>1126</v>
      </c>
      <c r="AB143">
        <v>4.24</v>
      </c>
      <c r="AC143" t="s">
        <v>1252</v>
      </c>
      <c r="AD143">
        <v>38.82</v>
      </c>
      <c r="AE143" t="s">
        <v>175</v>
      </c>
      <c r="AF143">
        <v>0.85</v>
      </c>
      <c r="AG143">
        <v>0</v>
      </c>
      <c r="AH143">
        <v>0</v>
      </c>
      <c r="AI143" s="4">
        <v>40249</v>
      </c>
    </row>
    <row r="144" spans="1:35">
      <c r="A144">
        <v>143</v>
      </c>
      <c r="B144" t="str">
        <f>"603816"</f>
        <v>603816</v>
      </c>
      <c r="C144" t="s">
        <v>1662</v>
      </c>
      <c r="D144" s="4">
        <v>43190</v>
      </c>
      <c r="E144" t="s">
        <v>1040</v>
      </c>
      <c r="F144" t="s">
        <v>1663</v>
      </c>
      <c r="G144">
        <v>6420</v>
      </c>
      <c r="H144">
        <v>0.63</v>
      </c>
      <c r="I144">
        <v>9.07</v>
      </c>
      <c r="J144">
        <v>6.47</v>
      </c>
      <c r="K144" t="s">
        <v>510</v>
      </c>
      <c r="L144">
        <v>34.22</v>
      </c>
      <c r="M144" t="s">
        <v>1664</v>
      </c>
      <c r="N144" t="s">
        <v>1665</v>
      </c>
      <c r="O144" t="s">
        <v>597</v>
      </c>
      <c r="P144" t="s">
        <v>1666</v>
      </c>
      <c r="Q144">
        <v>42.9</v>
      </c>
      <c r="R144" t="s">
        <v>833</v>
      </c>
      <c r="S144">
        <v>2.65</v>
      </c>
      <c r="T144">
        <v>36.450000000000003</v>
      </c>
      <c r="U144" t="s">
        <v>1667</v>
      </c>
      <c r="V144" t="s">
        <v>1419</v>
      </c>
      <c r="W144" t="s">
        <v>973</v>
      </c>
      <c r="X144">
        <v>6.47</v>
      </c>
      <c r="Y144" t="s">
        <v>114</v>
      </c>
      <c r="Z144" t="s">
        <v>449</v>
      </c>
      <c r="AA144" t="s">
        <v>1668</v>
      </c>
      <c r="AB144">
        <v>7.41</v>
      </c>
      <c r="AC144" t="s">
        <v>1669</v>
      </c>
      <c r="AD144">
        <v>66.11</v>
      </c>
      <c r="AE144" t="s">
        <v>352</v>
      </c>
      <c r="AF144">
        <v>5.69</v>
      </c>
      <c r="AG144">
        <v>0</v>
      </c>
      <c r="AH144">
        <v>0</v>
      </c>
      <c r="AI144" s="4">
        <v>42657</v>
      </c>
    </row>
    <row r="145" spans="1:35">
      <c r="A145">
        <v>144</v>
      </c>
      <c r="B145" t="str">
        <f>"603113"</f>
        <v>603113</v>
      </c>
      <c r="C145" t="s">
        <v>1670</v>
      </c>
      <c r="D145" s="4">
        <v>43190</v>
      </c>
      <c r="E145" t="s">
        <v>1671</v>
      </c>
      <c r="F145" t="s">
        <v>1672</v>
      </c>
      <c r="G145">
        <v>2730</v>
      </c>
      <c r="H145">
        <v>0.38</v>
      </c>
      <c r="I145">
        <v>5.93</v>
      </c>
      <c r="J145">
        <v>6.47</v>
      </c>
      <c r="K145" t="s">
        <v>516</v>
      </c>
      <c r="L145">
        <v>16.86</v>
      </c>
      <c r="M145" t="s">
        <v>120</v>
      </c>
      <c r="N145" t="s">
        <v>1673</v>
      </c>
      <c r="O145" t="s">
        <v>145</v>
      </c>
      <c r="P145" t="s">
        <v>726</v>
      </c>
      <c r="Q145">
        <v>22.59</v>
      </c>
      <c r="R145" t="s">
        <v>759</v>
      </c>
      <c r="S145">
        <v>2.0499999999999998</v>
      </c>
      <c r="T145">
        <v>20.58</v>
      </c>
      <c r="U145" t="s">
        <v>1674</v>
      </c>
      <c r="V145" t="s">
        <v>1675</v>
      </c>
      <c r="W145" t="s">
        <v>1029</v>
      </c>
      <c r="X145">
        <v>6.47</v>
      </c>
      <c r="Y145" t="s">
        <v>176</v>
      </c>
      <c r="Z145" t="s">
        <v>1676</v>
      </c>
      <c r="AA145" t="s">
        <v>1476</v>
      </c>
      <c r="AB145">
        <v>2.29</v>
      </c>
      <c r="AC145" t="s">
        <v>1677</v>
      </c>
      <c r="AD145">
        <v>74.87</v>
      </c>
      <c r="AE145" t="s">
        <v>1678</v>
      </c>
      <c r="AF145">
        <v>2.64</v>
      </c>
      <c r="AG145">
        <v>0</v>
      </c>
      <c r="AH145">
        <v>0</v>
      </c>
      <c r="AI145" s="4">
        <v>42866</v>
      </c>
    </row>
    <row r="146" spans="1:35">
      <c r="A146">
        <v>145</v>
      </c>
      <c r="B146" t="str">
        <f>"603444"</f>
        <v>603444</v>
      </c>
      <c r="C146" t="s">
        <v>1679</v>
      </c>
      <c r="D146" s="4">
        <v>43190</v>
      </c>
      <c r="E146" t="s">
        <v>1680</v>
      </c>
      <c r="F146" t="s">
        <v>1681</v>
      </c>
      <c r="G146">
        <v>2045</v>
      </c>
      <c r="H146">
        <v>2.14</v>
      </c>
      <c r="I146">
        <v>31.81</v>
      </c>
      <c r="J146">
        <v>6.44</v>
      </c>
      <c r="K146" t="s">
        <v>1682</v>
      </c>
      <c r="L146">
        <v>0.93</v>
      </c>
      <c r="M146" t="s">
        <v>985</v>
      </c>
      <c r="N146" t="s">
        <v>1683</v>
      </c>
      <c r="O146" t="s">
        <v>985</v>
      </c>
      <c r="P146" t="s">
        <v>845</v>
      </c>
      <c r="Q146">
        <v>-6.27</v>
      </c>
      <c r="R146" t="s">
        <v>538</v>
      </c>
      <c r="S146">
        <v>16.829999999999998</v>
      </c>
      <c r="T146">
        <v>90.67</v>
      </c>
      <c r="U146" t="s">
        <v>461</v>
      </c>
      <c r="V146" t="s">
        <v>1294</v>
      </c>
      <c r="W146" t="s">
        <v>1684</v>
      </c>
      <c r="X146">
        <v>6.44</v>
      </c>
      <c r="Y146" t="s">
        <v>1523</v>
      </c>
      <c r="Z146" t="s">
        <v>1685</v>
      </c>
      <c r="AA146" t="s">
        <v>1686</v>
      </c>
      <c r="AB146">
        <v>3.99</v>
      </c>
      <c r="AC146" t="s">
        <v>1687</v>
      </c>
      <c r="AD146">
        <v>74.900000000000006</v>
      </c>
      <c r="AE146" t="s">
        <v>407</v>
      </c>
      <c r="AF146">
        <v>14.6</v>
      </c>
      <c r="AG146">
        <v>0</v>
      </c>
      <c r="AH146">
        <v>0</v>
      </c>
      <c r="AI146" s="4">
        <v>42739</v>
      </c>
    </row>
    <row r="147" spans="1:35">
      <c r="A147">
        <v>146</v>
      </c>
      <c r="B147" t="str">
        <f>"300081"</f>
        <v>300081</v>
      </c>
      <c r="C147" t="s">
        <v>1688</v>
      </c>
      <c r="D147" s="4">
        <v>43190</v>
      </c>
      <c r="E147" t="s">
        <v>68</v>
      </c>
      <c r="F147" t="s">
        <v>167</v>
      </c>
      <c r="G147" t="s">
        <v>779</v>
      </c>
      <c r="H147">
        <v>0.28000000000000003</v>
      </c>
      <c r="I147">
        <v>4.4800000000000004</v>
      </c>
      <c r="J147">
        <v>6.43</v>
      </c>
      <c r="K147" t="s">
        <v>1689</v>
      </c>
      <c r="L147">
        <v>102.41</v>
      </c>
      <c r="M147" t="s">
        <v>863</v>
      </c>
      <c r="N147" t="s">
        <v>802</v>
      </c>
      <c r="O147" t="s">
        <v>863</v>
      </c>
      <c r="P147" t="s">
        <v>609</v>
      </c>
      <c r="Q147">
        <v>2012.17</v>
      </c>
      <c r="R147" t="s">
        <v>1074</v>
      </c>
      <c r="S147">
        <v>0.59</v>
      </c>
      <c r="T147">
        <v>33.29</v>
      </c>
      <c r="U147" t="s">
        <v>451</v>
      </c>
      <c r="V147" t="s">
        <v>759</v>
      </c>
      <c r="W147" t="s">
        <v>1690</v>
      </c>
      <c r="X147">
        <v>6.43</v>
      </c>
      <c r="Y147" t="s">
        <v>118</v>
      </c>
      <c r="Z147" t="s">
        <v>118</v>
      </c>
      <c r="AA147" t="s">
        <v>1691</v>
      </c>
      <c r="AB147">
        <v>2.29</v>
      </c>
      <c r="AC147" t="s">
        <v>1213</v>
      </c>
      <c r="AD147">
        <v>91.68</v>
      </c>
      <c r="AE147" t="s">
        <v>908</v>
      </c>
      <c r="AF147">
        <v>2.86</v>
      </c>
      <c r="AG147">
        <v>0</v>
      </c>
      <c r="AH147">
        <v>0</v>
      </c>
      <c r="AI147" s="4">
        <v>40318</v>
      </c>
    </row>
    <row r="148" spans="1:35">
      <c r="A148">
        <v>147</v>
      </c>
      <c r="B148" t="str">
        <f>"002555"</f>
        <v>002555</v>
      </c>
      <c r="C148" t="s">
        <v>1692</v>
      </c>
      <c r="D148" s="4">
        <v>43190</v>
      </c>
      <c r="E148" t="s">
        <v>1693</v>
      </c>
      <c r="F148" t="s">
        <v>613</v>
      </c>
      <c r="G148" t="s">
        <v>1694</v>
      </c>
      <c r="H148">
        <v>0.19</v>
      </c>
      <c r="I148">
        <v>2.9</v>
      </c>
      <c r="J148">
        <v>6.43</v>
      </c>
      <c r="K148" t="s">
        <v>298</v>
      </c>
      <c r="L148">
        <v>2.62</v>
      </c>
      <c r="M148" t="s">
        <v>1695</v>
      </c>
      <c r="N148" t="s">
        <v>1696</v>
      </c>
      <c r="O148" t="s">
        <v>1006</v>
      </c>
      <c r="P148" t="s">
        <v>623</v>
      </c>
      <c r="Q148">
        <v>-5.3</v>
      </c>
      <c r="R148" t="s">
        <v>236</v>
      </c>
      <c r="S148">
        <v>1.52</v>
      </c>
      <c r="T148">
        <v>71.62</v>
      </c>
      <c r="U148" t="s">
        <v>1697</v>
      </c>
      <c r="V148" t="s">
        <v>1698</v>
      </c>
      <c r="W148" t="s">
        <v>1699</v>
      </c>
      <c r="X148">
        <v>6.43</v>
      </c>
      <c r="Y148" t="s">
        <v>1700</v>
      </c>
      <c r="Z148" t="s">
        <v>352</v>
      </c>
      <c r="AA148" t="s">
        <v>1578</v>
      </c>
      <c r="AB148">
        <v>3.8</v>
      </c>
      <c r="AC148" t="s">
        <v>1701</v>
      </c>
      <c r="AD148">
        <v>68.27</v>
      </c>
      <c r="AE148" t="s">
        <v>500</v>
      </c>
      <c r="AF148">
        <v>0.34</v>
      </c>
      <c r="AG148">
        <v>0</v>
      </c>
      <c r="AH148">
        <v>0</v>
      </c>
      <c r="AI148" s="4">
        <v>40604</v>
      </c>
    </row>
    <row r="149" spans="1:35">
      <c r="A149">
        <v>148</v>
      </c>
      <c r="B149" t="str">
        <f>"603919"</f>
        <v>603919</v>
      </c>
      <c r="C149" t="s">
        <v>1702</v>
      </c>
      <c r="D149" s="4">
        <v>43190</v>
      </c>
      <c r="E149" t="s">
        <v>707</v>
      </c>
      <c r="F149" t="s">
        <v>282</v>
      </c>
      <c r="G149">
        <v>4684</v>
      </c>
      <c r="H149">
        <v>0.33</v>
      </c>
      <c r="I149">
        <v>5.1100000000000003</v>
      </c>
      <c r="J149">
        <v>6.42</v>
      </c>
      <c r="K149" t="s">
        <v>1703</v>
      </c>
      <c r="L149">
        <v>5.44</v>
      </c>
      <c r="M149" t="s">
        <v>1689</v>
      </c>
      <c r="N149">
        <v>0</v>
      </c>
      <c r="O149" t="s">
        <v>1689</v>
      </c>
      <c r="P149" t="s">
        <v>1525</v>
      </c>
      <c r="Q149">
        <v>6.63</v>
      </c>
      <c r="R149" t="s">
        <v>652</v>
      </c>
      <c r="S149">
        <v>2.08</v>
      </c>
      <c r="T149">
        <v>62</v>
      </c>
      <c r="U149" t="s">
        <v>1704</v>
      </c>
      <c r="V149" t="s">
        <v>1705</v>
      </c>
      <c r="W149" t="s">
        <v>295</v>
      </c>
      <c r="X149">
        <v>6.42</v>
      </c>
      <c r="Y149" t="s">
        <v>1706</v>
      </c>
      <c r="Z149" t="s">
        <v>202</v>
      </c>
      <c r="AA149" t="s">
        <v>1707</v>
      </c>
      <c r="AB149">
        <v>3.12</v>
      </c>
      <c r="AC149" t="s">
        <v>275</v>
      </c>
      <c r="AD149">
        <v>81.96</v>
      </c>
      <c r="AE149" t="s">
        <v>846</v>
      </c>
      <c r="AF149">
        <v>1.8</v>
      </c>
      <c r="AG149">
        <v>0</v>
      </c>
      <c r="AH149">
        <v>0</v>
      </c>
      <c r="AI149" s="4">
        <v>42439</v>
      </c>
    </row>
    <row r="150" spans="1:35">
      <c r="A150">
        <v>149</v>
      </c>
      <c r="B150" t="str">
        <f>"600201"</f>
        <v>600201</v>
      </c>
      <c r="C150" t="s">
        <v>1708</v>
      </c>
      <c r="D150" s="4">
        <v>43190</v>
      </c>
      <c r="E150" t="s">
        <v>1709</v>
      </c>
      <c r="F150" t="s">
        <v>226</v>
      </c>
      <c r="G150" t="s">
        <v>1710</v>
      </c>
      <c r="H150">
        <v>0.33</v>
      </c>
      <c r="I150">
        <v>5.38</v>
      </c>
      <c r="J150">
        <v>6.38</v>
      </c>
      <c r="K150" t="s">
        <v>633</v>
      </c>
      <c r="L150">
        <v>20.92</v>
      </c>
      <c r="M150" t="s">
        <v>218</v>
      </c>
      <c r="N150" t="s">
        <v>1711</v>
      </c>
      <c r="O150" t="s">
        <v>1712</v>
      </c>
      <c r="P150" t="s">
        <v>36</v>
      </c>
      <c r="Q150">
        <v>11.4</v>
      </c>
      <c r="R150" t="s">
        <v>1347</v>
      </c>
      <c r="S150">
        <v>2.8</v>
      </c>
      <c r="T150">
        <v>76.14</v>
      </c>
      <c r="U150" t="s">
        <v>1713</v>
      </c>
      <c r="V150" t="s">
        <v>369</v>
      </c>
      <c r="W150" t="s">
        <v>1714</v>
      </c>
      <c r="X150">
        <v>6.38</v>
      </c>
      <c r="Y150" t="s">
        <v>613</v>
      </c>
      <c r="Z150" t="s">
        <v>1094</v>
      </c>
      <c r="AA150" t="s">
        <v>382</v>
      </c>
      <c r="AB150">
        <v>4.08</v>
      </c>
      <c r="AC150" t="s">
        <v>1715</v>
      </c>
      <c r="AD150">
        <v>77.150000000000006</v>
      </c>
      <c r="AE150" t="s">
        <v>1062</v>
      </c>
      <c r="AF150">
        <v>1.81</v>
      </c>
      <c r="AG150">
        <v>0</v>
      </c>
      <c r="AH150">
        <v>0</v>
      </c>
      <c r="AI150" s="4">
        <v>36175</v>
      </c>
    </row>
    <row r="151" spans="1:35">
      <c r="A151">
        <v>150</v>
      </c>
      <c r="B151" t="str">
        <f>"300497"</f>
        <v>300497</v>
      </c>
      <c r="C151" t="s">
        <v>1716</v>
      </c>
      <c r="D151" s="4">
        <v>43190</v>
      </c>
      <c r="E151" t="s">
        <v>355</v>
      </c>
      <c r="F151" t="s">
        <v>684</v>
      </c>
      <c r="G151">
        <v>4732</v>
      </c>
      <c r="H151">
        <v>0.55000000000000004</v>
      </c>
      <c r="I151">
        <v>8.9499999999999993</v>
      </c>
      <c r="J151">
        <v>6.37</v>
      </c>
      <c r="K151" t="s">
        <v>342</v>
      </c>
      <c r="L151">
        <v>32.26</v>
      </c>
      <c r="M151" t="s">
        <v>1717</v>
      </c>
      <c r="N151" t="s">
        <v>1718</v>
      </c>
      <c r="O151" t="s">
        <v>1719</v>
      </c>
      <c r="P151" t="s">
        <v>1720</v>
      </c>
      <c r="Q151">
        <v>21.75</v>
      </c>
      <c r="R151" t="s">
        <v>1721</v>
      </c>
      <c r="S151">
        <v>4.18</v>
      </c>
      <c r="T151">
        <v>39.119999999999997</v>
      </c>
      <c r="U151" t="s">
        <v>308</v>
      </c>
      <c r="V151" t="s">
        <v>602</v>
      </c>
      <c r="W151" t="s">
        <v>1461</v>
      </c>
      <c r="X151">
        <v>6.37</v>
      </c>
      <c r="Y151" t="s">
        <v>1722</v>
      </c>
      <c r="Z151" t="s">
        <v>1723</v>
      </c>
      <c r="AA151" t="s">
        <v>1724</v>
      </c>
      <c r="AB151">
        <v>4.1900000000000004</v>
      </c>
      <c r="AC151" t="s">
        <v>1094</v>
      </c>
      <c r="AD151">
        <v>53.2</v>
      </c>
      <c r="AE151" t="s">
        <v>1209</v>
      </c>
      <c r="AF151">
        <v>3.87</v>
      </c>
      <c r="AG151">
        <v>0</v>
      </c>
      <c r="AH151">
        <v>0</v>
      </c>
      <c r="AI151" s="4">
        <v>42360</v>
      </c>
    </row>
    <row r="152" spans="1:35">
      <c r="A152">
        <v>151</v>
      </c>
      <c r="B152" t="str">
        <f>"002753"</f>
        <v>002753</v>
      </c>
      <c r="C152" t="s">
        <v>1725</v>
      </c>
      <c r="D152" s="4">
        <v>43190</v>
      </c>
      <c r="E152" t="s">
        <v>976</v>
      </c>
      <c r="F152" t="s">
        <v>1264</v>
      </c>
      <c r="G152">
        <v>5436</v>
      </c>
      <c r="H152">
        <v>0.24</v>
      </c>
      <c r="I152">
        <v>3.56</v>
      </c>
      <c r="J152">
        <v>6.37</v>
      </c>
      <c r="K152" t="s">
        <v>1058</v>
      </c>
      <c r="L152">
        <v>55.08</v>
      </c>
      <c r="M152" t="s">
        <v>1726</v>
      </c>
      <c r="N152" t="s">
        <v>1727</v>
      </c>
      <c r="O152" t="s">
        <v>1728</v>
      </c>
      <c r="P152" t="s">
        <v>1729</v>
      </c>
      <c r="Q152">
        <v>105.75</v>
      </c>
      <c r="R152" t="s">
        <v>1730</v>
      </c>
      <c r="S152">
        <v>1.87</v>
      </c>
      <c r="T152">
        <v>26.76</v>
      </c>
      <c r="U152" t="s">
        <v>754</v>
      </c>
      <c r="V152" t="s">
        <v>978</v>
      </c>
      <c r="W152" t="s">
        <v>78</v>
      </c>
      <c r="X152">
        <v>6.37</v>
      </c>
      <c r="Y152" t="s">
        <v>1731</v>
      </c>
      <c r="Z152" t="s">
        <v>531</v>
      </c>
      <c r="AA152" t="s">
        <v>1732</v>
      </c>
      <c r="AB152">
        <v>3.79</v>
      </c>
      <c r="AC152" t="s">
        <v>840</v>
      </c>
      <c r="AD152">
        <v>71.67</v>
      </c>
      <c r="AE152" t="s">
        <v>1733</v>
      </c>
      <c r="AF152">
        <v>0.44</v>
      </c>
      <c r="AG152">
        <v>0</v>
      </c>
      <c r="AH152">
        <v>0</v>
      </c>
      <c r="AI152" s="4">
        <v>42143</v>
      </c>
    </row>
    <row r="153" spans="1:35">
      <c r="A153">
        <v>152</v>
      </c>
      <c r="B153" t="str">
        <f>"600816"</f>
        <v>600816</v>
      </c>
      <c r="C153" t="s">
        <v>1734</v>
      </c>
      <c r="D153" s="4">
        <v>43190</v>
      </c>
      <c r="E153" t="s">
        <v>1735</v>
      </c>
      <c r="F153" t="s">
        <v>1051</v>
      </c>
      <c r="G153" t="s">
        <v>1736</v>
      </c>
      <c r="H153">
        <v>0.19</v>
      </c>
      <c r="I153">
        <v>2.31</v>
      </c>
      <c r="J153">
        <v>6.33</v>
      </c>
      <c r="K153" t="s">
        <v>983</v>
      </c>
      <c r="L153">
        <v>-2.66</v>
      </c>
      <c r="M153" t="s">
        <v>1384</v>
      </c>
      <c r="N153" t="s">
        <v>1737</v>
      </c>
      <c r="O153" t="s">
        <v>1384</v>
      </c>
      <c r="P153" t="s">
        <v>521</v>
      </c>
      <c r="Q153">
        <v>3.51</v>
      </c>
      <c r="R153" t="s">
        <v>1738</v>
      </c>
      <c r="S153">
        <v>0.43</v>
      </c>
      <c r="T153">
        <v>0</v>
      </c>
      <c r="U153" t="s">
        <v>1739</v>
      </c>
      <c r="V153">
        <v>0</v>
      </c>
      <c r="W153" t="s">
        <v>1740</v>
      </c>
      <c r="X153">
        <v>6.33</v>
      </c>
      <c r="Y153" t="s">
        <v>404</v>
      </c>
      <c r="Z153">
        <v>0</v>
      </c>
      <c r="AA153">
        <v>0</v>
      </c>
      <c r="AB153">
        <v>3.07</v>
      </c>
      <c r="AC153" t="s">
        <v>1741</v>
      </c>
      <c r="AD153">
        <v>56.54</v>
      </c>
      <c r="AE153" t="s">
        <v>1742</v>
      </c>
      <c r="AF153">
        <v>0.56999999999999995</v>
      </c>
      <c r="AG153">
        <v>0</v>
      </c>
      <c r="AH153">
        <v>0</v>
      </c>
      <c r="AI153" s="4">
        <v>34362</v>
      </c>
    </row>
    <row r="154" spans="1:35">
      <c r="A154">
        <v>153</v>
      </c>
      <c r="B154" t="str">
        <f>"600782"</f>
        <v>600782</v>
      </c>
      <c r="C154" t="s">
        <v>1743</v>
      </c>
      <c r="D154" s="4">
        <v>43190</v>
      </c>
      <c r="E154" t="s">
        <v>733</v>
      </c>
      <c r="F154" t="s">
        <v>502</v>
      </c>
      <c r="G154" t="s">
        <v>1744</v>
      </c>
      <c r="H154">
        <v>0.27</v>
      </c>
      <c r="I154">
        <v>4.46</v>
      </c>
      <c r="J154">
        <v>6.31</v>
      </c>
      <c r="K154" t="s">
        <v>1745</v>
      </c>
      <c r="L154">
        <v>24.19</v>
      </c>
      <c r="M154" t="s">
        <v>521</v>
      </c>
      <c r="N154" t="s">
        <v>1746</v>
      </c>
      <c r="O154" t="s">
        <v>521</v>
      </c>
      <c r="P154" t="s">
        <v>1747</v>
      </c>
      <c r="Q154">
        <v>219.74</v>
      </c>
      <c r="R154" t="s">
        <v>1748</v>
      </c>
      <c r="S154">
        <v>1.53</v>
      </c>
      <c r="T154">
        <v>10.36</v>
      </c>
      <c r="U154" t="s">
        <v>560</v>
      </c>
      <c r="V154" t="s">
        <v>1749</v>
      </c>
      <c r="W154" t="s">
        <v>525</v>
      </c>
      <c r="X154">
        <v>6.31</v>
      </c>
      <c r="Y154" t="s">
        <v>1750</v>
      </c>
      <c r="Z154" t="s">
        <v>1751</v>
      </c>
      <c r="AA154" t="s">
        <v>1752</v>
      </c>
      <c r="AB154">
        <v>1.35</v>
      </c>
      <c r="AC154" t="s">
        <v>1753</v>
      </c>
      <c r="AD154">
        <v>43.12</v>
      </c>
      <c r="AE154" t="s">
        <v>1095</v>
      </c>
      <c r="AF154">
        <v>1.76</v>
      </c>
      <c r="AG154">
        <v>0</v>
      </c>
      <c r="AH154">
        <v>0</v>
      </c>
      <c r="AI154" s="4">
        <v>35424</v>
      </c>
    </row>
    <row r="155" spans="1:35">
      <c r="A155">
        <v>154</v>
      </c>
      <c r="B155" t="str">
        <f>"600132"</f>
        <v>600132</v>
      </c>
      <c r="C155" t="s">
        <v>1754</v>
      </c>
      <c r="D155" s="4">
        <v>43190</v>
      </c>
      <c r="E155" t="s">
        <v>616</v>
      </c>
      <c r="F155" t="s">
        <v>616</v>
      </c>
      <c r="G155" t="s">
        <v>1755</v>
      </c>
      <c r="H155">
        <v>0.16</v>
      </c>
      <c r="I155">
        <v>2.56</v>
      </c>
      <c r="J155">
        <v>6.29</v>
      </c>
      <c r="K155" t="s">
        <v>1756</v>
      </c>
      <c r="L155">
        <v>10.37</v>
      </c>
      <c r="M155" t="s">
        <v>1757</v>
      </c>
      <c r="N155" t="s">
        <v>1758</v>
      </c>
      <c r="O155" t="s">
        <v>1759</v>
      </c>
      <c r="P155" t="s">
        <v>1760</v>
      </c>
      <c r="Q155">
        <v>56.95</v>
      </c>
      <c r="R155" t="s">
        <v>1382</v>
      </c>
      <c r="S155">
        <v>1.0900000000000001</v>
      </c>
      <c r="T155">
        <v>35.04</v>
      </c>
      <c r="U155" t="s">
        <v>431</v>
      </c>
      <c r="V155" t="s">
        <v>1569</v>
      </c>
      <c r="W155" t="s">
        <v>1025</v>
      </c>
      <c r="X155">
        <v>6.29</v>
      </c>
      <c r="Y155" t="s">
        <v>316</v>
      </c>
      <c r="Z155" t="s">
        <v>1190</v>
      </c>
      <c r="AA155" t="s">
        <v>1761</v>
      </c>
      <c r="AB155">
        <v>10.3</v>
      </c>
      <c r="AC155" t="s">
        <v>548</v>
      </c>
      <c r="AD155">
        <v>34.94</v>
      </c>
      <c r="AE155">
        <v>0</v>
      </c>
      <c r="AF155">
        <v>0</v>
      </c>
      <c r="AG155">
        <v>0</v>
      </c>
      <c r="AH155">
        <v>0</v>
      </c>
      <c r="AI155" s="4">
        <v>35733</v>
      </c>
    </row>
    <row r="156" spans="1:35">
      <c r="A156">
        <v>155</v>
      </c>
      <c r="B156" t="str">
        <f>"300357"</f>
        <v>300357</v>
      </c>
      <c r="C156" t="s">
        <v>1762</v>
      </c>
      <c r="D156" s="4">
        <v>43190</v>
      </c>
      <c r="E156" t="s">
        <v>1699</v>
      </c>
      <c r="F156" t="s">
        <v>1180</v>
      </c>
      <c r="G156" t="s">
        <v>1763</v>
      </c>
      <c r="H156">
        <v>0.18</v>
      </c>
      <c r="I156">
        <v>2.71</v>
      </c>
      <c r="J156">
        <v>6.28</v>
      </c>
      <c r="K156" t="s">
        <v>1459</v>
      </c>
      <c r="L156">
        <v>31.86</v>
      </c>
      <c r="M156" t="s">
        <v>1764</v>
      </c>
      <c r="N156" t="s">
        <v>1765</v>
      </c>
      <c r="O156" t="s">
        <v>1766</v>
      </c>
      <c r="P156" t="s">
        <v>1767</v>
      </c>
      <c r="Q156">
        <v>35.979999999999997</v>
      </c>
      <c r="R156" t="s">
        <v>1768</v>
      </c>
      <c r="S156">
        <v>1.29</v>
      </c>
      <c r="T156">
        <v>93.37</v>
      </c>
      <c r="U156" t="s">
        <v>1769</v>
      </c>
      <c r="V156" t="s">
        <v>1770</v>
      </c>
      <c r="W156" t="s">
        <v>256</v>
      </c>
      <c r="X156">
        <v>6.28</v>
      </c>
      <c r="Y156" t="s">
        <v>1771</v>
      </c>
      <c r="Z156" t="s">
        <v>1772</v>
      </c>
      <c r="AA156" t="s">
        <v>1773</v>
      </c>
      <c r="AB156">
        <v>13.91</v>
      </c>
      <c r="AC156" t="s">
        <v>1774</v>
      </c>
      <c r="AD156">
        <v>94.46</v>
      </c>
      <c r="AE156" t="s">
        <v>1366</v>
      </c>
      <c r="AF156">
        <v>0.18</v>
      </c>
      <c r="AG156">
        <v>0</v>
      </c>
      <c r="AH156">
        <v>0</v>
      </c>
      <c r="AI156" s="4">
        <v>41660</v>
      </c>
    </row>
    <row r="157" spans="1:35">
      <c r="A157">
        <v>156</v>
      </c>
      <c r="B157" t="str">
        <f>"600415"</f>
        <v>600415</v>
      </c>
      <c r="C157" t="s">
        <v>1775</v>
      </c>
      <c r="D157" s="4">
        <v>43190</v>
      </c>
      <c r="E157" t="s">
        <v>1776</v>
      </c>
      <c r="F157" t="s">
        <v>1776</v>
      </c>
      <c r="G157" t="s">
        <v>1777</v>
      </c>
      <c r="H157">
        <v>0.13</v>
      </c>
      <c r="I157">
        <v>2.1800000000000002</v>
      </c>
      <c r="J157">
        <v>6.27</v>
      </c>
      <c r="K157" t="s">
        <v>1778</v>
      </c>
      <c r="L157">
        <v>-82.85</v>
      </c>
      <c r="M157" t="s">
        <v>1575</v>
      </c>
      <c r="N157" t="s">
        <v>1779</v>
      </c>
      <c r="O157" t="s">
        <v>1780</v>
      </c>
      <c r="P157" t="s">
        <v>1487</v>
      </c>
      <c r="Q157">
        <v>6.28</v>
      </c>
      <c r="R157" t="s">
        <v>1781</v>
      </c>
      <c r="S157">
        <v>0.71</v>
      </c>
      <c r="T157">
        <v>50.32</v>
      </c>
      <c r="U157" t="s">
        <v>1782</v>
      </c>
      <c r="V157" t="s">
        <v>717</v>
      </c>
      <c r="W157" t="s">
        <v>1783</v>
      </c>
      <c r="X157">
        <v>6.27</v>
      </c>
      <c r="Y157" t="s">
        <v>1784</v>
      </c>
      <c r="Z157" t="s">
        <v>252</v>
      </c>
      <c r="AA157" t="s">
        <v>1785</v>
      </c>
      <c r="AB157">
        <v>1.97</v>
      </c>
      <c r="AC157" t="s">
        <v>399</v>
      </c>
      <c r="AD157">
        <v>47.4</v>
      </c>
      <c r="AE157" t="s">
        <v>80</v>
      </c>
      <c r="AF157">
        <v>0.27</v>
      </c>
      <c r="AG157">
        <v>0</v>
      </c>
      <c r="AH157">
        <v>0</v>
      </c>
      <c r="AI157" s="4">
        <v>37385</v>
      </c>
    </row>
    <row r="158" spans="1:35">
      <c r="A158">
        <v>157</v>
      </c>
      <c r="B158" t="str">
        <f>"600260"</f>
        <v>600260</v>
      </c>
      <c r="C158" t="s">
        <v>1786</v>
      </c>
      <c r="D158" s="4">
        <v>43190</v>
      </c>
      <c r="E158" t="s">
        <v>1787</v>
      </c>
      <c r="F158" t="s">
        <v>1168</v>
      </c>
      <c r="G158" t="s">
        <v>1788</v>
      </c>
      <c r="H158">
        <v>0.43</v>
      </c>
      <c r="I158">
        <v>7.06</v>
      </c>
      <c r="J158">
        <v>6.26</v>
      </c>
      <c r="K158" t="s">
        <v>1164</v>
      </c>
      <c r="L158">
        <v>12.22</v>
      </c>
      <c r="M158" t="s">
        <v>1789</v>
      </c>
      <c r="N158" t="s">
        <v>1790</v>
      </c>
      <c r="O158" t="s">
        <v>340</v>
      </c>
      <c r="P158" t="s">
        <v>1791</v>
      </c>
      <c r="Q158">
        <v>292.61</v>
      </c>
      <c r="R158" t="s">
        <v>1455</v>
      </c>
      <c r="S158">
        <v>2.5499999999999998</v>
      </c>
      <c r="T158">
        <v>14.55</v>
      </c>
      <c r="U158" t="s">
        <v>761</v>
      </c>
      <c r="V158" t="s">
        <v>1251</v>
      </c>
      <c r="W158" t="s">
        <v>649</v>
      </c>
      <c r="X158">
        <v>6.26</v>
      </c>
      <c r="Y158" t="s">
        <v>1753</v>
      </c>
      <c r="Z158" t="s">
        <v>932</v>
      </c>
      <c r="AA158" t="s">
        <v>1792</v>
      </c>
      <c r="AB158">
        <v>3.76</v>
      </c>
      <c r="AC158" t="s">
        <v>573</v>
      </c>
      <c r="AD158">
        <v>25.53</v>
      </c>
      <c r="AE158" t="s">
        <v>576</v>
      </c>
      <c r="AF158">
        <v>2.98</v>
      </c>
      <c r="AG158">
        <v>0</v>
      </c>
      <c r="AH158">
        <v>0</v>
      </c>
      <c r="AI158" s="4">
        <v>36713</v>
      </c>
    </row>
    <row r="159" spans="1:35">
      <c r="A159">
        <v>158</v>
      </c>
      <c r="B159" t="str">
        <f>"300529"</f>
        <v>300529</v>
      </c>
      <c r="C159" t="s">
        <v>1793</v>
      </c>
      <c r="D159" s="4">
        <v>43190</v>
      </c>
      <c r="E159" t="s">
        <v>1794</v>
      </c>
      <c r="F159" t="s">
        <v>1459</v>
      </c>
      <c r="G159">
        <v>5181</v>
      </c>
      <c r="H159">
        <v>0.22</v>
      </c>
      <c r="I159">
        <v>3.2</v>
      </c>
      <c r="J159">
        <v>6.26</v>
      </c>
      <c r="K159" t="s">
        <v>618</v>
      </c>
      <c r="L159">
        <v>39.6</v>
      </c>
      <c r="M159" t="s">
        <v>1459</v>
      </c>
      <c r="N159" t="s">
        <v>1795</v>
      </c>
      <c r="O159" t="s">
        <v>1459</v>
      </c>
      <c r="P159" t="s">
        <v>1796</v>
      </c>
      <c r="Q159">
        <v>50.89</v>
      </c>
      <c r="R159" t="s">
        <v>872</v>
      </c>
      <c r="S159">
        <v>1.02</v>
      </c>
      <c r="T159">
        <v>84.65</v>
      </c>
      <c r="U159" t="s">
        <v>757</v>
      </c>
      <c r="V159" t="s">
        <v>124</v>
      </c>
      <c r="W159" t="s">
        <v>1797</v>
      </c>
      <c r="X159">
        <v>6.26</v>
      </c>
      <c r="Y159" t="s">
        <v>1530</v>
      </c>
      <c r="Z159" t="s">
        <v>958</v>
      </c>
      <c r="AA159" t="s">
        <v>1798</v>
      </c>
      <c r="AB159">
        <v>11.86</v>
      </c>
      <c r="AC159" t="s">
        <v>141</v>
      </c>
      <c r="AD159">
        <v>82.32</v>
      </c>
      <c r="AE159" t="s">
        <v>1799</v>
      </c>
      <c r="AF159">
        <v>1.28</v>
      </c>
      <c r="AG159">
        <v>0</v>
      </c>
      <c r="AH159">
        <v>0</v>
      </c>
      <c r="AI159" s="4">
        <v>42584</v>
      </c>
    </row>
    <row r="160" spans="1:35">
      <c r="A160">
        <v>159</v>
      </c>
      <c r="B160" t="str">
        <f>"600545"</f>
        <v>600545</v>
      </c>
      <c r="C160" t="s">
        <v>1800</v>
      </c>
      <c r="D160" s="4">
        <v>43190</v>
      </c>
      <c r="E160" t="s">
        <v>183</v>
      </c>
      <c r="F160" t="s">
        <v>1671</v>
      </c>
      <c r="G160">
        <v>8063</v>
      </c>
      <c r="H160">
        <v>7.0000000000000007E-2</v>
      </c>
      <c r="I160">
        <v>1.22</v>
      </c>
      <c r="J160">
        <v>6.25</v>
      </c>
      <c r="K160" t="s">
        <v>865</v>
      </c>
      <c r="L160">
        <v>28.75</v>
      </c>
      <c r="M160" t="s">
        <v>985</v>
      </c>
      <c r="N160" t="s">
        <v>1801</v>
      </c>
      <c r="O160" t="s">
        <v>985</v>
      </c>
      <c r="P160" t="s">
        <v>84</v>
      </c>
      <c r="Q160">
        <v>30.41</v>
      </c>
      <c r="R160" t="s">
        <v>769</v>
      </c>
      <c r="S160">
        <v>0.28000000000000003</v>
      </c>
      <c r="T160">
        <v>26.39</v>
      </c>
      <c r="U160" t="s">
        <v>246</v>
      </c>
      <c r="V160" t="s">
        <v>252</v>
      </c>
      <c r="W160" t="s">
        <v>1802</v>
      </c>
      <c r="X160">
        <v>6.25</v>
      </c>
      <c r="Y160" t="s">
        <v>1617</v>
      </c>
      <c r="Z160" t="s">
        <v>1803</v>
      </c>
      <c r="AA160" t="s">
        <v>818</v>
      </c>
      <c r="AB160">
        <v>6.49</v>
      </c>
      <c r="AC160" t="s">
        <v>276</v>
      </c>
      <c r="AD160">
        <v>16.87</v>
      </c>
      <c r="AE160">
        <v>0</v>
      </c>
      <c r="AF160">
        <v>0</v>
      </c>
      <c r="AG160">
        <v>0</v>
      </c>
      <c r="AH160">
        <v>0</v>
      </c>
      <c r="AI160" s="4">
        <v>37958</v>
      </c>
    </row>
    <row r="161" spans="1:35">
      <c r="A161">
        <v>160</v>
      </c>
      <c r="B161" t="str">
        <f>"000631"</f>
        <v>000631</v>
      </c>
      <c r="C161" t="s">
        <v>1804</v>
      </c>
      <c r="D161" s="4">
        <v>43190</v>
      </c>
      <c r="E161" t="s">
        <v>306</v>
      </c>
      <c r="F161" t="s">
        <v>306</v>
      </c>
      <c r="G161" t="s">
        <v>1805</v>
      </c>
      <c r="H161">
        <v>0.16</v>
      </c>
      <c r="I161">
        <v>2.35</v>
      </c>
      <c r="J161">
        <v>6.22</v>
      </c>
      <c r="K161" t="s">
        <v>1042</v>
      </c>
      <c r="L161">
        <v>14.22</v>
      </c>
      <c r="M161" t="s">
        <v>1806</v>
      </c>
      <c r="N161" t="s">
        <v>1376</v>
      </c>
      <c r="O161" t="s">
        <v>1806</v>
      </c>
      <c r="P161" t="s">
        <v>184</v>
      </c>
      <c r="Q161">
        <v>488.93</v>
      </c>
      <c r="R161" t="s">
        <v>578</v>
      </c>
      <c r="S161">
        <v>0.62</v>
      </c>
      <c r="T161">
        <v>58.03</v>
      </c>
      <c r="U161" t="s">
        <v>246</v>
      </c>
      <c r="V161" t="s">
        <v>590</v>
      </c>
      <c r="W161" t="s">
        <v>1807</v>
      </c>
      <c r="X161">
        <v>6.22</v>
      </c>
      <c r="Y161" t="s">
        <v>1808</v>
      </c>
      <c r="Z161" t="s">
        <v>245</v>
      </c>
      <c r="AA161" t="s">
        <v>700</v>
      </c>
      <c r="AB161">
        <v>1.48</v>
      </c>
      <c r="AC161" t="s">
        <v>979</v>
      </c>
      <c r="AD161">
        <v>47.34</v>
      </c>
      <c r="AE161" t="s">
        <v>624</v>
      </c>
      <c r="AF161">
        <v>0.56999999999999995</v>
      </c>
      <c r="AG161">
        <v>0</v>
      </c>
      <c r="AH161">
        <v>0</v>
      </c>
      <c r="AI161" s="4">
        <v>35391</v>
      </c>
    </row>
    <row r="162" spans="1:35">
      <c r="A162">
        <v>161</v>
      </c>
      <c r="B162" t="str">
        <f>"601225"</f>
        <v>601225</v>
      </c>
      <c r="C162" t="s">
        <v>1809</v>
      </c>
      <c r="D162" s="4">
        <v>43190</v>
      </c>
      <c r="E162" t="s">
        <v>1254</v>
      </c>
      <c r="F162" t="s">
        <v>1254</v>
      </c>
      <c r="G162" t="s">
        <v>810</v>
      </c>
      <c r="H162">
        <v>0.28000000000000003</v>
      </c>
      <c r="I162">
        <v>4.75</v>
      </c>
      <c r="J162">
        <v>6.2</v>
      </c>
      <c r="K162" t="s">
        <v>932</v>
      </c>
      <c r="L162">
        <v>2.5499999999999998</v>
      </c>
      <c r="M162" t="s">
        <v>1446</v>
      </c>
      <c r="N162" t="s">
        <v>1810</v>
      </c>
      <c r="O162" t="s">
        <v>952</v>
      </c>
      <c r="P162" t="s">
        <v>1329</v>
      </c>
      <c r="Q162">
        <v>6.27</v>
      </c>
      <c r="R162" t="s">
        <v>1811</v>
      </c>
      <c r="S162">
        <v>2.65</v>
      </c>
      <c r="T162">
        <v>54.71</v>
      </c>
      <c r="U162" t="s">
        <v>1812</v>
      </c>
      <c r="V162" t="s">
        <v>968</v>
      </c>
      <c r="W162" t="s">
        <v>1813</v>
      </c>
      <c r="X162">
        <v>6.2</v>
      </c>
      <c r="Y162" t="s">
        <v>397</v>
      </c>
      <c r="Z162" t="s">
        <v>1814</v>
      </c>
      <c r="AA162" t="s">
        <v>1292</v>
      </c>
      <c r="AB162">
        <v>1.88</v>
      </c>
      <c r="AC162" t="s">
        <v>1815</v>
      </c>
      <c r="AD162">
        <v>43.51</v>
      </c>
      <c r="AE162" t="s">
        <v>309</v>
      </c>
      <c r="AF162">
        <v>0.74</v>
      </c>
      <c r="AG162">
        <v>0</v>
      </c>
      <c r="AH162">
        <v>0</v>
      </c>
      <c r="AI162" s="4">
        <v>41667</v>
      </c>
    </row>
    <row r="163" spans="1:35">
      <c r="A163">
        <v>162</v>
      </c>
      <c r="B163" t="str">
        <f>"600216"</f>
        <v>600216</v>
      </c>
      <c r="C163" t="s">
        <v>1816</v>
      </c>
      <c r="D163" s="4">
        <v>43190</v>
      </c>
      <c r="E163" t="s">
        <v>1084</v>
      </c>
      <c r="F163" t="s">
        <v>1817</v>
      </c>
      <c r="G163" t="s">
        <v>987</v>
      </c>
      <c r="H163">
        <v>0.48</v>
      </c>
      <c r="I163">
        <v>8.06</v>
      </c>
      <c r="J163">
        <v>6.18</v>
      </c>
      <c r="K163" t="s">
        <v>702</v>
      </c>
      <c r="L163">
        <v>61.68</v>
      </c>
      <c r="M163" t="s">
        <v>289</v>
      </c>
      <c r="N163" t="s">
        <v>1818</v>
      </c>
      <c r="O163" t="s">
        <v>289</v>
      </c>
      <c r="P163" t="s">
        <v>1659</v>
      </c>
      <c r="Q163">
        <v>1838.06</v>
      </c>
      <c r="R163" t="s">
        <v>1819</v>
      </c>
      <c r="S163">
        <v>4.54</v>
      </c>
      <c r="T163">
        <v>58.49</v>
      </c>
      <c r="U163" t="s">
        <v>1820</v>
      </c>
      <c r="V163" t="s">
        <v>573</v>
      </c>
      <c r="W163" t="s">
        <v>1391</v>
      </c>
      <c r="X163">
        <v>6.18</v>
      </c>
      <c r="Y163" t="s">
        <v>418</v>
      </c>
      <c r="Z163" t="s">
        <v>303</v>
      </c>
      <c r="AA163" t="s">
        <v>985</v>
      </c>
      <c r="AB163">
        <v>1.46</v>
      </c>
      <c r="AC163" t="s">
        <v>1821</v>
      </c>
      <c r="AD163">
        <v>75.56</v>
      </c>
      <c r="AE163" t="s">
        <v>101</v>
      </c>
      <c r="AF163">
        <v>1.33</v>
      </c>
      <c r="AG163">
        <v>0</v>
      </c>
      <c r="AH163">
        <v>0</v>
      </c>
      <c r="AI163" s="4">
        <v>36454</v>
      </c>
    </row>
    <row r="164" spans="1:35">
      <c r="A164">
        <v>163</v>
      </c>
      <c r="B164" t="str">
        <f>"300728"</f>
        <v>300728</v>
      </c>
      <c r="C164" t="s">
        <v>1822</v>
      </c>
      <c r="D164" s="4">
        <v>42916</v>
      </c>
      <c r="E164" t="s">
        <v>374</v>
      </c>
      <c r="F164">
        <v>0</v>
      </c>
      <c r="G164">
        <v>0</v>
      </c>
      <c r="H164">
        <v>0.35</v>
      </c>
      <c r="I164">
        <v>4.82</v>
      </c>
      <c r="J164">
        <v>6.16</v>
      </c>
      <c r="K164" t="s">
        <v>807</v>
      </c>
      <c r="L164">
        <v>0</v>
      </c>
      <c r="M164" t="s">
        <v>1823</v>
      </c>
      <c r="N164" t="s">
        <v>1824</v>
      </c>
      <c r="O164" t="s">
        <v>1825</v>
      </c>
      <c r="P164" t="s">
        <v>1826</v>
      </c>
      <c r="Q164">
        <v>0</v>
      </c>
      <c r="R164" t="s">
        <v>1609</v>
      </c>
      <c r="S164">
        <v>3.12</v>
      </c>
      <c r="T164">
        <v>26.43</v>
      </c>
      <c r="U164" t="s">
        <v>1589</v>
      </c>
      <c r="V164" t="s">
        <v>453</v>
      </c>
      <c r="W164" t="s">
        <v>337</v>
      </c>
      <c r="X164">
        <v>6.16</v>
      </c>
      <c r="Y164" t="s">
        <v>1827</v>
      </c>
      <c r="Z164" t="s">
        <v>1827</v>
      </c>
      <c r="AA164">
        <v>0</v>
      </c>
      <c r="AB164">
        <v>1.47</v>
      </c>
      <c r="AC164" t="s">
        <v>1706</v>
      </c>
      <c r="AD164">
        <v>48.23</v>
      </c>
      <c r="AE164" t="s">
        <v>1828</v>
      </c>
      <c r="AF164">
        <v>0.23</v>
      </c>
      <c r="AG164">
        <v>0</v>
      </c>
      <c r="AH164">
        <v>0</v>
      </c>
      <c r="AI164" t="s">
        <v>99</v>
      </c>
    </row>
    <row r="165" spans="1:35">
      <c r="A165">
        <v>164</v>
      </c>
      <c r="B165" t="str">
        <f>"603357"</f>
        <v>603357</v>
      </c>
      <c r="C165" t="s">
        <v>1829</v>
      </c>
      <c r="D165" s="4">
        <v>43190</v>
      </c>
      <c r="E165" t="s">
        <v>89</v>
      </c>
      <c r="F165" t="s">
        <v>1830</v>
      </c>
      <c r="G165">
        <v>2034</v>
      </c>
      <c r="H165">
        <v>0.35</v>
      </c>
      <c r="I165">
        <v>5.63</v>
      </c>
      <c r="J165">
        <v>6.11</v>
      </c>
      <c r="K165" t="s">
        <v>104</v>
      </c>
      <c r="L165">
        <v>41.97</v>
      </c>
      <c r="M165" t="s">
        <v>993</v>
      </c>
      <c r="N165" t="s">
        <v>1831</v>
      </c>
      <c r="O165" t="s">
        <v>372</v>
      </c>
      <c r="P165" t="s">
        <v>256</v>
      </c>
      <c r="Q165">
        <v>64.73</v>
      </c>
      <c r="R165" t="s">
        <v>504</v>
      </c>
      <c r="S165">
        <v>1.74</v>
      </c>
      <c r="T165">
        <v>45.69</v>
      </c>
      <c r="U165" t="s">
        <v>685</v>
      </c>
      <c r="V165" t="s">
        <v>1832</v>
      </c>
      <c r="W165" t="s">
        <v>443</v>
      </c>
      <c r="X165">
        <v>6.11</v>
      </c>
      <c r="Y165" t="s">
        <v>62</v>
      </c>
      <c r="Z165" t="s">
        <v>1833</v>
      </c>
      <c r="AA165" t="s">
        <v>1834</v>
      </c>
      <c r="AB165">
        <v>3.37</v>
      </c>
      <c r="AC165" t="s">
        <v>702</v>
      </c>
      <c r="AD165">
        <v>67.28</v>
      </c>
      <c r="AE165" t="s">
        <v>1835</v>
      </c>
      <c r="AF165">
        <v>2.71</v>
      </c>
      <c r="AG165">
        <v>0</v>
      </c>
      <c r="AH165">
        <v>0</v>
      </c>
      <c r="AI165" s="4">
        <v>42948</v>
      </c>
    </row>
    <row r="166" spans="1:35">
      <c r="A166">
        <v>165</v>
      </c>
      <c r="B166" t="str">
        <f>"600173"</f>
        <v>600173</v>
      </c>
      <c r="C166" t="s">
        <v>1836</v>
      </c>
      <c r="D166" s="4">
        <v>43190</v>
      </c>
      <c r="E166" t="s">
        <v>1837</v>
      </c>
      <c r="F166" t="s">
        <v>1073</v>
      </c>
      <c r="G166" t="s">
        <v>1838</v>
      </c>
      <c r="H166">
        <v>0.17</v>
      </c>
      <c r="I166">
        <v>2.71</v>
      </c>
      <c r="J166">
        <v>6.1</v>
      </c>
      <c r="K166" t="s">
        <v>919</v>
      </c>
      <c r="L166">
        <v>348.48</v>
      </c>
      <c r="M166" t="s">
        <v>1839</v>
      </c>
      <c r="N166" t="s">
        <v>1840</v>
      </c>
      <c r="O166" t="s">
        <v>1839</v>
      </c>
      <c r="P166" t="s">
        <v>1525</v>
      </c>
      <c r="Q166">
        <v>305.68</v>
      </c>
      <c r="R166" t="s">
        <v>602</v>
      </c>
      <c r="S166">
        <v>1.41</v>
      </c>
      <c r="T166">
        <v>29.38</v>
      </c>
      <c r="U166" t="s">
        <v>1125</v>
      </c>
      <c r="V166" t="s">
        <v>1841</v>
      </c>
      <c r="W166" t="s">
        <v>1842</v>
      </c>
      <c r="X166">
        <v>6.1</v>
      </c>
      <c r="Y166" t="s">
        <v>612</v>
      </c>
      <c r="Z166" t="s">
        <v>356</v>
      </c>
      <c r="AA166" t="s">
        <v>792</v>
      </c>
      <c r="AB166">
        <v>1.63</v>
      </c>
      <c r="AC166" t="s">
        <v>1843</v>
      </c>
      <c r="AD166">
        <v>36.29</v>
      </c>
      <c r="AE166" t="s">
        <v>1844</v>
      </c>
      <c r="AF166">
        <v>0.03</v>
      </c>
      <c r="AG166">
        <v>0</v>
      </c>
      <c r="AH166">
        <v>0</v>
      </c>
      <c r="AI166" s="4">
        <v>36265</v>
      </c>
    </row>
    <row r="167" spans="1:35">
      <c r="A167">
        <v>166</v>
      </c>
      <c r="B167" t="str">
        <f>"002925"</f>
        <v>002925</v>
      </c>
      <c r="C167" t="s">
        <v>1845</v>
      </c>
      <c r="D167" s="4">
        <v>43190</v>
      </c>
      <c r="E167" t="s">
        <v>155</v>
      </c>
      <c r="F167" t="s">
        <v>1846</v>
      </c>
      <c r="G167">
        <v>1416</v>
      </c>
      <c r="H167">
        <v>0.37</v>
      </c>
      <c r="I167">
        <v>6.75</v>
      </c>
      <c r="J167">
        <v>6.05</v>
      </c>
      <c r="K167" t="s">
        <v>1847</v>
      </c>
      <c r="L167">
        <v>11.03</v>
      </c>
      <c r="M167" t="s">
        <v>293</v>
      </c>
      <c r="N167" t="s">
        <v>1848</v>
      </c>
      <c r="O167" t="s">
        <v>293</v>
      </c>
      <c r="P167" t="s">
        <v>368</v>
      </c>
      <c r="Q167">
        <v>-8.76</v>
      </c>
      <c r="R167" t="s">
        <v>1033</v>
      </c>
      <c r="S167">
        <v>1.8</v>
      </c>
      <c r="T167">
        <v>47.82</v>
      </c>
      <c r="U167" t="s">
        <v>763</v>
      </c>
      <c r="V167" t="s">
        <v>785</v>
      </c>
      <c r="W167" t="s">
        <v>1457</v>
      </c>
      <c r="X167">
        <v>6.05</v>
      </c>
      <c r="Y167" t="s">
        <v>1849</v>
      </c>
      <c r="Z167" t="s">
        <v>105</v>
      </c>
      <c r="AA167" t="s">
        <v>1850</v>
      </c>
      <c r="AB167">
        <v>7.08</v>
      </c>
      <c r="AC167" t="s">
        <v>1248</v>
      </c>
      <c r="AD167">
        <v>84.01</v>
      </c>
      <c r="AE167" t="s">
        <v>1062</v>
      </c>
      <c r="AF167">
        <v>3.55</v>
      </c>
      <c r="AG167">
        <v>0</v>
      </c>
      <c r="AH167">
        <v>0</v>
      </c>
      <c r="AI167" s="4">
        <v>43115</v>
      </c>
    </row>
    <row r="168" spans="1:35">
      <c r="A168">
        <v>167</v>
      </c>
      <c r="B168" t="str">
        <f>"300450"</f>
        <v>300450</v>
      </c>
      <c r="C168" t="s">
        <v>1851</v>
      </c>
      <c r="D168" s="4">
        <v>43190</v>
      </c>
      <c r="E168" t="s">
        <v>1852</v>
      </c>
      <c r="F168" t="s">
        <v>196</v>
      </c>
      <c r="G168">
        <v>8554</v>
      </c>
      <c r="H168">
        <v>0.2</v>
      </c>
      <c r="I168">
        <v>3.28</v>
      </c>
      <c r="J168">
        <v>6.03</v>
      </c>
      <c r="K168" t="s">
        <v>190</v>
      </c>
      <c r="L168">
        <v>150.58000000000001</v>
      </c>
      <c r="M168" t="s">
        <v>1853</v>
      </c>
      <c r="N168" t="s">
        <v>1854</v>
      </c>
      <c r="O168" t="s">
        <v>292</v>
      </c>
      <c r="P168" t="s">
        <v>1855</v>
      </c>
      <c r="Q168">
        <v>90.8</v>
      </c>
      <c r="R168" t="s">
        <v>1856</v>
      </c>
      <c r="S168">
        <v>1.01</v>
      </c>
      <c r="T168">
        <v>42.12</v>
      </c>
      <c r="U168" t="s">
        <v>1857</v>
      </c>
      <c r="V168" t="s">
        <v>1858</v>
      </c>
      <c r="W168" t="s">
        <v>415</v>
      </c>
      <c r="X168">
        <v>6.03</v>
      </c>
      <c r="Y168" t="s">
        <v>1859</v>
      </c>
      <c r="Z168" t="s">
        <v>1164</v>
      </c>
      <c r="AA168" t="s">
        <v>1860</v>
      </c>
      <c r="AB168">
        <v>8.4499999999999993</v>
      </c>
      <c r="AC168" t="s">
        <v>583</v>
      </c>
      <c r="AD168">
        <v>42.99</v>
      </c>
      <c r="AE168" t="s">
        <v>538</v>
      </c>
      <c r="AF168">
        <v>1.1299999999999999</v>
      </c>
      <c r="AG168">
        <v>0</v>
      </c>
      <c r="AH168">
        <v>0</v>
      </c>
      <c r="AI168" s="4">
        <v>42142</v>
      </c>
    </row>
    <row r="169" spans="1:35">
      <c r="A169">
        <v>168</v>
      </c>
      <c r="B169" t="str">
        <f>"600763"</f>
        <v>600763</v>
      </c>
      <c r="C169" t="s">
        <v>1861</v>
      </c>
      <c r="D169" s="4">
        <v>43190</v>
      </c>
      <c r="E169" t="s">
        <v>559</v>
      </c>
      <c r="F169" t="s">
        <v>559</v>
      </c>
      <c r="G169" t="s">
        <v>1862</v>
      </c>
      <c r="H169">
        <v>0.19</v>
      </c>
      <c r="I169">
        <v>3.29</v>
      </c>
      <c r="J169">
        <v>6.02</v>
      </c>
      <c r="K169" t="s">
        <v>325</v>
      </c>
      <c r="L169">
        <v>27.11</v>
      </c>
      <c r="M169" t="s">
        <v>1863</v>
      </c>
      <c r="N169" t="s">
        <v>1864</v>
      </c>
      <c r="O169" t="s">
        <v>1865</v>
      </c>
      <c r="P169" t="s">
        <v>1866</v>
      </c>
      <c r="Q169">
        <v>43.98</v>
      </c>
      <c r="R169" t="s">
        <v>1867</v>
      </c>
      <c r="S169">
        <v>2.2400000000000002</v>
      </c>
      <c r="T169">
        <v>42.96</v>
      </c>
      <c r="U169" t="s">
        <v>303</v>
      </c>
      <c r="V169" t="s">
        <v>806</v>
      </c>
      <c r="W169" t="s">
        <v>1868</v>
      </c>
      <c r="X169">
        <v>6.02</v>
      </c>
      <c r="Y169" t="s">
        <v>1869</v>
      </c>
      <c r="Z169" t="s">
        <v>382</v>
      </c>
      <c r="AA169" t="s">
        <v>1659</v>
      </c>
      <c r="AB169">
        <v>13.29</v>
      </c>
      <c r="AC169" t="s">
        <v>407</v>
      </c>
      <c r="AD169">
        <v>58.94</v>
      </c>
      <c r="AE169" t="s">
        <v>1870</v>
      </c>
      <c r="AF169">
        <v>0</v>
      </c>
      <c r="AG169">
        <v>0</v>
      </c>
      <c r="AH169">
        <v>0</v>
      </c>
      <c r="AI169" s="4">
        <v>35368</v>
      </c>
    </row>
    <row r="170" spans="1:35">
      <c r="A170">
        <v>169</v>
      </c>
      <c r="B170" t="str">
        <f>"000423"</f>
        <v>000423</v>
      </c>
      <c r="C170" t="s">
        <v>1871</v>
      </c>
      <c r="D170" s="4">
        <v>43190</v>
      </c>
      <c r="E170" t="s">
        <v>846</v>
      </c>
      <c r="F170" t="s">
        <v>846</v>
      </c>
      <c r="G170">
        <v>7519</v>
      </c>
      <c r="H170">
        <v>0.93</v>
      </c>
      <c r="I170">
        <v>16.010000000000002</v>
      </c>
      <c r="J170">
        <v>6</v>
      </c>
      <c r="K170" t="s">
        <v>820</v>
      </c>
      <c r="L170">
        <v>1.17</v>
      </c>
      <c r="M170" t="s">
        <v>1872</v>
      </c>
      <c r="N170" t="s">
        <v>1873</v>
      </c>
      <c r="O170" t="s">
        <v>889</v>
      </c>
      <c r="P170" t="s">
        <v>1874</v>
      </c>
      <c r="Q170">
        <v>0.8</v>
      </c>
      <c r="R170" t="s">
        <v>731</v>
      </c>
      <c r="S170">
        <v>13.13</v>
      </c>
      <c r="T170">
        <v>67.11</v>
      </c>
      <c r="U170" t="s">
        <v>311</v>
      </c>
      <c r="V170" t="s">
        <v>1655</v>
      </c>
      <c r="W170" t="s">
        <v>79</v>
      </c>
      <c r="X170">
        <v>6</v>
      </c>
      <c r="Y170" t="s">
        <v>578</v>
      </c>
      <c r="Z170" t="s">
        <v>1875</v>
      </c>
      <c r="AA170" t="s">
        <v>1876</v>
      </c>
      <c r="AB170">
        <v>3.44</v>
      </c>
      <c r="AC170" t="s">
        <v>525</v>
      </c>
      <c r="AD170">
        <v>82.05</v>
      </c>
      <c r="AE170" t="s">
        <v>1392</v>
      </c>
      <c r="AF170">
        <v>1.06</v>
      </c>
      <c r="AG170">
        <v>0</v>
      </c>
      <c r="AH170">
        <v>0</v>
      </c>
      <c r="AI170" s="4">
        <v>35275</v>
      </c>
    </row>
    <row r="171" spans="1:35">
      <c r="A171">
        <v>170</v>
      </c>
      <c r="B171" t="str">
        <f>"600690"</f>
        <v>600690</v>
      </c>
      <c r="C171" t="s">
        <v>1877</v>
      </c>
      <c r="D171" s="4">
        <v>43190</v>
      </c>
      <c r="E171" t="s">
        <v>1878</v>
      </c>
      <c r="F171" t="s">
        <v>1878</v>
      </c>
      <c r="G171" t="s">
        <v>1879</v>
      </c>
      <c r="H171">
        <v>0.32</v>
      </c>
      <c r="I171">
        <v>5.14</v>
      </c>
      <c r="J171">
        <v>5.99</v>
      </c>
      <c r="K171" t="s">
        <v>1880</v>
      </c>
      <c r="L171">
        <v>13.01</v>
      </c>
      <c r="M171" t="s">
        <v>1881</v>
      </c>
      <c r="N171" t="s">
        <v>531</v>
      </c>
      <c r="O171" t="s">
        <v>238</v>
      </c>
      <c r="P171" t="s">
        <v>691</v>
      </c>
      <c r="Q171">
        <v>14.02</v>
      </c>
      <c r="R171" t="s">
        <v>1882</v>
      </c>
      <c r="S171">
        <v>3.71</v>
      </c>
      <c r="T171">
        <v>28.62</v>
      </c>
      <c r="U171" t="s">
        <v>1883</v>
      </c>
      <c r="V171" t="s">
        <v>1884</v>
      </c>
      <c r="W171" t="s">
        <v>1885</v>
      </c>
      <c r="X171">
        <v>5.99</v>
      </c>
      <c r="Y171" t="s">
        <v>1886</v>
      </c>
      <c r="Z171" t="s">
        <v>1887</v>
      </c>
      <c r="AA171" t="s">
        <v>1290</v>
      </c>
      <c r="AB171">
        <v>3.89</v>
      </c>
      <c r="AC171" t="s">
        <v>1888</v>
      </c>
      <c r="AD171">
        <v>21.92</v>
      </c>
      <c r="AE171" t="s">
        <v>619</v>
      </c>
      <c r="AF171">
        <v>0.14000000000000001</v>
      </c>
      <c r="AG171">
        <v>0</v>
      </c>
      <c r="AH171">
        <v>0</v>
      </c>
      <c r="AI171" s="4">
        <v>34292</v>
      </c>
    </row>
    <row r="172" spans="1:35">
      <c r="A172">
        <v>171</v>
      </c>
      <c r="B172" t="str">
        <f>"600276"</f>
        <v>600276</v>
      </c>
      <c r="C172" t="s">
        <v>1889</v>
      </c>
      <c r="D172" s="4">
        <v>43190</v>
      </c>
      <c r="E172" t="s">
        <v>1890</v>
      </c>
      <c r="F172" t="s">
        <v>1314</v>
      </c>
      <c r="G172" t="s">
        <v>1891</v>
      </c>
      <c r="H172">
        <v>0.26</v>
      </c>
      <c r="I172">
        <v>4.3499999999999996</v>
      </c>
      <c r="J172">
        <v>5.99</v>
      </c>
      <c r="K172" t="s">
        <v>113</v>
      </c>
      <c r="L172">
        <v>21.7</v>
      </c>
      <c r="M172" t="s">
        <v>192</v>
      </c>
      <c r="N172" t="s">
        <v>1892</v>
      </c>
      <c r="O172" t="s">
        <v>613</v>
      </c>
      <c r="P172" t="s">
        <v>513</v>
      </c>
      <c r="Q172">
        <v>16.95</v>
      </c>
      <c r="R172" t="s">
        <v>689</v>
      </c>
      <c r="S172">
        <v>3.02</v>
      </c>
      <c r="T172">
        <v>86.47</v>
      </c>
      <c r="U172" t="s">
        <v>1893</v>
      </c>
      <c r="V172" t="s">
        <v>1894</v>
      </c>
      <c r="W172" t="s">
        <v>1000</v>
      </c>
      <c r="X172">
        <v>5.99</v>
      </c>
      <c r="Y172" t="s">
        <v>389</v>
      </c>
      <c r="Z172" t="s">
        <v>891</v>
      </c>
      <c r="AA172" t="s">
        <v>1895</v>
      </c>
      <c r="AB172">
        <v>17.23</v>
      </c>
      <c r="AC172" t="s">
        <v>814</v>
      </c>
      <c r="AD172">
        <v>86.74</v>
      </c>
      <c r="AE172" t="s">
        <v>295</v>
      </c>
      <c r="AF172">
        <v>0.21</v>
      </c>
      <c r="AG172">
        <v>0</v>
      </c>
      <c r="AH172">
        <v>0</v>
      </c>
      <c r="AI172" s="4">
        <v>36817</v>
      </c>
    </row>
    <row r="173" spans="1:35">
      <c r="A173">
        <v>172</v>
      </c>
      <c r="B173" t="str">
        <f>"300504"</f>
        <v>300504</v>
      </c>
      <c r="C173" t="s">
        <v>1896</v>
      </c>
      <c r="D173" s="4">
        <v>43190</v>
      </c>
      <c r="E173" t="s">
        <v>122</v>
      </c>
      <c r="F173" t="s">
        <v>1897</v>
      </c>
      <c r="G173">
        <v>528</v>
      </c>
      <c r="H173">
        <v>0.2</v>
      </c>
      <c r="I173">
        <v>6.34</v>
      </c>
      <c r="J173">
        <v>5.98</v>
      </c>
      <c r="K173" t="s">
        <v>1898</v>
      </c>
      <c r="L173">
        <v>12.81</v>
      </c>
      <c r="M173" t="s">
        <v>1899</v>
      </c>
      <c r="N173">
        <v>0</v>
      </c>
      <c r="O173" t="s">
        <v>1900</v>
      </c>
      <c r="P173" t="s">
        <v>1901</v>
      </c>
      <c r="Q173">
        <v>2.2599999999999998</v>
      </c>
      <c r="R173" t="s">
        <v>1216</v>
      </c>
      <c r="S173">
        <v>2.27</v>
      </c>
      <c r="T173">
        <v>21.15</v>
      </c>
      <c r="U173" t="s">
        <v>371</v>
      </c>
      <c r="V173" t="s">
        <v>1386</v>
      </c>
      <c r="W173" t="s">
        <v>595</v>
      </c>
      <c r="X173">
        <v>5.98</v>
      </c>
      <c r="Y173" t="s">
        <v>250</v>
      </c>
      <c r="Z173" t="s">
        <v>250</v>
      </c>
      <c r="AA173" t="s">
        <v>1902</v>
      </c>
      <c r="AB173">
        <v>5.92</v>
      </c>
      <c r="AC173" t="s">
        <v>820</v>
      </c>
      <c r="AD173">
        <v>58.92</v>
      </c>
      <c r="AE173" t="s">
        <v>1903</v>
      </c>
      <c r="AF173">
        <v>2.84</v>
      </c>
      <c r="AG173">
        <v>0</v>
      </c>
      <c r="AH173">
        <v>0</v>
      </c>
      <c r="AI173" s="4">
        <v>43189</v>
      </c>
    </row>
    <row r="174" spans="1:35">
      <c r="A174">
        <v>173</v>
      </c>
      <c r="B174" t="str">
        <f>"000785"</f>
        <v>000785</v>
      </c>
      <c r="C174" t="s">
        <v>1904</v>
      </c>
      <c r="D174" s="4">
        <v>43190</v>
      </c>
      <c r="E174" t="s">
        <v>1905</v>
      </c>
      <c r="F174" t="s">
        <v>1905</v>
      </c>
      <c r="G174" t="s">
        <v>70</v>
      </c>
      <c r="H174">
        <v>0.27</v>
      </c>
      <c r="I174">
        <v>4.58</v>
      </c>
      <c r="J174">
        <v>5.9</v>
      </c>
      <c r="K174" t="s">
        <v>147</v>
      </c>
      <c r="L174">
        <v>4.32</v>
      </c>
      <c r="M174" t="s">
        <v>1459</v>
      </c>
      <c r="N174" t="s">
        <v>1570</v>
      </c>
      <c r="O174" t="s">
        <v>71</v>
      </c>
      <c r="P174" t="s">
        <v>1906</v>
      </c>
      <c r="Q174">
        <v>237.59</v>
      </c>
      <c r="R174" t="s">
        <v>1907</v>
      </c>
      <c r="S174">
        <v>2.35</v>
      </c>
      <c r="T174">
        <v>20.46</v>
      </c>
      <c r="U174" t="s">
        <v>1908</v>
      </c>
      <c r="V174" t="s">
        <v>625</v>
      </c>
      <c r="W174" t="s">
        <v>1909</v>
      </c>
      <c r="X174">
        <v>5.9</v>
      </c>
      <c r="Y174" t="s">
        <v>124</v>
      </c>
      <c r="Z174" t="s">
        <v>835</v>
      </c>
      <c r="AA174" t="s">
        <v>148</v>
      </c>
      <c r="AB174">
        <v>1.7</v>
      </c>
      <c r="AC174" t="s">
        <v>625</v>
      </c>
      <c r="AD174">
        <v>44.58</v>
      </c>
      <c r="AE174" t="s">
        <v>1910</v>
      </c>
      <c r="AF174">
        <v>0.28999999999999998</v>
      </c>
      <c r="AG174">
        <v>0</v>
      </c>
      <c r="AH174">
        <v>0</v>
      </c>
      <c r="AI174" s="4">
        <v>35622</v>
      </c>
    </row>
    <row r="175" spans="1:35">
      <c r="A175">
        <v>174</v>
      </c>
      <c r="B175" t="str">
        <f>"603638"</f>
        <v>603638</v>
      </c>
      <c r="C175" t="s">
        <v>1911</v>
      </c>
      <c r="D175" s="4">
        <v>43190</v>
      </c>
      <c r="E175" t="s">
        <v>1049</v>
      </c>
      <c r="F175" t="s">
        <v>1912</v>
      </c>
      <c r="G175">
        <v>8596</v>
      </c>
      <c r="H175">
        <v>0.2</v>
      </c>
      <c r="I175">
        <v>3.26</v>
      </c>
      <c r="J175">
        <v>5.89</v>
      </c>
      <c r="K175" t="s">
        <v>912</v>
      </c>
      <c r="L175">
        <v>55.93</v>
      </c>
      <c r="M175" t="s">
        <v>1913</v>
      </c>
      <c r="N175">
        <v>0</v>
      </c>
      <c r="O175" t="s">
        <v>1914</v>
      </c>
      <c r="P175" t="s">
        <v>1915</v>
      </c>
      <c r="Q175">
        <v>66.709999999999994</v>
      </c>
      <c r="R175" t="s">
        <v>89</v>
      </c>
      <c r="S175">
        <v>1.08</v>
      </c>
      <c r="T175">
        <v>44.86</v>
      </c>
      <c r="U175" t="s">
        <v>323</v>
      </c>
      <c r="V175" t="s">
        <v>856</v>
      </c>
      <c r="W175" t="s">
        <v>160</v>
      </c>
      <c r="X175">
        <v>5.89</v>
      </c>
      <c r="Y175" t="s">
        <v>682</v>
      </c>
      <c r="Z175" t="s">
        <v>293</v>
      </c>
      <c r="AA175" t="s">
        <v>1916</v>
      </c>
      <c r="AB175">
        <v>7.72</v>
      </c>
      <c r="AC175" t="s">
        <v>1917</v>
      </c>
      <c r="AD175">
        <v>80.16</v>
      </c>
      <c r="AE175" t="s">
        <v>1918</v>
      </c>
      <c r="AF175">
        <v>1.04</v>
      </c>
      <c r="AG175">
        <v>0</v>
      </c>
      <c r="AH175">
        <v>0</v>
      </c>
      <c r="AI175" s="4">
        <v>42755</v>
      </c>
    </row>
    <row r="176" spans="1:35">
      <c r="A176">
        <v>175</v>
      </c>
      <c r="B176" t="str">
        <f>"600867"</f>
        <v>600867</v>
      </c>
      <c r="C176" t="s">
        <v>1919</v>
      </c>
      <c r="D176" s="4">
        <v>43190</v>
      </c>
      <c r="E176" t="s">
        <v>1920</v>
      </c>
      <c r="F176" t="s">
        <v>1284</v>
      </c>
      <c r="G176" t="s">
        <v>1921</v>
      </c>
      <c r="H176">
        <v>0.13</v>
      </c>
      <c r="I176">
        <v>2.17</v>
      </c>
      <c r="J176">
        <v>5.87</v>
      </c>
      <c r="K176" t="s">
        <v>615</v>
      </c>
      <c r="L176">
        <v>27.23</v>
      </c>
      <c r="M176" t="s">
        <v>301</v>
      </c>
      <c r="N176" t="s">
        <v>1922</v>
      </c>
      <c r="O176" t="s">
        <v>301</v>
      </c>
      <c r="P176" t="s">
        <v>594</v>
      </c>
      <c r="Q176">
        <v>30.2</v>
      </c>
      <c r="R176" t="s">
        <v>538</v>
      </c>
      <c r="S176">
        <v>0.52</v>
      </c>
      <c r="T176">
        <v>73.14</v>
      </c>
      <c r="U176" t="s">
        <v>1923</v>
      </c>
      <c r="V176" t="s">
        <v>774</v>
      </c>
      <c r="W176" t="s">
        <v>354</v>
      </c>
      <c r="X176">
        <v>5.87</v>
      </c>
      <c r="Y176" t="s">
        <v>807</v>
      </c>
      <c r="Z176" t="s">
        <v>905</v>
      </c>
      <c r="AA176" t="s">
        <v>1924</v>
      </c>
      <c r="AB176">
        <v>10.83</v>
      </c>
      <c r="AC176" t="s">
        <v>1925</v>
      </c>
      <c r="AD176">
        <v>95.28</v>
      </c>
      <c r="AE176" t="s">
        <v>264</v>
      </c>
      <c r="AF176">
        <v>0.59</v>
      </c>
      <c r="AG176">
        <v>0</v>
      </c>
      <c r="AH176">
        <v>0</v>
      </c>
      <c r="AI176" s="4">
        <v>34570</v>
      </c>
    </row>
    <row r="177" spans="1:35">
      <c r="A177">
        <v>176</v>
      </c>
      <c r="B177" t="str">
        <f>"600688"</f>
        <v>600688</v>
      </c>
      <c r="C177" t="s">
        <v>1926</v>
      </c>
      <c r="D177" s="4">
        <v>43190</v>
      </c>
      <c r="E177" t="s">
        <v>1159</v>
      </c>
      <c r="F177" t="s">
        <v>1927</v>
      </c>
      <c r="G177">
        <v>0</v>
      </c>
      <c r="H177">
        <v>0.16</v>
      </c>
      <c r="I177">
        <v>2.78</v>
      </c>
      <c r="J177">
        <v>5.84</v>
      </c>
      <c r="K177" t="s">
        <v>1928</v>
      </c>
      <c r="L177">
        <v>14.12</v>
      </c>
      <c r="M177" t="s">
        <v>1449</v>
      </c>
      <c r="N177" t="s">
        <v>798</v>
      </c>
      <c r="O177" t="s">
        <v>578</v>
      </c>
      <c r="P177" t="s">
        <v>1126</v>
      </c>
      <c r="Q177">
        <v>-8.16</v>
      </c>
      <c r="R177" t="s">
        <v>1929</v>
      </c>
      <c r="S177">
        <v>1.19</v>
      </c>
      <c r="T177">
        <v>23.25</v>
      </c>
      <c r="U177" t="s">
        <v>1930</v>
      </c>
      <c r="V177" t="s">
        <v>1931</v>
      </c>
      <c r="W177" t="s">
        <v>1745</v>
      </c>
      <c r="X177">
        <v>5.84</v>
      </c>
      <c r="Y177" t="s">
        <v>399</v>
      </c>
      <c r="Z177" t="s">
        <v>815</v>
      </c>
      <c r="AA177" t="s">
        <v>1016</v>
      </c>
      <c r="AB177">
        <v>2.13</v>
      </c>
      <c r="AC177" t="s">
        <v>1932</v>
      </c>
      <c r="AD177">
        <v>71.16</v>
      </c>
      <c r="AE177" t="s">
        <v>1330</v>
      </c>
      <c r="AF177">
        <v>0.06</v>
      </c>
      <c r="AG177">
        <v>0</v>
      </c>
      <c r="AH177" t="s">
        <v>1174</v>
      </c>
      <c r="AI177" s="4">
        <v>34281</v>
      </c>
    </row>
    <row r="178" spans="1:35">
      <c r="A178">
        <v>177</v>
      </c>
      <c r="B178" t="str">
        <f>"002763"</f>
        <v>002763</v>
      </c>
      <c r="C178" t="s">
        <v>1933</v>
      </c>
      <c r="D178" s="4">
        <v>43190</v>
      </c>
      <c r="E178" t="s">
        <v>1934</v>
      </c>
      <c r="F178" t="s">
        <v>748</v>
      </c>
      <c r="G178">
        <v>6623</v>
      </c>
      <c r="H178">
        <v>0.27</v>
      </c>
      <c r="I178">
        <v>4.5</v>
      </c>
      <c r="J178">
        <v>5.83</v>
      </c>
      <c r="K178" t="s">
        <v>1935</v>
      </c>
      <c r="L178">
        <v>7.38</v>
      </c>
      <c r="M178" t="s">
        <v>1936</v>
      </c>
      <c r="N178" t="s">
        <v>1937</v>
      </c>
      <c r="O178" t="s">
        <v>1936</v>
      </c>
      <c r="P178" t="s">
        <v>1475</v>
      </c>
      <c r="Q178">
        <v>5.41</v>
      </c>
      <c r="R178" t="s">
        <v>1938</v>
      </c>
      <c r="S178">
        <v>1.65</v>
      </c>
      <c r="T178">
        <v>69.94</v>
      </c>
      <c r="U178" t="s">
        <v>276</v>
      </c>
      <c r="V178" t="s">
        <v>1052</v>
      </c>
      <c r="W178" t="s">
        <v>1358</v>
      </c>
      <c r="X178">
        <v>5.83</v>
      </c>
      <c r="Y178" t="s">
        <v>1939</v>
      </c>
      <c r="Z178" t="s">
        <v>597</v>
      </c>
      <c r="AA178" t="s">
        <v>1940</v>
      </c>
      <c r="AB178">
        <v>2.31</v>
      </c>
      <c r="AC178" t="s">
        <v>891</v>
      </c>
      <c r="AD178">
        <v>80.45</v>
      </c>
      <c r="AE178" t="s">
        <v>1941</v>
      </c>
      <c r="AF178">
        <v>1.62</v>
      </c>
      <c r="AG178">
        <v>0</v>
      </c>
      <c r="AH178">
        <v>0</v>
      </c>
      <c r="AI178" s="4">
        <v>42165</v>
      </c>
    </row>
    <row r="179" spans="1:35">
      <c r="A179">
        <v>178</v>
      </c>
      <c r="B179" t="str">
        <f>"002078"</f>
        <v>002078</v>
      </c>
      <c r="C179" t="s">
        <v>1942</v>
      </c>
      <c r="D179" s="4">
        <v>43190</v>
      </c>
      <c r="E179" t="s">
        <v>512</v>
      </c>
      <c r="F179" t="s">
        <v>1943</v>
      </c>
      <c r="G179" t="s">
        <v>1944</v>
      </c>
      <c r="H179">
        <v>0.24</v>
      </c>
      <c r="I179">
        <v>4.0999999999999996</v>
      </c>
      <c r="J179">
        <v>5.82</v>
      </c>
      <c r="K179" t="s">
        <v>1923</v>
      </c>
      <c r="L179">
        <v>14.29</v>
      </c>
      <c r="M179" t="s">
        <v>724</v>
      </c>
      <c r="N179" t="s">
        <v>1945</v>
      </c>
      <c r="O179" t="s">
        <v>1946</v>
      </c>
      <c r="P179" t="s">
        <v>792</v>
      </c>
      <c r="Q179">
        <v>40.14</v>
      </c>
      <c r="R179" t="s">
        <v>1947</v>
      </c>
      <c r="S179">
        <v>2.3199999999999998</v>
      </c>
      <c r="T179">
        <v>27.53</v>
      </c>
      <c r="U179" t="s">
        <v>1811</v>
      </c>
      <c r="V179" t="s">
        <v>1948</v>
      </c>
      <c r="W179" t="s">
        <v>466</v>
      </c>
      <c r="X179">
        <v>5.82</v>
      </c>
      <c r="Y179" t="s">
        <v>571</v>
      </c>
      <c r="Z179" t="s">
        <v>689</v>
      </c>
      <c r="AA179" t="s">
        <v>1601</v>
      </c>
      <c r="AB179">
        <v>2.39</v>
      </c>
      <c r="AC179" t="s">
        <v>586</v>
      </c>
      <c r="AD179">
        <v>41.06</v>
      </c>
      <c r="AE179" t="s">
        <v>80</v>
      </c>
      <c r="AF179">
        <v>0.56999999999999995</v>
      </c>
      <c r="AG179">
        <v>0</v>
      </c>
      <c r="AH179">
        <v>0</v>
      </c>
      <c r="AI179" s="4">
        <v>39037</v>
      </c>
    </row>
    <row r="180" spans="1:35">
      <c r="A180">
        <v>179</v>
      </c>
      <c r="B180" t="str">
        <f>"002415"</f>
        <v>002415</v>
      </c>
      <c r="C180" t="s">
        <v>1949</v>
      </c>
      <c r="D180" s="4">
        <v>43190</v>
      </c>
      <c r="E180" t="s">
        <v>1950</v>
      </c>
      <c r="F180" t="s">
        <v>825</v>
      </c>
      <c r="G180" t="s">
        <v>1951</v>
      </c>
      <c r="H180">
        <v>0.2</v>
      </c>
      <c r="I180">
        <v>2.99</v>
      </c>
      <c r="J180">
        <v>5.8</v>
      </c>
      <c r="K180" t="s">
        <v>1952</v>
      </c>
      <c r="L180">
        <v>32.950000000000003</v>
      </c>
      <c r="M180" t="s">
        <v>420</v>
      </c>
      <c r="N180" t="s">
        <v>1953</v>
      </c>
      <c r="O180" t="s">
        <v>114</v>
      </c>
      <c r="P180" t="s">
        <v>754</v>
      </c>
      <c r="Q180">
        <v>22.64</v>
      </c>
      <c r="R180" t="s">
        <v>962</v>
      </c>
      <c r="S180">
        <v>1.5</v>
      </c>
      <c r="T180">
        <v>45.06</v>
      </c>
      <c r="U180" t="s">
        <v>1954</v>
      </c>
      <c r="V180" t="s">
        <v>953</v>
      </c>
      <c r="W180" t="s">
        <v>1545</v>
      </c>
      <c r="X180">
        <v>5.8</v>
      </c>
      <c r="Y180" t="s">
        <v>928</v>
      </c>
      <c r="Z180" t="s">
        <v>787</v>
      </c>
      <c r="AA180" t="s">
        <v>499</v>
      </c>
      <c r="AB180">
        <v>12.52</v>
      </c>
      <c r="AC180" t="s">
        <v>1955</v>
      </c>
      <c r="AD180">
        <v>64.19</v>
      </c>
      <c r="AE180" t="s">
        <v>510</v>
      </c>
      <c r="AF180">
        <v>0.2</v>
      </c>
      <c r="AG180">
        <v>0</v>
      </c>
      <c r="AH180">
        <v>0</v>
      </c>
      <c r="AI180" s="4">
        <v>40326</v>
      </c>
    </row>
    <row r="181" spans="1:35">
      <c r="A181">
        <v>180</v>
      </c>
      <c r="B181" t="str">
        <f>"002507"</f>
        <v>002507</v>
      </c>
      <c r="C181" t="s">
        <v>1956</v>
      </c>
      <c r="D181" s="4">
        <v>43190</v>
      </c>
      <c r="E181" t="s">
        <v>1362</v>
      </c>
      <c r="F181" t="s">
        <v>1957</v>
      </c>
      <c r="G181" t="s">
        <v>1958</v>
      </c>
      <c r="H181">
        <v>0.15</v>
      </c>
      <c r="I181">
        <v>2.44</v>
      </c>
      <c r="J181">
        <v>5.79</v>
      </c>
      <c r="K181" t="s">
        <v>1959</v>
      </c>
      <c r="L181">
        <v>47.72</v>
      </c>
      <c r="M181" t="s">
        <v>1370</v>
      </c>
      <c r="N181" t="s">
        <v>1960</v>
      </c>
      <c r="O181" t="s">
        <v>1370</v>
      </c>
      <c r="P181" t="s">
        <v>1627</v>
      </c>
      <c r="Q181">
        <v>80.33</v>
      </c>
      <c r="R181" t="s">
        <v>1223</v>
      </c>
      <c r="S181">
        <v>1.23</v>
      </c>
      <c r="T181">
        <v>51.18</v>
      </c>
      <c r="U181" t="s">
        <v>774</v>
      </c>
      <c r="V181" t="s">
        <v>848</v>
      </c>
      <c r="W181" t="s">
        <v>1770</v>
      </c>
      <c r="X181">
        <v>5.79</v>
      </c>
      <c r="Y181" t="s">
        <v>169</v>
      </c>
      <c r="Z181" t="s">
        <v>202</v>
      </c>
      <c r="AA181" t="s">
        <v>1961</v>
      </c>
      <c r="AB181">
        <v>9.64</v>
      </c>
      <c r="AC181" t="s">
        <v>1843</v>
      </c>
      <c r="AD181">
        <v>80.150000000000006</v>
      </c>
      <c r="AE181" t="s">
        <v>1962</v>
      </c>
      <c r="AF181">
        <v>0.03</v>
      </c>
      <c r="AG181">
        <v>0</v>
      </c>
      <c r="AH181">
        <v>0</v>
      </c>
      <c r="AI181" s="4">
        <v>40505</v>
      </c>
    </row>
    <row r="182" spans="1:35">
      <c r="A182">
        <v>181</v>
      </c>
      <c r="B182" t="str">
        <f>"600612"</f>
        <v>600612</v>
      </c>
      <c r="C182" t="s">
        <v>1963</v>
      </c>
      <c r="D182" s="4">
        <v>43190</v>
      </c>
      <c r="E182" t="s">
        <v>269</v>
      </c>
      <c r="F182" t="s">
        <v>1964</v>
      </c>
      <c r="G182">
        <v>0</v>
      </c>
      <c r="H182">
        <v>0.64</v>
      </c>
      <c r="I182">
        <v>11.41</v>
      </c>
      <c r="J182">
        <v>5.77</v>
      </c>
      <c r="K182" t="s">
        <v>398</v>
      </c>
      <c r="L182">
        <v>8.9700000000000006</v>
      </c>
      <c r="M182" t="s">
        <v>1965</v>
      </c>
      <c r="N182" t="s">
        <v>1966</v>
      </c>
      <c r="O182" t="s">
        <v>456</v>
      </c>
      <c r="P182" t="s">
        <v>1967</v>
      </c>
      <c r="Q182">
        <v>7.42</v>
      </c>
      <c r="R182" t="s">
        <v>1574</v>
      </c>
      <c r="S182">
        <v>8.59</v>
      </c>
      <c r="T182">
        <v>7.18</v>
      </c>
      <c r="U182" t="s">
        <v>1453</v>
      </c>
      <c r="V182" t="s">
        <v>246</v>
      </c>
      <c r="W182" t="s">
        <v>1968</v>
      </c>
      <c r="X182">
        <v>5.77</v>
      </c>
      <c r="Y182" t="s">
        <v>688</v>
      </c>
      <c r="Z182" t="s">
        <v>772</v>
      </c>
      <c r="AA182" t="s">
        <v>1969</v>
      </c>
      <c r="AB182">
        <v>3.1</v>
      </c>
      <c r="AC182" t="s">
        <v>1104</v>
      </c>
      <c r="AD182">
        <v>40.71</v>
      </c>
      <c r="AE182" t="s">
        <v>701</v>
      </c>
      <c r="AF182">
        <v>1.05</v>
      </c>
      <c r="AG182" t="s">
        <v>1970</v>
      </c>
      <c r="AH182">
        <v>0</v>
      </c>
      <c r="AI182" s="4">
        <v>33830</v>
      </c>
    </row>
    <row r="183" spans="1:35">
      <c r="A183">
        <v>182</v>
      </c>
      <c r="B183" t="str">
        <f>"603707"</f>
        <v>603707</v>
      </c>
      <c r="C183" t="s">
        <v>1971</v>
      </c>
      <c r="D183" s="4">
        <v>43190</v>
      </c>
      <c r="E183" t="s">
        <v>1972</v>
      </c>
      <c r="F183" t="s">
        <v>1973</v>
      </c>
      <c r="G183">
        <v>7324</v>
      </c>
      <c r="H183">
        <v>0.22</v>
      </c>
      <c r="I183">
        <v>3.75</v>
      </c>
      <c r="J183">
        <v>5.76</v>
      </c>
      <c r="K183" t="s">
        <v>346</v>
      </c>
      <c r="L183">
        <v>94.8</v>
      </c>
      <c r="M183" t="s">
        <v>1974</v>
      </c>
      <c r="N183" t="s">
        <v>1975</v>
      </c>
      <c r="O183" t="s">
        <v>84</v>
      </c>
      <c r="P183" t="s">
        <v>209</v>
      </c>
      <c r="Q183">
        <v>116.87</v>
      </c>
      <c r="R183" t="s">
        <v>1976</v>
      </c>
      <c r="S183">
        <v>1.63</v>
      </c>
      <c r="T183">
        <v>45.35</v>
      </c>
      <c r="U183" t="s">
        <v>1158</v>
      </c>
      <c r="V183" t="s">
        <v>1213</v>
      </c>
      <c r="W183" t="s">
        <v>1977</v>
      </c>
      <c r="X183">
        <v>5.76</v>
      </c>
      <c r="Y183" t="s">
        <v>1978</v>
      </c>
      <c r="Z183" t="s">
        <v>1979</v>
      </c>
      <c r="AA183" t="s">
        <v>1980</v>
      </c>
      <c r="AB183">
        <v>6.71</v>
      </c>
      <c r="AC183" t="s">
        <v>576</v>
      </c>
      <c r="AD183">
        <v>72.22</v>
      </c>
      <c r="AE183" t="s">
        <v>792</v>
      </c>
      <c r="AF183">
        <v>0.93</v>
      </c>
      <c r="AG183">
        <v>0</v>
      </c>
      <c r="AH183">
        <v>0</v>
      </c>
      <c r="AI183" s="4">
        <v>42935</v>
      </c>
    </row>
    <row r="184" spans="1:35">
      <c r="A184">
        <v>183</v>
      </c>
      <c r="B184" t="str">
        <f>"600808"</f>
        <v>600808</v>
      </c>
      <c r="C184" t="s">
        <v>1981</v>
      </c>
      <c r="D184" s="4">
        <v>43190</v>
      </c>
      <c r="E184" t="s">
        <v>1163</v>
      </c>
      <c r="F184" t="s">
        <v>1104</v>
      </c>
      <c r="G184">
        <v>0</v>
      </c>
      <c r="H184">
        <v>0.18</v>
      </c>
      <c r="I184">
        <v>3.29</v>
      </c>
      <c r="J184">
        <v>5.76</v>
      </c>
      <c r="K184" t="s">
        <v>1982</v>
      </c>
      <c r="L184">
        <v>5.6</v>
      </c>
      <c r="M184" t="s">
        <v>1678</v>
      </c>
      <c r="N184" t="s">
        <v>344</v>
      </c>
      <c r="O184" t="s">
        <v>1678</v>
      </c>
      <c r="P184" t="s">
        <v>173</v>
      </c>
      <c r="Q184">
        <v>57.25</v>
      </c>
      <c r="R184" t="s">
        <v>1061</v>
      </c>
      <c r="S184">
        <v>0.66</v>
      </c>
      <c r="T184">
        <v>13.37</v>
      </c>
      <c r="U184" t="s">
        <v>1118</v>
      </c>
      <c r="V184" t="s">
        <v>1983</v>
      </c>
      <c r="W184" t="s">
        <v>1955</v>
      </c>
      <c r="X184">
        <v>5.76</v>
      </c>
      <c r="Y184" t="s">
        <v>1984</v>
      </c>
      <c r="Z184" t="s">
        <v>1985</v>
      </c>
      <c r="AA184" t="s">
        <v>1986</v>
      </c>
      <c r="AB184">
        <v>1.08</v>
      </c>
      <c r="AC184" t="s">
        <v>1290</v>
      </c>
      <c r="AD184">
        <v>35.700000000000003</v>
      </c>
      <c r="AE184" t="s">
        <v>1987</v>
      </c>
      <c r="AF184">
        <v>1.08</v>
      </c>
      <c r="AG184">
        <v>0</v>
      </c>
      <c r="AH184" t="s">
        <v>79</v>
      </c>
      <c r="AI184" s="4">
        <v>34340</v>
      </c>
    </row>
    <row r="185" spans="1:35">
      <c r="A185">
        <v>184</v>
      </c>
      <c r="B185" t="str">
        <f>"603798"</f>
        <v>603798</v>
      </c>
      <c r="C185" t="s">
        <v>1988</v>
      </c>
      <c r="D185" s="4">
        <v>43190</v>
      </c>
      <c r="E185" t="s">
        <v>293</v>
      </c>
      <c r="F185" t="s">
        <v>1989</v>
      </c>
      <c r="G185">
        <v>7175</v>
      </c>
      <c r="H185">
        <v>0.24</v>
      </c>
      <c r="I185">
        <v>4.46</v>
      </c>
      <c r="J185">
        <v>5.75</v>
      </c>
      <c r="K185" t="s">
        <v>1067</v>
      </c>
      <c r="L185">
        <v>0.05</v>
      </c>
      <c r="M185" t="s">
        <v>1990</v>
      </c>
      <c r="N185">
        <v>0</v>
      </c>
      <c r="O185" t="s">
        <v>1991</v>
      </c>
      <c r="P185" t="s">
        <v>1992</v>
      </c>
      <c r="Q185">
        <v>2.81</v>
      </c>
      <c r="R185" t="s">
        <v>138</v>
      </c>
      <c r="S185">
        <v>1.88</v>
      </c>
      <c r="T185">
        <v>34.75</v>
      </c>
      <c r="U185" t="s">
        <v>973</v>
      </c>
      <c r="V185" t="s">
        <v>1993</v>
      </c>
      <c r="W185" t="s">
        <v>1968</v>
      </c>
      <c r="X185">
        <v>5.75</v>
      </c>
      <c r="Y185" t="s">
        <v>1049</v>
      </c>
      <c r="Z185" t="s">
        <v>94</v>
      </c>
      <c r="AA185" t="s">
        <v>1994</v>
      </c>
      <c r="AB185">
        <v>3</v>
      </c>
      <c r="AC185" t="s">
        <v>1917</v>
      </c>
      <c r="AD185">
        <v>77.44</v>
      </c>
      <c r="AE185" t="s">
        <v>1995</v>
      </c>
      <c r="AF185">
        <v>1.31</v>
      </c>
      <c r="AG185">
        <v>0</v>
      </c>
      <c r="AH185">
        <v>0</v>
      </c>
      <c r="AI185" s="4">
        <v>42466</v>
      </c>
    </row>
    <row r="186" spans="1:35">
      <c r="A186">
        <v>185</v>
      </c>
      <c r="B186" t="str">
        <f>"000703"</f>
        <v>000703</v>
      </c>
      <c r="C186" t="s">
        <v>1996</v>
      </c>
      <c r="D186" s="4">
        <v>43190</v>
      </c>
      <c r="E186" t="s">
        <v>1029</v>
      </c>
      <c r="F186" t="s">
        <v>251</v>
      </c>
      <c r="G186" t="s">
        <v>1997</v>
      </c>
      <c r="H186">
        <v>0.3</v>
      </c>
      <c r="I186">
        <v>5.26</v>
      </c>
      <c r="J186">
        <v>5.74</v>
      </c>
      <c r="K186" t="s">
        <v>587</v>
      </c>
      <c r="L186">
        <v>77.989999999999995</v>
      </c>
      <c r="M186" t="s">
        <v>1998</v>
      </c>
      <c r="N186" t="s">
        <v>1999</v>
      </c>
      <c r="O186" t="s">
        <v>2000</v>
      </c>
      <c r="P186" t="s">
        <v>2001</v>
      </c>
      <c r="Q186">
        <v>55.91</v>
      </c>
      <c r="R186" t="s">
        <v>1196</v>
      </c>
      <c r="S186">
        <v>2.72</v>
      </c>
      <c r="T186">
        <v>5.13</v>
      </c>
      <c r="U186" t="s">
        <v>2002</v>
      </c>
      <c r="V186" t="s">
        <v>1465</v>
      </c>
      <c r="W186" t="s">
        <v>2003</v>
      </c>
      <c r="X186">
        <v>5.74</v>
      </c>
      <c r="Y186" t="s">
        <v>2004</v>
      </c>
      <c r="Z186" t="s">
        <v>1893</v>
      </c>
      <c r="AA186" t="s">
        <v>420</v>
      </c>
      <c r="AB186">
        <v>3.08</v>
      </c>
      <c r="AC186" t="s">
        <v>1745</v>
      </c>
      <c r="AD186">
        <v>33.21</v>
      </c>
      <c r="AE186" t="s">
        <v>2005</v>
      </c>
      <c r="AF186">
        <v>1.7</v>
      </c>
      <c r="AG186">
        <v>0</v>
      </c>
      <c r="AH186">
        <v>0</v>
      </c>
      <c r="AI186" s="4">
        <v>35517</v>
      </c>
    </row>
    <row r="187" spans="1:35">
      <c r="A187">
        <v>186</v>
      </c>
      <c r="B187" t="str">
        <f>"002832"</f>
        <v>002832</v>
      </c>
      <c r="C187" t="s">
        <v>2006</v>
      </c>
      <c r="D187" s="4">
        <v>43190</v>
      </c>
      <c r="E187" t="s">
        <v>1288</v>
      </c>
      <c r="F187" t="s">
        <v>2007</v>
      </c>
      <c r="G187">
        <v>9333</v>
      </c>
      <c r="H187">
        <v>0.47</v>
      </c>
      <c r="I187">
        <v>7.84</v>
      </c>
      <c r="J187">
        <v>5.72</v>
      </c>
      <c r="K187" t="s">
        <v>1324</v>
      </c>
      <c r="L187">
        <v>30.31</v>
      </c>
      <c r="M187" t="s">
        <v>1349</v>
      </c>
      <c r="N187" t="s">
        <v>2008</v>
      </c>
      <c r="O187" t="s">
        <v>1349</v>
      </c>
      <c r="P187" t="s">
        <v>2009</v>
      </c>
      <c r="Q187">
        <v>41.55</v>
      </c>
      <c r="R187" t="s">
        <v>2010</v>
      </c>
      <c r="S187">
        <v>3.47</v>
      </c>
      <c r="T187">
        <v>63.81</v>
      </c>
      <c r="U187" t="s">
        <v>308</v>
      </c>
      <c r="V187" t="s">
        <v>1052</v>
      </c>
      <c r="W187" t="s">
        <v>2011</v>
      </c>
      <c r="X187">
        <v>5.72</v>
      </c>
      <c r="Y187" t="s">
        <v>204</v>
      </c>
      <c r="Z187" t="s">
        <v>204</v>
      </c>
      <c r="AA187">
        <v>0</v>
      </c>
      <c r="AB187">
        <v>4.8600000000000003</v>
      </c>
      <c r="AC187" t="s">
        <v>391</v>
      </c>
      <c r="AD187">
        <v>80.92</v>
      </c>
      <c r="AE187" t="s">
        <v>1761</v>
      </c>
      <c r="AF187">
        <v>3.07</v>
      </c>
      <c r="AG187">
        <v>0</v>
      </c>
      <c r="AH187">
        <v>0</v>
      </c>
      <c r="AI187" s="4">
        <v>42727</v>
      </c>
    </row>
    <row r="188" spans="1:35">
      <c r="A188">
        <v>187</v>
      </c>
      <c r="B188" t="str">
        <f>"600031"</f>
        <v>600031</v>
      </c>
      <c r="C188" t="s">
        <v>2012</v>
      </c>
      <c r="D188" s="4">
        <v>43190</v>
      </c>
      <c r="E188" t="s">
        <v>2013</v>
      </c>
      <c r="F188" t="s">
        <v>2014</v>
      </c>
      <c r="G188" t="s">
        <v>2015</v>
      </c>
      <c r="H188">
        <v>0.19</v>
      </c>
      <c r="I188">
        <v>3.5</v>
      </c>
      <c r="J188">
        <v>5.71</v>
      </c>
      <c r="K188" t="s">
        <v>580</v>
      </c>
      <c r="L188">
        <v>29.67</v>
      </c>
      <c r="M188" t="s">
        <v>980</v>
      </c>
      <c r="N188" t="s">
        <v>256</v>
      </c>
      <c r="O188" t="s">
        <v>1101</v>
      </c>
      <c r="P188" t="s">
        <v>855</v>
      </c>
      <c r="Q188">
        <v>101.18</v>
      </c>
      <c r="R188" t="s">
        <v>2016</v>
      </c>
      <c r="S188">
        <v>2.16</v>
      </c>
      <c r="T188">
        <v>31.92</v>
      </c>
      <c r="U188" t="s">
        <v>2017</v>
      </c>
      <c r="V188" t="s">
        <v>2018</v>
      </c>
      <c r="W188" t="s">
        <v>1745</v>
      </c>
      <c r="X188">
        <v>5.71</v>
      </c>
      <c r="Y188" t="s">
        <v>2019</v>
      </c>
      <c r="Z188" t="s">
        <v>1811</v>
      </c>
      <c r="AA188" t="s">
        <v>2020</v>
      </c>
      <c r="AB188">
        <v>2.46</v>
      </c>
      <c r="AC188" t="s">
        <v>2021</v>
      </c>
      <c r="AD188">
        <v>42.84</v>
      </c>
      <c r="AE188" t="s">
        <v>971</v>
      </c>
      <c r="AF188">
        <v>0.18</v>
      </c>
      <c r="AG188">
        <v>0</v>
      </c>
      <c r="AH188">
        <v>0</v>
      </c>
      <c r="AI188" s="4">
        <v>37805</v>
      </c>
    </row>
    <row r="189" spans="1:35">
      <c r="A189">
        <v>188</v>
      </c>
      <c r="B189" t="str">
        <f>"603828"</f>
        <v>603828</v>
      </c>
      <c r="C189" t="s">
        <v>2022</v>
      </c>
      <c r="D189" s="4">
        <v>43190</v>
      </c>
      <c r="E189" t="s">
        <v>47</v>
      </c>
      <c r="F189" t="s">
        <v>144</v>
      </c>
      <c r="G189" t="s">
        <v>2023</v>
      </c>
      <c r="H189">
        <v>0.1</v>
      </c>
      <c r="I189">
        <v>3.32</v>
      </c>
      <c r="J189">
        <v>5.7</v>
      </c>
      <c r="K189" t="s">
        <v>681</v>
      </c>
      <c r="L189">
        <v>20.96</v>
      </c>
      <c r="M189" t="s">
        <v>2024</v>
      </c>
      <c r="N189" t="s">
        <v>2025</v>
      </c>
      <c r="O189" t="s">
        <v>2026</v>
      </c>
      <c r="P189" t="s">
        <v>2027</v>
      </c>
      <c r="Q189">
        <v>31.86</v>
      </c>
      <c r="R189" t="s">
        <v>104</v>
      </c>
      <c r="S189">
        <v>1.26</v>
      </c>
      <c r="T189">
        <v>12.85</v>
      </c>
      <c r="U189" t="s">
        <v>2028</v>
      </c>
      <c r="V189" t="s">
        <v>418</v>
      </c>
      <c r="W189" t="s">
        <v>71</v>
      </c>
      <c r="X189">
        <v>5.7</v>
      </c>
      <c r="Y189" t="s">
        <v>1390</v>
      </c>
      <c r="Z189" t="s">
        <v>516</v>
      </c>
      <c r="AA189" t="s">
        <v>1578</v>
      </c>
      <c r="AB189">
        <v>2.5499999999999998</v>
      </c>
      <c r="AC189" t="s">
        <v>602</v>
      </c>
      <c r="AD189">
        <v>33.020000000000003</v>
      </c>
      <c r="AE189" t="s">
        <v>2029</v>
      </c>
      <c r="AF189">
        <v>1.1000000000000001</v>
      </c>
      <c r="AG189">
        <v>0</v>
      </c>
      <c r="AH189">
        <v>0</v>
      </c>
      <c r="AI189" s="4">
        <v>42061</v>
      </c>
    </row>
    <row r="190" spans="1:35">
      <c r="A190">
        <v>189</v>
      </c>
      <c r="B190" t="str">
        <f>"603517"</f>
        <v>603517</v>
      </c>
      <c r="C190" t="s">
        <v>2030</v>
      </c>
      <c r="D190" s="4">
        <v>43190</v>
      </c>
      <c r="E190" t="s">
        <v>623</v>
      </c>
      <c r="F190" t="s">
        <v>2031</v>
      </c>
      <c r="G190" t="s">
        <v>1381</v>
      </c>
      <c r="H190">
        <v>0.37</v>
      </c>
      <c r="I190">
        <v>6.14</v>
      </c>
      <c r="J190">
        <v>5.69</v>
      </c>
      <c r="K190" t="s">
        <v>2032</v>
      </c>
      <c r="L190">
        <v>10.11</v>
      </c>
      <c r="M190" t="s">
        <v>95</v>
      </c>
      <c r="N190" t="s">
        <v>2033</v>
      </c>
      <c r="O190" t="s">
        <v>1624</v>
      </c>
      <c r="P190" t="s">
        <v>2034</v>
      </c>
      <c r="Q190">
        <v>31.26</v>
      </c>
      <c r="R190" t="s">
        <v>584</v>
      </c>
      <c r="S190">
        <v>3.08</v>
      </c>
      <c r="T190">
        <v>34.42</v>
      </c>
      <c r="U190" t="s">
        <v>236</v>
      </c>
      <c r="V190" t="s">
        <v>747</v>
      </c>
      <c r="W190" t="s">
        <v>2035</v>
      </c>
      <c r="X190">
        <v>5.69</v>
      </c>
      <c r="Y190" t="s">
        <v>1012</v>
      </c>
      <c r="Z190" t="s">
        <v>2036</v>
      </c>
      <c r="AA190" t="s">
        <v>2037</v>
      </c>
      <c r="AB190">
        <v>6.77</v>
      </c>
      <c r="AC190" t="s">
        <v>1675</v>
      </c>
      <c r="AD190">
        <v>84.19</v>
      </c>
      <c r="AE190" t="s">
        <v>63</v>
      </c>
      <c r="AF190">
        <v>1.87</v>
      </c>
      <c r="AG190">
        <v>0</v>
      </c>
      <c r="AH190">
        <v>0</v>
      </c>
      <c r="AI190" s="4">
        <v>42811</v>
      </c>
    </row>
    <row r="191" spans="1:35">
      <c r="A191">
        <v>190</v>
      </c>
      <c r="B191" t="str">
        <f>"600803"</f>
        <v>600803</v>
      </c>
      <c r="C191" t="s">
        <v>2038</v>
      </c>
      <c r="D191" s="4">
        <v>43190</v>
      </c>
      <c r="E191" t="s">
        <v>405</v>
      </c>
      <c r="F191" t="s">
        <v>405</v>
      </c>
      <c r="G191" t="s">
        <v>2039</v>
      </c>
      <c r="H191">
        <v>0.28000000000000003</v>
      </c>
      <c r="I191">
        <v>6.26</v>
      </c>
      <c r="J191">
        <v>5.69</v>
      </c>
      <c r="K191" t="s">
        <v>1252</v>
      </c>
      <c r="L191">
        <v>65.930000000000007</v>
      </c>
      <c r="M191" t="s">
        <v>1476</v>
      </c>
      <c r="N191" t="s">
        <v>2040</v>
      </c>
      <c r="O191" t="s">
        <v>540</v>
      </c>
      <c r="P191" t="s">
        <v>2041</v>
      </c>
      <c r="Q191">
        <v>88.4</v>
      </c>
      <c r="R191" t="s">
        <v>1233</v>
      </c>
      <c r="S191">
        <v>3.61</v>
      </c>
      <c r="T191">
        <v>22.88</v>
      </c>
      <c r="U191" t="s">
        <v>1468</v>
      </c>
      <c r="V191" t="s">
        <v>2042</v>
      </c>
      <c r="W191" t="s">
        <v>2043</v>
      </c>
      <c r="X191">
        <v>5.69</v>
      </c>
      <c r="Y191" t="s">
        <v>571</v>
      </c>
      <c r="Z191" t="s">
        <v>1485</v>
      </c>
      <c r="AA191" t="s">
        <v>2044</v>
      </c>
      <c r="AB191">
        <v>1.73</v>
      </c>
      <c r="AC191" t="s">
        <v>796</v>
      </c>
      <c r="AD191">
        <v>32.700000000000003</v>
      </c>
      <c r="AE191" t="s">
        <v>1455</v>
      </c>
      <c r="AF191">
        <v>1.47</v>
      </c>
      <c r="AG191">
        <v>0</v>
      </c>
      <c r="AH191">
        <v>0</v>
      </c>
      <c r="AI191" s="4">
        <v>34337</v>
      </c>
    </row>
    <row r="192" spans="1:35">
      <c r="A192">
        <v>191</v>
      </c>
      <c r="B192" t="str">
        <f>"600352"</f>
        <v>600352</v>
      </c>
      <c r="C192" t="s">
        <v>2045</v>
      </c>
      <c r="D192" s="4">
        <v>43190</v>
      </c>
      <c r="E192" t="s">
        <v>1396</v>
      </c>
      <c r="F192" t="s">
        <v>1396</v>
      </c>
      <c r="G192" t="s">
        <v>1422</v>
      </c>
      <c r="H192">
        <v>0.31</v>
      </c>
      <c r="I192">
        <v>5.4</v>
      </c>
      <c r="J192">
        <v>5.68</v>
      </c>
      <c r="K192" t="s">
        <v>1312</v>
      </c>
      <c r="L192">
        <v>7.41</v>
      </c>
      <c r="M192" t="s">
        <v>164</v>
      </c>
      <c r="N192" t="s">
        <v>2046</v>
      </c>
      <c r="O192" t="s">
        <v>164</v>
      </c>
      <c r="P192" t="s">
        <v>1496</v>
      </c>
      <c r="Q192">
        <v>103.33</v>
      </c>
      <c r="R192" t="s">
        <v>1524</v>
      </c>
      <c r="S192">
        <v>3.83</v>
      </c>
      <c r="T192">
        <v>42.66</v>
      </c>
      <c r="U192" t="s">
        <v>2047</v>
      </c>
      <c r="V192" t="s">
        <v>2048</v>
      </c>
      <c r="W192" t="s">
        <v>1599</v>
      </c>
      <c r="X192">
        <v>5.68</v>
      </c>
      <c r="Y192" t="s">
        <v>2049</v>
      </c>
      <c r="Z192" t="s">
        <v>841</v>
      </c>
      <c r="AA192" t="s">
        <v>2050</v>
      </c>
      <c r="AB192">
        <v>2.06</v>
      </c>
      <c r="AC192" t="s">
        <v>962</v>
      </c>
      <c r="AD192">
        <v>37.130000000000003</v>
      </c>
      <c r="AE192" t="s">
        <v>747</v>
      </c>
      <c r="AF192">
        <v>0.48</v>
      </c>
      <c r="AG192">
        <v>0</v>
      </c>
      <c r="AH192">
        <v>0</v>
      </c>
      <c r="AI192" s="4">
        <v>37834</v>
      </c>
    </row>
    <row r="193" spans="1:35">
      <c r="A193">
        <v>192</v>
      </c>
      <c r="B193" t="str">
        <f>"002928"</f>
        <v>002928</v>
      </c>
      <c r="C193" t="s">
        <v>2051</v>
      </c>
      <c r="D193" s="4">
        <v>43190</v>
      </c>
      <c r="E193" t="s">
        <v>150</v>
      </c>
      <c r="F193" t="s">
        <v>2052</v>
      </c>
      <c r="G193">
        <v>998</v>
      </c>
      <c r="H193">
        <v>0.21</v>
      </c>
      <c r="I193">
        <v>5</v>
      </c>
      <c r="J193">
        <v>5.68</v>
      </c>
      <c r="K193" t="s">
        <v>1079</v>
      </c>
      <c r="L193">
        <v>35.4</v>
      </c>
      <c r="M193" t="s">
        <v>2053</v>
      </c>
      <c r="N193">
        <v>0</v>
      </c>
      <c r="O193" t="s">
        <v>2054</v>
      </c>
      <c r="P193" t="s">
        <v>2055</v>
      </c>
      <c r="Q193">
        <v>6.31</v>
      </c>
      <c r="R193" t="s">
        <v>2056</v>
      </c>
      <c r="S193">
        <v>1.44</v>
      </c>
      <c r="T193">
        <v>19.47</v>
      </c>
      <c r="U193" t="s">
        <v>1195</v>
      </c>
      <c r="V193" t="s">
        <v>1785</v>
      </c>
      <c r="W193" t="s">
        <v>2057</v>
      </c>
      <c r="X193">
        <v>5.68</v>
      </c>
      <c r="Y193" t="s">
        <v>732</v>
      </c>
      <c r="Z193" t="s">
        <v>76</v>
      </c>
      <c r="AA193" t="s">
        <v>1285</v>
      </c>
      <c r="AB193">
        <v>6.1</v>
      </c>
      <c r="AC193" t="s">
        <v>1000</v>
      </c>
      <c r="AD193">
        <v>29.57</v>
      </c>
      <c r="AE193" t="s">
        <v>1976</v>
      </c>
      <c r="AF193">
        <v>2.41</v>
      </c>
      <c r="AG193">
        <v>0</v>
      </c>
      <c r="AH193">
        <v>0</v>
      </c>
      <c r="AI193" s="4">
        <v>43161</v>
      </c>
    </row>
    <row r="194" spans="1:35">
      <c r="A194">
        <v>193</v>
      </c>
      <c r="B194" t="str">
        <f>"600567"</f>
        <v>600567</v>
      </c>
      <c r="C194" t="s">
        <v>2058</v>
      </c>
      <c r="D194" s="4">
        <v>43190</v>
      </c>
      <c r="E194" t="s">
        <v>2059</v>
      </c>
      <c r="F194" t="s">
        <v>2059</v>
      </c>
      <c r="G194" t="s">
        <v>2015</v>
      </c>
      <c r="H194">
        <v>0.13</v>
      </c>
      <c r="I194">
        <v>2.27</v>
      </c>
      <c r="J194">
        <v>5.67</v>
      </c>
      <c r="K194" t="s">
        <v>2060</v>
      </c>
      <c r="L194">
        <v>60.6</v>
      </c>
      <c r="M194" t="s">
        <v>2061</v>
      </c>
      <c r="N194" t="s">
        <v>2062</v>
      </c>
      <c r="O194" t="s">
        <v>889</v>
      </c>
      <c r="P194" t="s">
        <v>2063</v>
      </c>
      <c r="Q194">
        <v>39.85</v>
      </c>
      <c r="R194" t="s">
        <v>2064</v>
      </c>
      <c r="S194">
        <v>0.55000000000000004</v>
      </c>
      <c r="T194">
        <v>21.27</v>
      </c>
      <c r="U194" t="s">
        <v>2065</v>
      </c>
      <c r="V194" t="s">
        <v>716</v>
      </c>
      <c r="W194" t="s">
        <v>580</v>
      </c>
      <c r="X194">
        <v>5.67</v>
      </c>
      <c r="Y194" t="s">
        <v>1221</v>
      </c>
      <c r="Z194" t="s">
        <v>1885</v>
      </c>
      <c r="AA194" t="s">
        <v>783</v>
      </c>
      <c r="AB194">
        <v>1.58</v>
      </c>
      <c r="AC194" t="s">
        <v>2066</v>
      </c>
      <c r="AD194">
        <v>35.26</v>
      </c>
      <c r="AE194" t="s">
        <v>528</v>
      </c>
      <c r="AF194">
        <v>0.95</v>
      </c>
      <c r="AG194">
        <v>0</v>
      </c>
      <c r="AH194">
        <v>0</v>
      </c>
      <c r="AI194" s="4">
        <v>37243</v>
      </c>
    </row>
    <row r="195" spans="1:35">
      <c r="A195">
        <v>194</v>
      </c>
      <c r="B195" t="str">
        <f>"600618"</f>
        <v>600618</v>
      </c>
      <c r="C195" t="s">
        <v>2067</v>
      </c>
      <c r="D195" s="4">
        <v>43190</v>
      </c>
      <c r="E195" t="s">
        <v>613</v>
      </c>
      <c r="F195" t="s">
        <v>1590</v>
      </c>
      <c r="G195">
        <v>0</v>
      </c>
      <c r="H195">
        <v>0.15</v>
      </c>
      <c r="I195">
        <v>2.63</v>
      </c>
      <c r="J195">
        <v>5.66</v>
      </c>
      <c r="K195" t="s">
        <v>50</v>
      </c>
      <c r="L195">
        <v>4.87</v>
      </c>
      <c r="M195" t="s">
        <v>193</v>
      </c>
      <c r="N195" t="s">
        <v>2068</v>
      </c>
      <c r="O195" t="s">
        <v>415</v>
      </c>
      <c r="P195" t="s">
        <v>2069</v>
      </c>
      <c r="Q195">
        <v>190.24</v>
      </c>
      <c r="R195" t="s">
        <v>916</v>
      </c>
      <c r="S195">
        <v>0.17</v>
      </c>
      <c r="T195">
        <v>14.45</v>
      </c>
      <c r="U195" t="s">
        <v>2070</v>
      </c>
      <c r="V195" t="s">
        <v>1367</v>
      </c>
      <c r="W195" t="s">
        <v>775</v>
      </c>
      <c r="X195">
        <v>5.66</v>
      </c>
      <c r="Y195" t="s">
        <v>1190</v>
      </c>
      <c r="Z195" t="s">
        <v>584</v>
      </c>
      <c r="AA195" t="s">
        <v>844</v>
      </c>
      <c r="AB195">
        <v>3.03</v>
      </c>
      <c r="AC195" t="s">
        <v>2071</v>
      </c>
      <c r="AD195">
        <v>65.010000000000005</v>
      </c>
      <c r="AE195" t="s">
        <v>1190</v>
      </c>
      <c r="AF195">
        <v>1.45</v>
      </c>
      <c r="AG195" t="s">
        <v>48</v>
      </c>
      <c r="AH195">
        <v>0</v>
      </c>
      <c r="AI195" s="4">
        <v>33921</v>
      </c>
    </row>
    <row r="196" spans="1:35">
      <c r="A196">
        <v>195</v>
      </c>
      <c r="B196" t="str">
        <f>"600346"</f>
        <v>600346</v>
      </c>
      <c r="C196" t="s">
        <v>2072</v>
      </c>
      <c r="D196" s="4">
        <v>43190</v>
      </c>
      <c r="E196" t="s">
        <v>2043</v>
      </c>
      <c r="F196" t="s">
        <v>2073</v>
      </c>
      <c r="G196" t="s">
        <v>2074</v>
      </c>
      <c r="H196">
        <v>0.22</v>
      </c>
      <c r="I196">
        <v>5.39</v>
      </c>
      <c r="J196">
        <v>5.66</v>
      </c>
      <c r="K196" t="s">
        <v>590</v>
      </c>
      <c r="L196">
        <v>32.97</v>
      </c>
      <c r="M196" t="s">
        <v>613</v>
      </c>
      <c r="N196" t="s">
        <v>2075</v>
      </c>
      <c r="O196" t="s">
        <v>613</v>
      </c>
      <c r="P196" t="s">
        <v>602</v>
      </c>
      <c r="Q196">
        <v>68.47</v>
      </c>
      <c r="R196" t="s">
        <v>1025</v>
      </c>
      <c r="S196">
        <v>0.26</v>
      </c>
      <c r="T196">
        <v>15.48</v>
      </c>
      <c r="U196" t="s">
        <v>2076</v>
      </c>
      <c r="V196" t="s">
        <v>2077</v>
      </c>
      <c r="W196" t="s">
        <v>2078</v>
      </c>
      <c r="X196">
        <v>5.66</v>
      </c>
      <c r="Y196" t="s">
        <v>2079</v>
      </c>
      <c r="Z196" t="s">
        <v>2080</v>
      </c>
      <c r="AA196" t="s">
        <v>932</v>
      </c>
      <c r="AB196">
        <v>2.69</v>
      </c>
      <c r="AC196" t="s">
        <v>1495</v>
      </c>
      <c r="AD196">
        <v>27.28</v>
      </c>
      <c r="AE196" t="s">
        <v>229</v>
      </c>
      <c r="AF196">
        <v>4.0599999999999996</v>
      </c>
      <c r="AG196">
        <v>0</v>
      </c>
      <c r="AH196">
        <v>0</v>
      </c>
      <c r="AI196" s="4">
        <v>37123</v>
      </c>
    </row>
    <row r="197" spans="1:35">
      <c r="A197">
        <v>196</v>
      </c>
      <c r="B197" t="str">
        <f>"603387"</f>
        <v>603387</v>
      </c>
      <c r="C197" t="s">
        <v>2081</v>
      </c>
      <c r="D197" s="4">
        <v>43190</v>
      </c>
      <c r="E197" t="s">
        <v>383</v>
      </c>
      <c r="F197" t="s">
        <v>2082</v>
      </c>
      <c r="G197">
        <v>2370</v>
      </c>
      <c r="H197">
        <v>0.36</v>
      </c>
      <c r="I197">
        <v>6.19</v>
      </c>
      <c r="J197">
        <v>5.65</v>
      </c>
      <c r="K197" t="s">
        <v>1016</v>
      </c>
      <c r="L197">
        <v>55.28</v>
      </c>
      <c r="M197" t="s">
        <v>2083</v>
      </c>
      <c r="N197" t="s">
        <v>2084</v>
      </c>
      <c r="O197" t="s">
        <v>2085</v>
      </c>
      <c r="P197" t="s">
        <v>2086</v>
      </c>
      <c r="Q197">
        <v>62.69</v>
      </c>
      <c r="R197" t="s">
        <v>678</v>
      </c>
      <c r="S197">
        <v>1.49</v>
      </c>
      <c r="T197">
        <v>82.54</v>
      </c>
      <c r="U197" t="s">
        <v>924</v>
      </c>
      <c r="V197" t="s">
        <v>323</v>
      </c>
      <c r="W197" t="s">
        <v>711</v>
      </c>
      <c r="X197">
        <v>5.65</v>
      </c>
      <c r="Y197" t="s">
        <v>677</v>
      </c>
      <c r="Z197" t="s">
        <v>1349</v>
      </c>
      <c r="AA197" t="s">
        <v>2087</v>
      </c>
      <c r="AB197">
        <v>8.44</v>
      </c>
      <c r="AC197" t="s">
        <v>264</v>
      </c>
      <c r="AD197">
        <v>90.74</v>
      </c>
      <c r="AE197" t="s">
        <v>1487</v>
      </c>
      <c r="AF197">
        <v>3.6</v>
      </c>
      <c r="AG197">
        <v>0</v>
      </c>
      <c r="AH197">
        <v>0</v>
      </c>
      <c r="AI197" s="4">
        <v>42933</v>
      </c>
    </row>
    <row r="198" spans="1:35">
      <c r="A198">
        <v>197</v>
      </c>
      <c r="B198" t="str">
        <f>"002773"</f>
        <v>002773</v>
      </c>
      <c r="C198" t="s">
        <v>2088</v>
      </c>
      <c r="D198" s="4">
        <v>43190</v>
      </c>
      <c r="E198" t="s">
        <v>2089</v>
      </c>
      <c r="F198" t="s">
        <v>2090</v>
      </c>
      <c r="G198">
        <v>7113</v>
      </c>
      <c r="H198">
        <v>0.31</v>
      </c>
      <c r="I198">
        <v>5.29</v>
      </c>
      <c r="J198">
        <v>5.65</v>
      </c>
      <c r="K198" t="s">
        <v>489</v>
      </c>
      <c r="L198">
        <v>9.0299999999999994</v>
      </c>
      <c r="M198" t="s">
        <v>219</v>
      </c>
      <c r="N198" t="s">
        <v>2091</v>
      </c>
      <c r="O198" t="s">
        <v>474</v>
      </c>
      <c r="P198" t="s">
        <v>1970</v>
      </c>
      <c r="Q198">
        <v>35.880000000000003</v>
      </c>
      <c r="R198" t="s">
        <v>243</v>
      </c>
      <c r="S198">
        <v>3.05</v>
      </c>
      <c r="T198">
        <v>91.79</v>
      </c>
      <c r="U198" t="s">
        <v>2092</v>
      </c>
      <c r="V198" t="s">
        <v>2093</v>
      </c>
      <c r="W198" t="s">
        <v>1563</v>
      </c>
      <c r="X198">
        <v>5.65</v>
      </c>
      <c r="Y198" t="s">
        <v>978</v>
      </c>
      <c r="Z198" t="s">
        <v>2094</v>
      </c>
      <c r="AA198" t="s">
        <v>123</v>
      </c>
      <c r="AB198">
        <v>9.7899999999999991</v>
      </c>
      <c r="AC198" t="s">
        <v>1486</v>
      </c>
      <c r="AD198">
        <v>78.47</v>
      </c>
      <c r="AE198" t="s">
        <v>2095</v>
      </c>
      <c r="AF198">
        <v>0.97</v>
      </c>
      <c r="AG198">
        <v>0</v>
      </c>
      <c r="AH198">
        <v>0</v>
      </c>
      <c r="AI198" s="4">
        <v>42181</v>
      </c>
    </row>
    <row r="199" spans="1:35">
      <c r="A199">
        <v>198</v>
      </c>
      <c r="B199" t="str">
        <f>"600323"</f>
        <v>600323</v>
      </c>
      <c r="C199" t="s">
        <v>2096</v>
      </c>
      <c r="D199" s="4">
        <v>43190</v>
      </c>
      <c r="E199" t="s">
        <v>871</v>
      </c>
      <c r="F199" t="s">
        <v>871</v>
      </c>
      <c r="G199" t="s">
        <v>2097</v>
      </c>
      <c r="H199">
        <v>0.4</v>
      </c>
      <c r="I199">
        <v>7.07</v>
      </c>
      <c r="J199">
        <v>5.62</v>
      </c>
      <c r="K199" t="s">
        <v>835</v>
      </c>
      <c r="L199">
        <v>20.03</v>
      </c>
      <c r="M199" t="s">
        <v>2098</v>
      </c>
      <c r="N199" t="s">
        <v>2099</v>
      </c>
      <c r="O199" t="s">
        <v>1934</v>
      </c>
      <c r="P199" t="s">
        <v>325</v>
      </c>
      <c r="Q199">
        <v>133.96</v>
      </c>
      <c r="R199" t="s">
        <v>2100</v>
      </c>
      <c r="S199">
        <v>3.5</v>
      </c>
      <c r="T199">
        <v>36.14</v>
      </c>
      <c r="U199" t="s">
        <v>398</v>
      </c>
      <c r="V199" t="s">
        <v>119</v>
      </c>
      <c r="W199" t="s">
        <v>1127</v>
      </c>
      <c r="X199">
        <v>5.62</v>
      </c>
      <c r="Y199" t="s">
        <v>557</v>
      </c>
      <c r="Z199" t="s">
        <v>1158</v>
      </c>
      <c r="AA199" t="s">
        <v>1338</v>
      </c>
      <c r="AB199">
        <v>2.09</v>
      </c>
      <c r="AC199" t="s">
        <v>2060</v>
      </c>
      <c r="AD199">
        <v>38.340000000000003</v>
      </c>
      <c r="AE199" t="s">
        <v>908</v>
      </c>
      <c r="AF199">
        <v>1.99</v>
      </c>
      <c r="AG199">
        <v>0</v>
      </c>
      <c r="AH199">
        <v>0</v>
      </c>
      <c r="AI199" s="4">
        <v>36885</v>
      </c>
    </row>
    <row r="200" spans="1:35">
      <c r="A200">
        <v>199</v>
      </c>
      <c r="B200" t="str">
        <f>"600596"</f>
        <v>600596</v>
      </c>
      <c r="C200" t="s">
        <v>2101</v>
      </c>
      <c r="D200" s="4">
        <v>43190</v>
      </c>
      <c r="E200" t="s">
        <v>1723</v>
      </c>
      <c r="F200" t="s">
        <v>491</v>
      </c>
      <c r="G200" t="s">
        <v>1105</v>
      </c>
      <c r="H200">
        <v>0.37</v>
      </c>
      <c r="I200">
        <v>6.54</v>
      </c>
      <c r="J200">
        <v>5.61</v>
      </c>
      <c r="K200" t="s">
        <v>1308</v>
      </c>
      <c r="L200">
        <v>43.72</v>
      </c>
      <c r="M200" t="s">
        <v>2102</v>
      </c>
      <c r="N200" t="s">
        <v>2103</v>
      </c>
      <c r="O200" t="s">
        <v>1664</v>
      </c>
      <c r="P200" t="s">
        <v>507</v>
      </c>
      <c r="Q200">
        <v>315.5</v>
      </c>
      <c r="R200" t="s">
        <v>1313</v>
      </c>
      <c r="S200">
        <v>3.78</v>
      </c>
      <c r="T200">
        <v>22.05</v>
      </c>
      <c r="U200" t="s">
        <v>2104</v>
      </c>
      <c r="V200" t="s">
        <v>2105</v>
      </c>
      <c r="W200" t="s">
        <v>235</v>
      </c>
      <c r="X200">
        <v>5.61</v>
      </c>
      <c r="Y200" t="s">
        <v>893</v>
      </c>
      <c r="Z200" t="s">
        <v>230</v>
      </c>
      <c r="AA200" t="s">
        <v>1346</v>
      </c>
      <c r="AB200">
        <v>2.5499999999999998</v>
      </c>
      <c r="AC200" t="s">
        <v>2106</v>
      </c>
      <c r="AD200">
        <v>49.4</v>
      </c>
      <c r="AE200" t="s">
        <v>519</v>
      </c>
      <c r="AF200">
        <v>1.23</v>
      </c>
      <c r="AG200">
        <v>0</v>
      </c>
      <c r="AH200">
        <v>0</v>
      </c>
      <c r="AI200" s="4">
        <v>37140</v>
      </c>
    </row>
    <row r="201" spans="1:35">
      <c r="A201">
        <v>200</v>
      </c>
      <c r="B201" t="str">
        <f>"603658"</f>
        <v>603658</v>
      </c>
      <c r="C201" t="s">
        <v>2107</v>
      </c>
      <c r="D201" s="4">
        <v>43190</v>
      </c>
      <c r="E201" t="s">
        <v>324</v>
      </c>
      <c r="F201" t="s">
        <v>993</v>
      </c>
      <c r="G201" t="s">
        <v>268</v>
      </c>
      <c r="H201">
        <v>0.23</v>
      </c>
      <c r="I201">
        <v>3.48</v>
      </c>
      <c r="J201">
        <v>5.6</v>
      </c>
      <c r="K201" t="s">
        <v>104</v>
      </c>
      <c r="L201">
        <v>71.87</v>
      </c>
      <c r="M201" t="s">
        <v>355</v>
      </c>
      <c r="N201" t="s">
        <v>2108</v>
      </c>
      <c r="O201" t="s">
        <v>355</v>
      </c>
      <c r="P201" t="s">
        <v>2109</v>
      </c>
      <c r="Q201">
        <v>42.43</v>
      </c>
      <c r="R201" t="s">
        <v>2110</v>
      </c>
      <c r="S201">
        <v>0.85</v>
      </c>
      <c r="T201">
        <v>64.650000000000006</v>
      </c>
      <c r="U201" t="s">
        <v>276</v>
      </c>
      <c r="V201" t="s">
        <v>1094</v>
      </c>
      <c r="W201" t="s">
        <v>175</v>
      </c>
      <c r="X201">
        <v>5.6</v>
      </c>
      <c r="Y201" t="s">
        <v>2111</v>
      </c>
      <c r="Z201" t="s">
        <v>2112</v>
      </c>
      <c r="AA201" t="s">
        <v>2113</v>
      </c>
      <c r="AB201">
        <v>21.08</v>
      </c>
      <c r="AC201" t="s">
        <v>775</v>
      </c>
      <c r="AD201">
        <v>75.930000000000007</v>
      </c>
      <c r="AE201" t="s">
        <v>2111</v>
      </c>
      <c r="AF201">
        <v>1.27</v>
      </c>
      <c r="AG201">
        <v>0</v>
      </c>
      <c r="AH201">
        <v>0</v>
      </c>
      <c r="AI201" s="4">
        <v>42614</v>
      </c>
    </row>
    <row r="202" spans="1:35">
      <c r="A202">
        <v>201</v>
      </c>
      <c r="B202" t="str">
        <f>"002749"</f>
        <v>002749</v>
      </c>
      <c r="C202" t="s">
        <v>2114</v>
      </c>
      <c r="D202" s="4">
        <v>43190</v>
      </c>
      <c r="E202" t="s">
        <v>2115</v>
      </c>
      <c r="F202" t="s">
        <v>2116</v>
      </c>
      <c r="G202">
        <v>4047</v>
      </c>
      <c r="H202">
        <v>0.39</v>
      </c>
      <c r="I202">
        <v>5.93</v>
      </c>
      <c r="J202">
        <v>5.59</v>
      </c>
      <c r="K202" t="s">
        <v>337</v>
      </c>
      <c r="L202">
        <v>19.73</v>
      </c>
      <c r="M202" t="s">
        <v>2117</v>
      </c>
      <c r="N202" t="s">
        <v>2118</v>
      </c>
      <c r="O202" t="s">
        <v>2119</v>
      </c>
      <c r="P202" t="s">
        <v>727</v>
      </c>
      <c r="Q202">
        <v>25.92</v>
      </c>
      <c r="R202" t="s">
        <v>1295</v>
      </c>
      <c r="S202">
        <v>2.21</v>
      </c>
      <c r="T202">
        <v>49.45</v>
      </c>
      <c r="U202" t="s">
        <v>1496</v>
      </c>
      <c r="V202" t="s">
        <v>1041</v>
      </c>
      <c r="W202" t="s">
        <v>2120</v>
      </c>
      <c r="X202">
        <v>5.59</v>
      </c>
      <c r="Y202" t="s">
        <v>677</v>
      </c>
      <c r="Z202" t="s">
        <v>198</v>
      </c>
      <c r="AA202" t="s">
        <v>2121</v>
      </c>
      <c r="AB202">
        <v>5.77</v>
      </c>
      <c r="AC202" t="s">
        <v>460</v>
      </c>
      <c r="AD202">
        <v>88.39</v>
      </c>
      <c r="AE202" t="s">
        <v>977</v>
      </c>
      <c r="AF202">
        <v>2.1800000000000002</v>
      </c>
      <c r="AG202">
        <v>0</v>
      </c>
      <c r="AH202">
        <v>0</v>
      </c>
      <c r="AI202" s="4">
        <v>42083</v>
      </c>
    </row>
    <row r="203" spans="1:35">
      <c r="A203">
        <v>202</v>
      </c>
      <c r="B203" t="str">
        <f>"603429"</f>
        <v>603429</v>
      </c>
      <c r="C203" t="s">
        <v>2122</v>
      </c>
      <c r="D203" s="4">
        <v>43190</v>
      </c>
      <c r="E203" t="s">
        <v>2123</v>
      </c>
      <c r="F203" t="s">
        <v>2124</v>
      </c>
      <c r="G203" t="s">
        <v>2125</v>
      </c>
      <c r="H203">
        <v>0.16</v>
      </c>
      <c r="I203">
        <v>2.81</v>
      </c>
      <c r="J203">
        <v>5.58</v>
      </c>
      <c r="K203" t="s">
        <v>2126</v>
      </c>
      <c r="L203">
        <v>97.09</v>
      </c>
      <c r="M203" t="s">
        <v>2127</v>
      </c>
      <c r="N203" t="s">
        <v>2128</v>
      </c>
      <c r="O203" t="s">
        <v>2129</v>
      </c>
      <c r="P203" t="s">
        <v>2130</v>
      </c>
      <c r="Q203">
        <v>52.99</v>
      </c>
      <c r="R203" t="s">
        <v>1417</v>
      </c>
      <c r="S203">
        <v>0.98</v>
      </c>
      <c r="T203">
        <v>52.62</v>
      </c>
      <c r="U203" t="s">
        <v>2131</v>
      </c>
      <c r="V203" t="s">
        <v>365</v>
      </c>
      <c r="W203" t="s">
        <v>1624</v>
      </c>
      <c r="X203">
        <v>5.58</v>
      </c>
      <c r="Y203" t="s">
        <v>2132</v>
      </c>
      <c r="Z203" t="s">
        <v>478</v>
      </c>
      <c r="AA203" t="s">
        <v>1075</v>
      </c>
      <c r="AB203">
        <v>8.07</v>
      </c>
      <c r="AC203" t="s">
        <v>1088</v>
      </c>
      <c r="AD203">
        <v>64.319999999999993</v>
      </c>
      <c r="AE203" t="s">
        <v>292</v>
      </c>
      <c r="AF203">
        <v>0.78</v>
      </c>
      <c r="AG203">
        <v>0</v>
      </c>
      <c r="AH203">
        <v>0</v>
      </c>
      <c r="AI203" s="4">
        <v>42759</v>
      </c>
    </row>
    <row r="204" spans="1:35">
      <c r="A204">
        <v>203</v>
      </c>
      <c r="B204" t="str">
        <f>"002508"</f>
        <v>002508</v>
      </c>
      <c r="C204" t="s">
        <v>2133</v>
      </c>
      <c r="D204" s="4">
        <v>43190</v>
      </c>
      <c r="E204" t="s">
        <v>513</v>
      </c>
      <c r="F204" t="s">
        <v>2134</v>
      </c>
      <c r="G204" t="s">
        <v>2135</v>
      </c>
      <c r="H204">
        <v>0.32</v>
      </c>
      <c r="I204">
        <v>5.13</v>
      </c>
      <c r="J204">
        <v>5.58</v>
      </c>
      <c r="K204" t="s">
        <v>983</v>
      </c>
      <c r="L204">
        <v>16.89</v>
      </c>
      <c r="M204" t="s">
        <v>1383</v>
      </c>
      <c r="N204" t="s">
        <v>83</v>
      </c>
      <c r="O204" t="s">
        <v>314</v>
      </c>
      <c r="P204" t="s">
        <v>1206</v>
      </c>
      <c r="Q204">
        <v>20.05</v>
      </c>
      <c r="R204" t="s">
        <v>2136</v>
      </c>
      <c r="S204">
        <v>3.22</v>
      </c>
      <c r="T204">
        <v>52.32</v>
      </c>
      <c r="U204" t="s">
        <v>2137</v>
      </c>
      <c r="V204" t="s">
        <v>2138</v>
      </c>
      <c r="W204" t="s">
        <v>2139</v>
      </c>
      <c r="X204">
        <v>5.58</v>
      </c>
      <c r="Y204" t="s">
        <v>1329</v>
      </c>
      <c r="Z204" t="s">
        <v>450</v>
      </c>
      <c r="AA204" t="s">
        <v>2140</v>
      </c>
      <c r="AB204">
        <v>6.68</v>
      </c>
      <c r="AC204" t="s">
        <v>1110</v>
      </c>
      <c r="AD204">
        <v>66.3</v>
      </c>
      <c r="AE204" t="s">
        <v>241</v>
      </c>
      <c r="AF204">
        <v>0.42</v>
      </c>
      <c r="AG204">
        <v>0</v>
      </c>
      <c r="AH204">
        <v>0</v>
      </c>
      <c r="AI204" s="4">
        <v>40505</v>
      </c>
    </row>
    <row r="205" spans="1:35">
      <c r="A205">
        <v>204</v>
      </c>
      <c r="B205" t="str">
        <f>"002514"</f>
        <v>002514</v>
      </c>
      <c r="C205" t="s">
        <v>2141</v>
      </c>
      <c r="D205" s="4">
        <v>43190</v>
      </c>
      <c r="E205" t="s">
        <v>483</v>
      </c>
      <c r="F205" t="s">
        <v>1028</v>
      </c>
      <c r="G205" t="s">
        <v>2135</v>
      </c>
      <c r="H205">
        <v>0.09</v>
      </c>
      <c r="I205">
        <v>1.65</v>
      </c>
      <c r="J205">
        <v>5.57</v>
      </c>
      <c r="K205" t="s">
        <v>2142</v>
      </c>
      <c r="L205">
        <v>83.81</v>
      </c>
      <c r="M205" t="s">
        <v>2143</v>
      </c>
      <c r="N205" t="s">
        <v>2144</v>
      </c>
      <c r="O205" t="s">
        <v>2145</v>
      </c>
      <c r="P205" t="s">
        <v>2146</v>
      </c>
      <c r="Q205">
        <v>128.56</v>
      </c>
      <c r="R205" t="s">
        <v>2147</v>
      </c>
      <c r="S205">
        <v>0.11</v>
      </c>
      <c r="T205">
        <v>40.549999999999997</v>
      </c>
      <c r="U205" t="s">
        <v>76</v>
      </c>
      <c r="V205" t="s">
        <v>2148</v>
      </c>
      <c r="W205" t="s">
        <v>704</v>
      </c>
      <c r="X205">
        <v>5.57</v>
      </c>
      <c r="Y205" t="s">
        <v>2149</v>
      </c>
      <c r="Z205" t="s">
        <v>1651</v>
      </c>
      <c r="AA205" t="s">
        <v>2150</v>
      </c>
      <c r="AB205">
        <v>3.41</v>
      </c>
      <c r="AC205" t="s">
        <v>1833</v>
      </c>
      <c r="AD205">
        <v>55.45</v>
      </c>
      <c r="AE205" t="s">
        <v>1664</v>
      </c>
      <c r="AF205">
        <v>0.51</v>
      </c>
      <c r="AG205">
        <v>0</v>
      </c>
      <c r="AH205">
        <v>0</v>
      </c>
      <c r="AI205" s="4">
        <v>40515</v>
      </c>
    </row>
    <row r="206" spans="1:35">
      <c r="A206">
        <v>205</v>
      </c>
      <c r="B206" t="str">
        <f>"603179"</f>
        <v>603179</v>
      </c>
      <c r="C206" t="s">
        <v>2151</v>
      </c>
      <c r="D206" s="4">
        <v>43190</v>
      </c>
      <c r="E206" t="s">
        <v>935</v>
      </c>
      <c r="F206" t="s">
        <v>2152</v>
      </c>
      <c r="G206">
        <v>6404</v>
      </c>
      <c r="H206">
        <v>0.34</v>
      </c>
      <c r="I206">
        <v>5.9</v>
      </c>
      <c r="J206">
        <v>5.53</v>
      </c>
      <c r="K206" t="s">
        <v>59</v>
      </c>
      <c r="L206">
        <v>18.52</v>
      </c>
      <c r="M206" t="s">
        <v>2153</v>
      </c>
      <c r="N206">
        <v>0</v>
      </c>
      <c r="O206" t="s">
        <v>2154</v>
      </c>
      <c r="P206" t="s">
        <v>2155</v>
      </c>
      <c r="Q206">
        <v>37.659999999999997</v>
      </c>
      <c r="R206" t="s">
        <v>1799</v>
      </c>
      <c r="S206">
        <v>1.99</v>
      </c>
      <c r="T206">
        <v>22.26</v>
      </c>
      <c r="U206" t="s">
        <v>1225</v>
      </c>
      <c r="V206" t="s">
        <v>253</v>
      </c>
      <c r="W206" t="s">
        <v>2156</v>
      </c>
      <c r="X206">
        <v>5.53</v>
      </c>
      <c r="Y206" t="s">
        <v>159</v>
      </c>
      <c r="Z206" t="s">
        <v>1920</v>
      </c>
      <c r="AA206" t="s">
        <v>2157</v>
      </c>
      <c r="AB206">
        <v>3.83</v>
      </c>
      <c r="AC206" t="s">
        <v>173</v>
      </c>
      <c r="AD206">
        <v>40.42</v>
      </c>
      <c r="AE206" t="s">
        <v>566</v>
      </c>
      <c r="AF206">
        <v>2.99</v>
      </c>
      <c r="AG206">
        <v>0</v>
      </c>
      <c r="AH206">
        <v>0</v>
      </c>
      <c r="AI206" s="4">
        <v>42811</v>
      </c>
    </row>
    <row r="207" spans="1:35">
      <c r="A207">
        <v>206</v>
      </c>
      <c r="B207" t="str">
        <f>"603037"</f>
        <v>603037</v>
      </c>
      <c r="C207" t="s">
        <v>2158</v>
      </c>
      <c r="D207" s="4">
        <v>43190</v>
      </c>
      <c r="E207" t="s">
        <v>1475</v>
      </c>
      <c r="F207" t="s">
        <v>2159</v>
      </c>
      <c r="G207">
        <v>7459</v>
      </c>
      <c r="H207">
        <v>0.41</v>
      </c>
      <c r="I207">
        <v>7.63</v>
      </c>
      <c r="J207">
        <v>5.52</v>
      </c>
      <c r="K207" t="s">
        <v>2034</v>
      </c>
      <c r="L207">
        <v>29.79</v>
      </c>
      <c r="M207" t="s">
        <v>2160</v>
      </c>
      <c r="N207">
        <v>0</v>
      </c>
      <c r="O207" t="s">
        <v>2160</v>
      </c>
      <c r="P207" t="s">
        <v>2161</v>
      </c>
      <c r="Q207">
        <v>24.8</v>
      </c>
      <c r="R207" t="s">
        <v>668</v>
      </c>
      <c r="S207">
        <v>2.25</v>
      </c>
      <c r="T207">
        <v>47.16</v>
      </c>
      <c r="U207" t="s">
        <v>1198</v>
      </c>
      <c r="V207" t="s">
        <v>1649</v>
      </c>
      <c r="W207" t="s">
        <v>198</v>
      </c>
      <c r="X207">
        <v>5.52</v>
      </c>
      <c r="Y207" t="s">
        <v>1119</v>
      </c>
      <c r="Z207" t="s">
        <v>1119</v>
      </c>
      <c r="AA207">
        <v>0</v>
      </c>
      <c r="AB207">
        <v>2.89</v>
      </c>
      <c r="AC207" t="s">
        <v>1868</v>
      </c>
      <c r="AD207">
        <v>88.35</v>
      </c>
      <c r="AE207" t="s">
        <v>196</v>
      </c>
      <c r="AF207">
        <v>4.32</v>
      </c>
      <c r="AG207">
        <v>0</v>
      </c>
      <c r="AH207">
        <v>0</v>
      </c>
      <c r="AI207" s="4">
        <v>42755</v>
      </c>
    </row>
    <row r="208" spans="1:35">
      <c r="A208">
        <v>207</v>
      </c>
      <c r="B208" t="str">
        <f>"600408"</f>
        <v>600408</v>
      </c>
      <c r="C208" t="s">
        <v>2162</v>
      </c>
      <c r="D208" s="4">
        <v>43190</v>
      </c>
      <c r="E208" t="s">
        <v>1094</v>
      </c>
      <c r="F208" t="s">
        <v>1094</v>
      </c>
      <c r="G208" t="s">
        <v>1862</v>
      </c>
      <c r="H208">
        <v>0.04</v>
      </c>
      <c r="I208">
        <v>0.72</v>
      </c>
      <c r="J208">
        <v>5.52</v>
      </c>
      <c r="K208" t="s">
        <v>1126</v>
      </c>
      <c r="L208">
        <v>56.1</v>
      </c>
      <c r="M208" t="s">
        <v>2163</v>
      </c>
      <c r="N208">
        <v>0</v>
      </c>
      <c r="O208" t="s">
        <v>2164</v>
      </c>
      <c r="P208" t="s">
        <v>2165</v>
      </c>
      <c r="Q208">
        <v>180.59</v>
      </c>
      <c r="R208" t="s">
        <v>2166</v>
      </c>
      <c r="S208">
        <v>-1.87</v>
      </c>
      <c r="T208">
        <v>11.51</v>
      </c>
      <c r="U208" t="s">
        <v>2167</v>
      </c>
      <c r="V208" t="s">
        <v>1843</v>
      </c>
      <c r="W208" t="s">
        <v>1242</v>
      </c>
      <c r="X208">
        <v>5.52</v>
      </c>
      <c r="Y208" t="s">
        <v>1738</v>
      </c>
      <c r="Z208" t="s">
        <v>464</v>
      </c>
      <c r="AA208" t="s">
        <v>1496</v>
      </c>
      <c r="AB208">
        <v>2.17</v>
      </c>
      <c r="AC208" t="s">
        <v>1073</v>
      </c>
      <c r="AD208">
        <v>13.41</v>
      </c>
      <c r="AE208" t="s">
        <v>584</v>
      </c>
      <c r="AF208">
        <v>1.45</v>
      </c>
      <c r="AG208">
        <v>0</v>
      </c>
      <c r="AH208">
        <v>0</v>
      </c>
      <c r="AI208" s="4">
        <v>37664</v>
      </c>
    </row>
    <row r="209" spans="1:35">
      <c r="A209">
        <v>208</v>
      </c>
      <c r="B209" t="str">
        <f>"603165"</f>
        <v>603165</v>
      </c>
      <c r="C209" t="s">
        <v>2168</v>
      </c>
      <c r="D209" s="4">
        <v>43190</v>
      </c>
      <c r="E209" t="s">
        <v>1839</v>
      </c>
      <c r="F209" t="s">
        <v>2169</v>
      </c>
      <c r="G209">
        <v>2100</v>
      </c>
      <c r="H209">
        <v>0.33</v>
      </c>
      <c r="I209">
        <v>5.81</v>
      </c>
      <c r="J209">
        <v>5.5</v>
      </c>
      <c r="K209" t="s">
        <v>1040</v>
      </c>
      <c r="L209">
        <v>-10.35</v>
      </c>
      <c r="M209" t="s">
        <v>2170</v>
      </c>
      <c r="N209" t="s">
        <v>2171</v>
      </c>
      <c r="O209" t="s">
        <v>2170</v>
      </c>
      <c r="P209" t="s">
        <v>2172</v>
      </c>
      <c r="Q209">
        <v>-38.07</v>
      </c>
      <c r="R209" t="s">
        <v>1849</v>
      </c>
      <c r="S209">
        <v>3.13</v>
      </c>
      <c r="T209">
        <v>16.600000000000001</v>
      </c>
      <c r="U209" t="s">
        <v>176</v>
      </c>
      <c r="V209" t="s">
        <v>776</v>
      </c>
      <c r="W209" t="s">
        <v>1706</v>
      </c>
      <c r="X209">
        <v>5.5</v>
      </c>
      <c r="Y209" t="s">
        <v>134</v>
      </c>
      <c r="Z209" t="s">
        <v>368</v>
      </c>
      <c r="AA209" t="s">
        <v>2173</v>
      </c>
      <c r="AB209">
        <v>3.9</v>
      </c>
      <c r="AC209" t="s">
        <v>147</v>
      </c>
      <c r="AD209">
        <v>81.44</v>
      </c>
      <c r="AE209" t="s">
        <v>681</v>
      </c>
      <c r="AF209">
        <v>1.86</v>
      </c>
      <c r="AG209">
        <v>0</v>
      </c>
      <c r="AH209">
        <v>0</v>
      </c>
      <c r="AI209" s="4">
        <v>42752</v>
      </c>
    </row>
    <row r="210" spans="1:35">
      <c r="A210">
        <v>209</v>
      </c>
      <c r="B210" t="str">
        <f>"002470"</f>
        <v>002470</v>
      </c>
      <c r="C210" t="s">
        <v>2174</v>
      </c>
      <c r="D210" s="4">
        <v>43190</v>
      </c>
      <c r="E210" t="s">
        <v>907</v>
      </c>
      <c r="F210" t="s">
        <v>512</v>
      </c>
      <c r="G210" t="s">
        <v>2175</v>
      </c>
      <c r="H210">
        <v>0.17</v>
      </c>
      <c r="I210">
        <v>3.07</v>
      </c>
      <c r="J210">
        <v>5.48</v>
      </c>
      <c r="K210" t="s">
        <v>1857</v>
      </c>
      <c r="L210">
        <v>20.309999999999999</v>
      </c>
      <c r="M210" t="s">
        <v>523</v>
      </c>
      <c r="N210" t="s">
        <v>2176</v>
      </c>
      <c r="O210" t="s">
        <v>2177</v>
      </c>
      <c r="P210" t="s">
        <v>2178</v>
      </c>
      <c r="Q210">
        <v>27.64</v>
      </c>
      <c r="R210" t="s">
        <v>572</v>
      </c>
      <c r="S210">
        <v>1.57</v>
      </c>
      <c r="T210">
        <v>17.809999999999999</v>
      </c>
      <c r="U210" t="s">
        <v>2179</v>
      </c>
      <c r="V210" t="s">
        <v>719</v>
      </c>
      <c r="W210" t="s">
        <v>2059</v>
      </c>
      <c r="X210">
        <v>5.48</v>
      </c>
      <c r="Y210" t="s">
        <v>2137</v>
      </c>
      <c r="Z210" t="s">
        <v>2180</v>
      </c>
      <c r="AA210" t="s">
        <v>419</v>
      </c>
      <c r="AB210">
        <v>2.41</v>
      </c>
      <c r="AC210" t="s">
        <v>2181</v>
      </c>
      <c r="AD210">
        <v>47.14</v>
      </c>
      <c r="AE210" t="s">
        <v>354</v>
      </c>
      <c r="AF210">
        <v>0.36</v>
      </c>
      <c r="AG210">
        <v>0</v>
      </c>
      <c r="AH210">
        <v>0</v>
      </c>
      <c r="AI210" s="4">
        <v>40429</v>
      </c>
    </row>
    <row r="211" spans="1:35">
      <c r="A211">
        <v>210</v>
      </c>
      <c r="B211" t="str">
        <f>"002267"</f>
        <v>002267</v>
      </c>
      <c r="C211" t="s">
        <v>2182</v>
      </c>
      <c r="D211" s="4">
        <v>43190</v>
      </c>
      <c r="E211" t="s">
        <v>323</v>
      </c>
      <c r="F211" t="s">
        <v>323</v>
      </c>
      <c r="G211" t="s">
        <v>2183</v>
      </c>
      <c r="H211">
        <v>0.28000000000000003</v>
      </c>
      <c r="I211">
        <v>5.04</v>
      </c>
      <c r="J211">
        <v>5.46</v>
      </c>
      <c r="K211" t="s">
        <v>589</v>
      </c>
      <c r="L211">
        <v>8.84</v>
      </c>
      <c r="M211" t="s">
        <v>138</v>
      </c>
      <c r="N211" t="s">
        <v>2184</v>
      </c>
      <c r="O211" t="s">
        <v>138</v>
      </c>
      <c r="P211" t="s">
        <v>2185</v>
      </c>
      <c r="Q211">
        <v>42.6</v>
      </c>
      <c r="R211" t="s">
        <v>356</v>
      </c>
      <c r="S211">
        <v>2.2400000000000002</v>
      </c>
      <c r="T211">
        <v>15.88</v>
      </c>
      <c r="U211" t="s">
        <v>399</v>
      </c>
      <c r="V211" t="s">
        <v>570</v>
      </c>
      <c r="W211" t="s">
        <v>2186</v>
      </c>
      <c r="X211">
        <v>5.46</v>
      </c>
      <c r="Y211" t="s">
        <v>1600</v>
      </c>
      <c r="Z211" t="s">
        <v>2093</v>
      </c>
      <c r="AA211" t="s">
        <v>565</v>
      </c>
      <c r="AB211">
        <v>1.31</v>
      </c>
      <c r="AC211" t="s">
        <v>2187</v>
      </c>
      <c r="AD211">
        <v>49.85</v>
      </c>
      <c r="AE211" t="s">
        <v>101</v>
      </c>
      <c r="AF211">
        <v>1.1599999999999999</v>
      </c>
      <c r="AG211">
        <v>0</v>
      </c>
      <c r="AH211">
        <v>0</v>
      </c>
      <c r="AI211" s="4">
        <v>39673</v>
      </c>
    </row>
    <row r="212" spans="1:35">
      <c r="A212">
        <v>211</v>
      </c>
      <c r="B212" t="str">
        <f>"603639"</f>
        <v>603639</v>
      </c>
      <c r="C212" t="s">
        <v>2188</v>
      </c>
      <c r="D212" s="4">
        <v>43190</v>
      </c>
      <c r="E212" t="s">
        <v>290</v>
      </c>
      <c r="F212" t="s">
        <v>2189</v>
      </c>
      <c r="G212">
        <v>3174</v>
      </c>
      <c r="H212">
        <v>0.54</v>
      </c>
      <c r="I212">
        <v>9.94</v>
      </c>
      <c r="J212">
        <v>5.45</v>
      </c>
      <c r="K212" t="s">
        <v>1799</v>
      </c>
      <c r="L212">
        <v>44.59</v>
      </c>
      <c r="M212" t="s">
        <v>71</v>
      </c>
      <c r="N212" t="s">
        <v>2190</v>
      </c>
      <c r="O212" t="s">
        <v>71</v>
      </c>
      <c r="P212" t="s">
        <v>2191</v>
      </c>
      <c r="Q212">
        <v>47.55</v>
      </c>
      <c r="R212" t="s">
        <v>2192</v>
      </c>
      <c r="S212">
        <v>4.5199999999999996</v>
      </c>
      <c r="T212">
        <v>37.49</v>
      </c>
      <c r="U212" t="s">
        <v>223</v>
      </c>
      <c r="V212" t="s">
        <v>516</v>
      </c>
      <c r="W212" t="s">
        <v>499</v>
      </c>
      <c r="X212">
        <v>5.45</v>
      </c>
      <c r="Y212" t="s">
        <v>523</v>
      </c>
      <c r="Z212" t="s">
        <v>448</v>
      </c>
      <c r="AA212" t="s">
        <v>2193</v>
      </c>
      <c r="AB212">
        <v>2.59</v>
      </c>
      <c r="AC212" t="s">
        <v>646</v>
      </c>
      <c r="AD212">
        <v>70.599999999999994</v>
      </c>
      <c r="AE212" t="s">
        <v>2194</v>
      </c>
      <c r="AF212">
        <v>4.0999999999999996</v>
      </c>
      <c r="AG212">
        <v>0</v>
      </c>
      <c r="AH212">
        <v>0</v>
      </c>
      <c r="AI212" s="4">
        <v>42747</v>
      </c>
    </row>
    <row r="213" spans="1:35">
      <c r="A213">
        <v>212</v>
      </c>
      <c r="B213" t="str">
        <f>"601238"</f>
        <v>601238</v>
      </c>
      <c r="C213" t="s">
        <v>2195</v>
      </c>
      <c r="D213" s="4">
        <v>43190</v>
      </c>
      <c r="E213" t="s">
        <v>716</v>
      </c>
      <c r="F213" t="s">
        <v>2196</v>
      </c>
      <c r="G213" t="s">
        <v>1328</v>
      </c>
      <c r="H213">
        <v>0.38</v>
      </c>
      <c r="I213">
        <v>6.85</v>
      </c>
      <c r="J213">
        <v>5.44</v>
      </c>
      <c r="K213" t="s">
        <v>462</v>
      </c>
      <c r="L213">
        <v>15.22</v>
      </c>
      <c r="M213" t="s">
        <v>1291</v>
      </c>
      <c r="N213" t="s">
        <v>706</v>
      </c>
      <c r="O213" t="s">
        <v>2197</v>
      </c>
      <c r="P213" t="s">
        <v>948</v>
      </c>
      <c r="Q213">
        <v>1.34</v>
      </c>
      <c r="R213" t="s">
        <v>2002</v>
      </c>
      <c r="S213">
        <v>3.38</v>
      </c>
      <c r="T213">
        <v>24.52</v>
      </c>
      <c r="U213" t="s">
        <v>2198</v>
      </c>
      <c r="V213" t="s">
        <v>2199</v>
      </c>
      <c r="W213" t="s">
        <v>1745</v>
      </c>
      <c r="X213">
        <v>5.44</v>
      </c>
      <c r="Y213" t="s">
        <v>2200</v>
      </c>
      <c r="Z213" t="s">
        <v>1983</v>
      </c>
      <c r="AA213" t="s">
        <v>465</v>
      </c>
      <c r="AB213">
        <v>1.79</v>
      </c>
      <c r="AC213" t="s">
        <v>896</v>
      </c>
      <c r="AD213">
        <v>61.91</v>
      </c>
      <c r="AE213" t="s">
        <v>2201</v>
      </c>
      <c r="AF213">
        <v>2.15</v>
      </c>
      <c r="AG213">
        <v>0</v>
      </c>
      <c r="AH213" t="s">
        <v>2057</v>
      </c>
      <c r="AI213" s="4">
        <v>40997</v>
      </c>
    </row>
    <row r="214" spans="1:35">
      <c r="A214">
        <v>213</v>
      </c>
      <c r="B214" t="str">
        <f>"002901"</f>
        <v>002901</v>
      </c>
      <c r="C214" t="s">
        <v>2202</v>
      </c>
      <c r="D214" s="4">
        <v>43190</v>
      </c>
      <c r="E214" t="s">
        <v>150</v>
      </c>
      <c r="F214" t="s">
        <v>151</v>
      </c>
      <c r="G214">
        <v>1719</v>
      </c>
      <c r="H214">
        <v>0.17</v>
      </c>
      <c r="I214">
        <v>2.84</v>
      </c>
      <c r="J214">
        <v>5.44</v>
      </c>
      <c r="K214" t="s">
        <v>863</v>
      </c>
      <c r="L214">
        <v>20.45</v>
      </c>
      <c r="M214" t="s">
        <v>2203</v>
      </c>
      <c r="N214" t="s">
        <v>2204</v>
      </c>
      <c r="O214" t="s">
        <v>2205</v>
      </c>
      <c r="P214" t="s">
        <v>2206</v>
      </c>
      <c r="Q214">
        <v>21.47</v>
      </c>
      <c r="R214" t="s">
        <v>324</v>
      </c>
      <c r="S214">
        <v>0.65</v>
      </c>
      <c r="T214">
        <v>82.9</v>
      </c>
      <c r="U214" t="s">
        <v>161</v>
      </c>
      <c r="V214" t="s">
        <v>613</v>
      </c>
      <c r="W214" t="s">
        <v>118</v>
      </c>
      <c r="X214">
        <v>5.44</v>
      </c>
      <c r="Y214" t="s">
        <v>45</v>
      </c>
      <c r="Z214" t="s">
        <v>533</v>
      </c>
      <c r="AA214" t="s">
        <v>2207</v>
      </c>
      <c r="AB214">
        <v>11.75</v>
      </c>
      <c r="AC214" t="s">
        <v>1025</v>
      </c>
      <c r="AD214">
        <v>89.91</v>
      </c>
      <c r="AE214" t="s">
        <v>349</v>
      </c>
      <c r="AF214">
        <v>1.03</v>
      </c>
      <c r="AG214">
        <v>0</v>
      </c>
      <c r="AH214">
        <v>0</v>
      </c>
      <c r="AI214" s="4">
        <v>43000</v>
      </c>
    </row>
    <row r="215" spans="1:35">
      <c r="A215">
        <v>214</v>
      </c>
      <c r="B215" t="str">
        <f>"600606"</f>
        <v>600606</v>
      </c>
      <c r="C215" t="s">
        <v>2208</v>
      </c>
      <c r="D215" s="4">
        <v>43190</v>
      </c>
      <c r="E215" t="s">
        <v>580</v>
      </c>
      <c r="F215" t="s">
        <v>693</v>
      </c>
      <c r="G215" t="s">
        <v>2209</v>
      </c>
      <c r="H215">
        <v>0.28999999999999998</v>
      </c>
      <c r="I215">
        <v>5.27</v>
      </c>
      <c r="J215">
        <v>5.43</v>
      </c>
      <c r="K215" t="s">
        <v>2210</v>
      </c>
      <c r="L215">
        <v>27.16</v>
      </c>
      <c r="M215" t="s">
        <v>765</v>
      </c>
      <c r="N215" t="s">
        <v>44</v>
      </c>
      <c r="O215" t="s">
        <v>2211</v>
      </c>
      <c r="P215" t="s">
        <v>2212</v>
      </c>
      <c r="Q215">
        <v>30.3</v>
      </c>
      <c r="R215" t="s">
        <v>1096</v>
      </c>
      <c r="S215">
        <v>3.32</v>
      </c>
      <c r="T215">
        <v>14.55</v>
      </c>
      <c r="U215" t="s">
        <v>2213</v>
      </c>
      <c r="V215" t="s">
        <v>2214</v>
      </c>
      <c r="W215" t="s">
        <v>719</v>
      </c>
      <c r="X215">
        <v>5.43</v>
      </c>
      <c r="Y215" t="s">
        <v>2215</v>
      </c>
      <c r="Z215" t="s">
        <v>2216</v>
      </c>
      <c r="AA215" t="s">
        <v>2217</v>
      </c>
      <c r="AB215">
        <v>1.31</v>
      </c>
      <c r="AC215" t="s">
        <v>2218</v>
      </c>
      <c r="AD215">
        <v>7.61</v>
      </c>
      <c r="AE215" t="s">
        <v>2219</v>
      </c>
      <c r="AF215">
        <v>0.74</v>
      </c>
      <c r="AG215">
        <v>0</v>
      </c>
      <c r="AH215">
        <v>0</v>
      </c>
      <c r="AI215" s="4">
        <v>33690</v>
      </c>
    </row>
    <row r="216" spans="1:35">
      <c r="A216">
        <v>215</v>
      </c>
      <c r="B216" t="str">
        <f>"002468"</f>
        <v>002468</v>
      </c>
      <c r="C216" t="s">
        <v>2220</v>
      </c>
      <c r="D216" s="4">
        <v>43190</v>
      </c>
      <c r="E216" t="s">
        <v>391</v>
      </c>
      <c r="F216" t="s">
        <v>1672</v>
      </c>
      <c r="G216" t="s">
        <v>2221</v>
      </c>
      <c r="H216">
        <v>0.25</v>
      </c>
      <c r="I216">
        <v>4.46</v>
      </c>
      <c r="J216">
        <v>5.43</v>
      </c>
      <c r="K216" t="s">
        <v>1546</v>
      </c>
      <c r="L216">
        <v>33.479999999999997</v>
      </c>
      <c r="M216" t="s">
        <v>2222</v>
      </c>
      <c r="N216" t="s">
        <v>2223</v>
      </c>
      <c r="O216" t="s">
        <v>1018</v>
      </c>
      <c r="P216" t="s">
        <v>2224</v>
      </c>
      <c r="Q216">
        <v>17.239999999999998</v>
      </c>
      <c r="R216" t="s">
        <v>1054</v>
      </c>
      <c r="S216">
        <v>1.89</v>
      </c>
      <c r="T216">
        <v>17.690000000000001</v>
      </c>
      <c r="U216" t="s">
        <v>2137</v>
      </c>
      <c r="V216" t="s">
        <v>2225</v>
      </c>
      <c r="W216" t="s">
        <v>926</v>
      </c>
      <c r="X216">
        <v>5.43</v>
      </c>
      <c r="Y216" t="s">
        <v>1082</v>
      </c>
      <c r="Z216" t="s">
        <v>548</v>
      </c>
      <c r="AA216" t="s">
        <v>2226</v>
      </c>
      <c r="AB216">
        <v>5.16</v>
      </c>
      <c r="AC216" t="s">
        <v>2227</v>
      </c>
      <c r="AD216">
        <v>84.65</v>
      </c>
      <c r="AE216" t="s">
        <v>733</v>
      </c>
      <c r="AF216">
        <v>2.09</v>
      </c>
      <c r="AG216">
        <v>0</v>
      </c>
      <c r="AH216">
        <v>0</v>
      </c>
      <c r="AI216" s="4">
        <v>40429</v>
      </c>
    </row>
    <row r="217" spans="1:35">
      <c r="A217">
        <v>216</v>
      </c>
      <c r="B217" t="str">
        <f>"600197"</f>
        <v>600197</v>
      </c>
      <c r="C217" t="s">
        <v>2228</v>
      </c>
      <c r="D217" s="4">
        <v>43190</v>
      </c>
      <c r="E217" t="s">
        <v>335</v>
      </c>
      <c r="F217" t="s">
        <v>335</v>
      </c>
      <c r="G217" t="s">
        <v>2229</v>
      </c>
      <c r="H217">
        <v>0.27</v>
      </c>
      <c r="I217">
        <v>5.19</v>
      </c>
      <c r="J217">
        <v>5.42</v>
      </c>
      <c r="K217" t="s">
        <v>2230</v>
      </c>
      <c r="L217">
        <v>8.6300000000000008</v>
      </c>
      <c r="M217" t="s">
        <v>321</v>
      </c>
      <c r="N217">
        <v>0</v>
      </c>
      <c r="O217" t="s">
        <v>337</v>
      </c>
      <c r="P217" t="s">
        <v>1525</v>
      </c>
      <c r="Q217">
        <v>8.42</v>
      </c>
      <c r="R217" t="s">
        <v>1025</v>
      </c>
      <c r="S217">
        <v>2.95</v>
      </c>
      <c r="T217">
        <v>50.06</v>
      </c>
      <c r="U217" t="s">
        <v>1054</v>
      </c>
      <c r="V217" t="s">
        <v>1785</v>
      </c>
      <c r="W217" t="s">
        <v>1461</v>
      </c>
      <c r="X217">
        <v>5.42</v>
      </c>
      <c r="Y217" t="s">
        <v>1173</v>
      </c>
      <c r="Z217" t="s">
        <v>1415</v>
      </c>
      <c r="AA217" t="s">
        <v>2231</v>
      </c>
      <c r="AB217">
        <v>4.3600000000000003</v>
      </c>
      <c r="AC217" t="s">
        <v>865</v>
      </c>
      <c r="AD217">
        <v>71.430000000000007</v>
      </c>
      <c r="AE217" t="s">
        <v>1970</v>
      </c>
      <c r="AF217">
        <v>0.47</v>
      </c>
      <c r="AG217">
        <v>0</v>
      </c>
      <c r="AH217">
        <v>0</v>
      </c>
      <c r="AI217" s="4">
        <v>36419</v>
      </c>
    </row>
    <row r="218" spans="1:35">
      <c r="A218">
        <v>217</v>
      </c>
      <c r="B218" t="str">
        <f>"002174"</f>
        <v>002174</v>
      </c>
      <c r="C218" t="s">
        <v>2232</v>
      </c>
      <c r="D218" s="4">
        <v>43190</v>
      </c>
      <c r="E218" t="s">
        <v>2233</v>
      </c>
      <c r="F218" t="s">
        <v>92</v>
      </c>
      <c r="G218" t="s">
        <v>2234</v>
      </c>
      <c r="H218">
        <v>0.25</v>
      </c>
      <c r="I218">
        <v>4.67</v>
      </c>
      <c r="J218">
        <v>5.42</v>
      </c>
      <c r="K218" t="s">
        <v>2235</v>
      </c>
      <c r="L218">
        <v>-2.25</v>
      </c>
      <c r="M218" t="s">
        <v>1210</v>
      </c>
      <c r="N218" t="s">
        <v>2236</v>
      </c>
      <c r="O218" t="s">
        <v>916</v>
      </c>
      <c r="P218" t="s">
        <v>262</v>
      </c>
      <c r="Q218">
        <v>7.84</v>
      </c>
      <c r="R218" t="s">
        <v>352</v>
      </c>
      <c r="S218">
        <v>2.75</v>
      </c>
      <c r="T218">
        <v>64.36</v>
      </c>
      <c r="U218" t="s">
        <v>2237</v>
      </c>
      <c r="V218" t="s">
        <v>2238</v>
      </c>
      <c r="W218" t="s">
        <v>1394</v>
      </c>
      <c r="X218">
        <v>5.42</v>
      </c>
      <c r="Y218" t="s">
        <v>700</v>
      </c>
      <c r="Z218" t="s">
        <v>826</v>
      </c>
      <c r="AA218" t="s">
        <v>346</v>
      </c>
      <c r="AB218">
        <v>4.22</v>
      </c>
      <c r="AC218" t="s">
        <v>2239</v>
      </c>
      <c r="AD218">
        <v>59.57</v>
      </c>
      <c r="AE218" t="s">
        <v>1084</v>
      </c>
      <c r="AF218">
        <v>1.0900000000000001</v>
      </c>
      <c r="AG218">
        <v>0</v>
      </c>
      <c r="AH218">
        <v>0</v>
      </c>
      <c r="AI218" s="4">
        <v>39350</v>
      </c>
    </row>
    <row r="219" spans="1:35">
      <c r="A219">
        <v>218</v>
      </c>
      <c r="B219" t="str">
        <f>"002142"</f>
        <v>002142</v>
      </c>
      <c r="C219" t="s">
        <v>2240</v>
      </c>
      <c r="D219" s="4">
        <v>43190</v>
      </c>
      <c r="E219" t="s">
        <v>2241</v>
      </c>
      <c r="F219" t="s">
        <v>830</v>
      </c>
      <c r="G219" t="s">
        <v>2242</v>
      </c>
      <c r="H219">
        <v>0.56000000000000005</v>
      </c>
      <c r="I219">
        <v>10.59</v>
      </c>
      <c r="J219">
        <v>5.42</v>
      </c>
      <c r="K219" t="s">
        <v>2243</v>
      </c>
      <c r="L219">
        <v>2.2999999999999998</v>
      </c>
      <c r="M219" t="s">
        <v>1386</v>
      </c>
      <c r="N219" t="s">
        <v>510</v>
      </c>
      <c r="O219" t="s">
        <v>158</v>
      </c>
      <c r="P219" t="s">
        <v>1881</v>
      </c>
      <c r="Q219">
        <v>19.61</v>
      </c>
      <c r="R219" t="s">
        <v>784</v>
      </c>
      <c r="S219">
        <v>5.66</v>
      </c>
      <c r="T219">
        <v>0</v>
      </c>
      <c r="U219" t="s">
        <v>2244</v>
      </c>
      <c r="V219">
        <v>0</v>
      </c>
      <c r="W219" t="s">
        <v>2245</v>
      </c>
      <c r="X219">
        <v>5.42</v>
      </c>
      <c r="Y219" t="s">
        <v>2246</v>
      </c>
      <c r="Z219">
        <v>0</v>
      </c>
      <c r="AA219">
        <v>0</v>
      </c>
      <c r="AB219">
        <v>1.63</v>
      </c>
      <c r="AC219" t="s">
        <v>2247</v>
      </c>
      <c r="AD219">
        <v>5.65</v>
      </c>
      <c r="AE219" t="s">
        <v>2248</v>
      </c>
      <c r="AF219">
        <v>1.73</v>
      </c>
      <c r="AG219">
        <v>0</v>
      </c>
      <c r="AH219">
        <v>0</v>
      </c>
      <c r="AI219" s="4">
        <v>39282</v>
      </c>
    </row>
    <row r="220" spans="1:35">
      <c r="A220">
        <v>219</v>
      </c>
      <c r="B220" t="str">
        <f>"002613"</f>
        <v>002613</v>
      </c>
      <c r="C220" t="s">
        <v>2249</v>
      </c>
      <c r="D220" s="4">
        <v>43190</v>
      </c>
      <c r="E220" t="s">
        <v>2250</v>
      </c>
      <c r="F220" t="s">
        <v>1076</v>
      </c>
      <c r="G220" t="s">
        <v>1199</v>
      </c>
      <c r="H220">
        <v>0.09</v>
      </c>
      <c r="I220">
        <v>1.63</v>
      </c>
      <c r="J220">
        <v>5.41</v>
      </c>
      <c r="K220" t="s">
        <v>507</v>
      </c>
      <c r="L220">
        <v>34.08</v>
      </c>
      <c r="M220" t="s">
        <v>2251</v>
      </c>
      <c r="N220" t="s">
        <v>2252</v>
      </c>
      <c r="O220" t="s">
        <v>2253</v>
      </c>
      <c r="P220" t="s">
        <v>2254</v>
      </c>
      <c r="Q220">
        <v>5103.4399999999996</v>
      </c>
      <c r="R220" t="s">
        <v>1621</v>
      </c>
      <c r="S220">
        <v>0.32</v>
      </c>
      <c r="T220">
        <v>23.25</v>
      </c>
      <c r="U220" t="s">
        <v>261</v>
      </c>
      <c r="V220" t="s">
        <v>855</v>
      </c>
      <c r="W220" t="s">
        <v>2255</v>
      </c>
      <c r="X220">
        <v>5.41</v>
      </c>
      <c r="Y220" t="s">
        <v>289</v>
      </c>
      <c r="Z220" t="s">
        <v>1481</v>
      </c>
      <c r="AA220" t="s">
        <v>2256</v>
      </c>
      <c r="AB220">
        <v>1.83</v>
      </c>
      <c r="AC220" t="s">
        <v>908</v>
      </c>
      <c r="AD220">
        <v>68.239999999999995</v>
      </c>
      <c r="AE220" t="s">
        <v>1004</v>
      </c>
      <c r="AF220">
        <v>0.24</v>
      </c>
      <c r="AG220">
        <v>0</v>
      </c>
      <c r="AH220">
        <v>0</v>
      </c>
      <c r="AI220" s="4">
        <v>40785</v>
      </c>
    </row>
    <row r="221" spans="1:35">
      <c r="A221">
        <v>220</v>
      </c>
      <c r="B221" t="str">
        <f>"600778"</f>
        <v>600778</v>
      </c>
      <c r="C221" t="s">
        <v>2257</v>
      </c>
      <c r="D221" s="4">
        <v>43190</v>
      </c>
      <c r="E221" t="s">
        <v>679</v>
      </c>
      <c r="F221" t="s">
        <v>679</v>
      </c>
      <c r="G221" t="s">
        <v>2258</v>
      </c>
      <c r="H221">
        <v>0.13</v>
      </c>
      <c r="I221">
        <v>2.42</v>
      </c>
      <c r="J221">
        <v>5.4</v>
      </c>
      <c r="K221" t="s">
        <v>847</v>
      </c>
      <c r="L221">
        <v>6.82</v>
      </c>
      <c r="M221" t="s">
        <v>2259</v>
      </c>
      <c r="N221" t="s">
        <v>2260</v>
      </c>
      <c r="O221" t="s">
        <v>2261</v>
      </c>
      <c r="P221" t="s">
        <v>2262</v>
      </c>
      <c r="Q221">
        <v>349.28</v>
      </c>
      <c r="R221" t="s">
        <v>2263</v>
      </c>
      <c r="S221">
        <v>-0.22</v>
      </c>
      <c r="T221">
        <v>23.36</v>
      </c>
      <c r="U221" t="s">
        <v>1327</v>
      </c>
      <c r="V221" t="s">
        <v>625</v>
      </c>
      <c r="W221" t="s">
        <v>702</v>
      </c>
      <c r="X221">
        <v>5.4</v>
      </c>
      <c r="Y221" t="s">
        <v>528</v>
      </c>
      <c r="Z221" t="s">
        <v>817</v>
      </c>
      <c r="AA221" t="s">
        <v>2000</v>
      </c>
      <c r="AB221">
        <v>1.93</v>
      </c>
      <c r="AC221" t="s">
        <v>2264</v>
      </c>
      <c r="AD221">
        <v>14.74</v>
      </c>
      <c r="AE221" t="s">
        <v>78</v>
      </c>
      <c r="AF221">
        <v>1.3</v>
      </c>
      <c r="AG221">
        <v>0</v>
      </c>
      <c r="AH221">
        <v>0</v>
      </c>
      <c r="AI221" s="4">
        <v>35402</v>
      </c>
    </row>
    <row r="222" spans="1:35">
      <c r="A222">
        <v>221</v>
      </c>
      <c r="B222" t="str">
        <f>"002061"</f>
        <v>002061</v>
      </c>
      <c r="C222" t="s">
        <v>2265</v>
      </c>
      <c r="D222" s="4">
        <v>43190</v>
      </c>
      <c r="E222" t="s">
        <v>840</v>
      </c>
      <c r="F222" t="s">
        <v>1450</v>
      </c>
      <c r="G222" t="s">
        <v>2266</v>
      </c>
      <c r="H222">
        <v>0.23</v>
      </c>
      <c r="I222">
        <v>4.2699999999999996</v>
      </c>
      <c r="J222">
        <v>5.37</v>
      </c>
      <c r="K222" t="s">
        <v>2267</v>
      </c>
      <c r="L222">
        <v>62.87</v>
      </c>
      <c r="M222" t="s">
        <v>2268</v>
      </c>
      <c r="N222" t="s">
        <v>2269</v>
      </c>
      <c r="O222" t="s">
        <v>1968</v>
      </c>
      <c r="P222" t="s">
        <v>1810</v>
      </c>
      <c r="Q222">
        <v>223.11</v>
      </c>
      <c r="R222" t="s">
        <v>1455</v>
      </c>
      <c r="S222">
        <v>1.28</v>
      </c>
      <c r="T222">
        <v>13.67</v>
      </c>
      <c r="U222" t="s">
        <v>2270</v>
      </c>
      <c r="V222" t="s">
        <v>2016</v>
      </c>
      <c r="W222" t="s">
        <v>1601</v>
      </c>
      <c r="X222">
        <v>5.37</v>
      </c>
      <c r="Y222" t="s">
        <v>2271</v>
      </c>
      <c r="Z222" t="s">
        <v>1885</v>
      </c>
      <c r="AA222" t="s">
        <v>1693</v>
      </c>
      <c r="AB222">
        <v>2.21</v>
      </c>
      <c r="AC222" t="s">
        <v>2272</v>
      </c>
      <c r="AD222">
        <v>24.19</v>
      </c>
      <c r="AE222" t="s">
        <v>2273</v>
      </c>
      <c r="AF222">
        <v>1.82</v>
      </c>
      <c r="AG222">
        <v>0</v>
      </c>
      <c r="AH222">
        <v>0</v>
      </c>
      <c r="AI222" s="4">
        <v>38945</v>
      </c>
    </row>
    <row r="223" spans="1:35">
      <c r="A223">
        <v>222</v>
      </c>
      <c r="B223" t="str">
        <f>"603466"</f>
        <v>603466</v>
      </c>
      <c r="C223" t="s">
        <v>2274</v>
      </c>
      <c r="D223" s="4">
        <v>43190</v>
      </c>
      <c r="E223" t="s">
        <v>1124</v>
      </c>
      <c r="F223" t="s">
        <v>2275</v>
      </c>
      <c r="G223">
        <v>1615</v>
      </c>
      <c r="H223">
        <v>0.24</v>
      </c>
      <c r="I223">
        <v>4.28</v>
      </c>
      <c r="J223">
        <v>5.35</v>
      </c>
      <c r="K223" t="s">
        <v>338</v>
      </c>
      <c r="L223">
        <v>100.81</v>
      </c>
      <c r="M223" t="s">
        <v>2276</v>
      </c>
      <c r="N223" t="s">
        <v>2277</v>
      </c>
      <c r="O223" t="s">
        <v>2278</v>
      </c>
      <c r="P223" t="s">
        <v>2279</v>
      </c>
      <c r="Q223">
        <v>158.22</v>
      </c>
      <c r="R223" t="s">
        <v>47</v>
      </c>
      <c r="S223">
        <v>0.73</v>
      </c>
      <c r="T223">
        <v>32.619999999999997</v>
      </c>
      <c r="U223" t="s">
        <v>1313</v>
      </c>
      <c r="V223" t="s">
        <v>2280</v>
      </c>
      <c r="W223" t="s">
        <v>912</v>
      </c>
      <c r="X223">
        <v>5.35</v>
      </c>
      <c r="Y223" t="s">
        <v>263</v>
      </c>
      <c r="Z223" t="s">
        <v>263</v>
      </c>
      <c r="AA223">
        <v>0</v>
      </c>
      <c r="AB223">
        <v>5.83</v>
      </c>
      <c r="AC223" t="s">
        <v>350</v>
      </c>
      <c r="AD223">
        <v>48.56</v>
      </c>
      <c r="AE223" t="s">
        <v>1198</v>
      </c>
      <c r="AF223">
        <v>2.63</v>
      </c>
      <c r="AG223">
        <v>0</v>
      </c>
      <c r="AH223">
        <v>0</v>
      </c>
      <c r="AI223" s="4">
        <v>43028</v>
      </c>
    </row>
    <row r="224" spans="1:35">
      <c r="A224">
        <v>223</v>
      </c>
      <c r="B224" t="str">
        <f>"600828"</f>
        <v>600828</v>
      </c>
      <c r="C224" t="s">
        <v>2281</v>
      </c>
      <c r="D224" s="4">
        <v>43190</v>
      </c>
      <c r="E224" t="s">
        <v>79</v>
      </c>
      <c r="F224" t="s">
        <v>1444</v>
      </c>
      <c r="G224" t="s">
        <v>2282</v>
      </c>
      <c r="H224">
        <v>0.17</v>
      </c>
      <c r="I224">
        <v>2.87</v>
      </c>
      <c r="J224">
        <v>5.35</v>
      </c>
      <c r="K224" t="s">
        <v>2283</v>
      </c>
      <c r="L224">
        <v>2.41</v>
      </c>
      <c r="M224" t="s">
        <v>2284</v>
      </c>
      <c r="N224" t="s">
        <v>2285</v>
      </c>
      <c r="O224" t="s">
        <v>104</v>
      </c>
      <c r="P224" t="s">
        <v>1124</v>
      </c>
      <c r="Q224">
        <v>41.09</v>
      </c>
      <c r="R224" t="s">
        <v>924</v>
      </c>
      <c r="S224">
        <v>0.62</v>
      </c>
      <c r="T224">
        <v>27.33</v>
      </c>
      <c r="U224" t="s">
        <v>1292</v>
      </c>
      <c r="V224" t="s">
        <v>312</v>
      </c>
      <c r="W224" t="s">
        <v>1446</v>
      </c>
      <c r="X224">
        <v>5.35</v>
      </c>
      <c r="Y224" t="s">
        <v>399</v>
      </c>
      <c r="Z224" t="s">
        <v>2286</v>
      </c>
      <c r="AA224" t="s">
        <v>2287</v>
      </c>
      <c r="AB224">
        <v>1.75</v>
      </c>
      <c r="AC224" t="s">
        <v>1338</v>
      </c>
      <c r="AD224">
        <v>28.96</v>
      </c>
      <c r="AE224" t="s">
        <v>2288</v>
      </c>
      <c r="AF224">
        <v>0.05</v>
      </c>
      <c r="AG224">
        <v>0</v>
      </c>
      <c r="AH224">
        <v>0</v>
      </c>
      <c r="AI224" s="4">
        <v>34389</v>
      </c>
    </row>
    <row r="225" spans="1:35">
      <c r="A225">
        <v>224</v>
      </c>
      <c r="B225" t="str">
        <f>"600056"</f>
        <v>600056</v>
      </c>
      <c r="C225" t="s">
        <v>2289</v>
      </c>
      <c r="D225" s="4">
        <v>43190</v>
      </c>
      <c r="E225" t="s">
        <v>295</v>
      </c>
      <c r="F225" t="s">
        <v>1094</v>
      </c>
      <c r="G225" t="s">
        <v>1586</v>
      </c>
      <c r="H225">
        <v>0.4</v>
      </c>
      <c r="I225">
        <v>7.3</v>
      </c>
      <c r="J225">
        <v>5.35</v>
      </c>
      <c r="K225" t="s">
        <v>2243</v>
      </c>
      <c r="L225">
        <v>-1.2</v>
      </c>
      <c r="M225" t="s">
        <v>661</v>
      </c>
      <c r="N225" t="s">
        <v>2290</v>
      </c>
      <c r="O225" t="s">
        <v>1869</v>
      </c>
      <c r="P225" t="s">
        <v>1317</v>
      </c>
      <c r="Q225">
        <v>29.22</v>
      </c>
      <c r="R225" t="s">
        <v>2239</v>
      </c>
      <c r="S225">
        <v>3.52</v>
      </c>
      <c r="T225">
        <v>22.9</v>
      </c>
      <c r="U225" t="s">
        <v>1654</v>
      </c>
      <c r="V225" t="s">
        <v>2271</v>
      </c>
      <c r="W225" t="s">
        <v>983</v>
      </c>
      <c r="X225">
        <v>5.35</v>
      </c>
      <c r="Y225" t="s">
        <v>1465</v>
      </c>
      <c r="Z225" t="s">
        <v>716</v>
      </c>
      <c r="AA225" t="s">
        <v>702</v>
      </c>
      <c r="AB225">
        <v>2.61</v>
      </c>
      <c r="AC225" t="s">
        <v>2003</v>
      </c>
      <c r="AD225">
        <v>37.96</v>
      </c>
      <c r="AE225" t="s">
        <v>2291</v>
      </c>
      <c r="AF225">
        <v>2.13</v>
      </c>
      <c r="AG225">
        <v>0</v>
      </c>
      <c r="AH225">
        <v>0</v>
      </c>
      <c r="AI225" s="4">
        <v>35565</v>
      </c>
    </row>
    <row r="226" spans="1:35">
      <c r="A226">
        <v>225</v>
      </c>
      <c r="B226" t="str">
        <f>"603337"</f>
        <v>603337</v>
      </c>
      <c r="C226" t="s">
        <v>2292</v>
      </c>
      <c r="D226" s="4">
        <v>43190</v>
      </c>
      <c r="E226" t="s">
        <v>1152</v>
      </c>
      <c r="F226" t="s">
        <v>2293</v>
      </c>
      <c r="G226">
        <v>8252</v>
      </c>
      <c r="H226">
        <v>0.38</v>
      </c>
      <c r="I226">
        <v>7.02</v>
      </c>
      <c r="J226">
        <v>5.33</v>
      </c>
      <c r="K226" t="s">
        <v>295</v>
      </c>
      <c r="L226">
        <v>48.97</v>
      </c>
      <c r="M226" t="s">
        <v>595</v>
      </c>
      <c r="N226" t="s">
        <v>2294</v>
      </c>
      <c r="O226" t="s">
        <v>595</v>
      </c>
      <c r="P226" t="s">
        <v>642</v>
      </c>
      <c r="Q226">
        <v>43.42</v>
      </c>
      <c r="R226" t="s">
        <v>835</v>
      </c>
      <c r="S226">
        <v>3.35</v>
      </c>
      <c r="T226">
        <v>26.71</v>
      </c>
      <c r="U226" t="s">
        <v>1314</v>
      </c>
      <c r="V226" t="s">
        <v>1661</v>
      </c>
      <c r="W226" t="s">
        <v>2295</v>
      </c>
      <c r="X226">
        <v>5.33</v>
      </c>
      <c r="Y226" t="s">
        <v>173</v>
      </c>
      <c r="Z226" t="s">
        <v>924</v>
      </c>
      <c r="AA226" t="s">
        <v>2296</v>
      </c>
      <c r="AB226">
        <v>5.16</v>
      </c>
      <c r="AC226" t="s">
        <v>565</v>
      </c>
      <c r="AD226">
        <v>61.34</v>
      </c>
      <c r="AE226" t="s">
        <v>1477</v>
      </c>
      <c r="AF226">
        <v>2.34</v>
      </c>
      <c r="AG226">
        <v>0</v>
      </c>
      <c r="AH226">
        <v>0</v>
      </c>
      <c r="AI226" s="4">
        <v>42754</v>
      </c>
    </row>
    <row r="227" spans="1:35">
      <c r="A227">
        <v>226</v>
      </c>
      <c r="B227" t="str">
        <f>"601515"</f>
        <v>601515</v>
      </c>
      <c r="C227" t="s">
        <v>2297</v>
      </c>
      <c r="D227" s="4">
        <v>43190</v>
      </c>
      <c r="E227" t="s">
        <v>323</v>
      </c>
      <c r="F227" t="s">
        <v>323</v>
      </c>
      <c r="G227" t="s">
        <v>2298</v>
      </c>
      <c r="H227">
        <v>0.19</v>
      </c>
      <c r="I227">
        <v>3.57</v>
      </c>
      <c r="J227">
        <v>5.32</v>
      </c>
      <c r="K227" t="s">
        <v>1414</v>
      </c>
      <c r="L227">
        <v>7.44</v>
      </c>
      <c r="M227" t="s">
        <v>219</v>
      </c>
      <c r="N227" t="s">
        <v>2299</v>
      </c>
      <c r="O227" t="s">
        <v>219</v>
      </c>
      <c r="P227" t="s">
        <v>415</v>
      </c>
      <c r="Q227">
        <v>3.12</v>
      </c>
      <c r="R227" t="s">
        <v>440</v>
      </c>
      <c r="S227">
        <v>2.15</v>
      </c>
      <c r="T227">
        <v>42.69</v>
      </c>
      <c r="U227" t="s">
        <v>2300</v>
      </c>
      <c r="V227" t="s">
        <v>356</v>
      </c>
      <c r="W227" t="s">
        <v>548</v>
      </c>
      <c r="X227">
        <v>5.32</v>
      </c>
      <c r="Y227" t="s">
        <v>1792</v>
      </c>
      <c r="Z227" t="s">
        <v>613</v>
      </c>
      <c r="AA227" t="s">
        <v>267</v>
      </c>
      <c r="AB227">
        <v>2.2200000000000002</v>
      </c>
      <c r="AC227" t="s">
        <v>2301</v>
      </c>
      <c r="AD227">
        <v>69.459999999999994</v>
      </c>
      <c r="AE227" t="s">
        <v>2302</v>
      </c>
      <c r="AF227">
        <v>0.06</v>
      </c>
      <c r="AG227">
        <v>0</v>
      </c>
      <c r="AH227">
        <v>0</v>
      </c>
      <c r="AI227" s="4">
        <v>40955</v>
      </c>
    </row>
    <row r="228" spans="1:35">
      <c r="A228">
        <v>227</v>
      </c>
      <c r="B228" t="str">
        <f>"600784"</f>
        <v>600784</v>
      </c>
      <c r="C228" t="s">
        <v>2303</v>
      </c>
      <c r="D228" s="4">
        <v>43190</v>
      </c>
      <c r="E228" t="s">
        <v>2304</v>
      </c>
      <c r="F228" t="s">
        <v>2304</v>
      </c>
      <c r="G228" t="s">
        <v>2305</v>
      </c>
      <c r="H228">
        <v>0.14000000000000001</v>
      </c>
      <c r="I228">
        <v>2.65</v>
      </c>
      <c r="J228">
        <v>5.31</v>
      </c>
      <c r="K228" t="s">
        <v>1359</v>
      </c>
      <c r="L228">
        <v>-7.73</v>
      </c>
      <c r="M228" t="s">
        <v>793</v>
      </c>
      <c r="N228" t="s">
        <v>2306</v>
      </c>
      <c r="O228" t="s">
        <v>2307</v>
      </c>
      <c r="P228" t="s">
        <v>2308</v>
      </c>
      <c r="Q228">
        <v>5777.63</v>
      </c>
      <c r="R228" t="s">
        <v>1049</v>
      </c>
      <c r="S228">
        <v>0.46</v>
      </c>
      <c r="T228">
        <v>13.87</v>
      </c>
      <c r="U228" t="s">
        <v>1419</v>
      </c>
      <c r="V228" t="s">
        <v>578</v>
      </c>
      <c r="W228" t="s">
        <v>1934</v>
      </c>
      <c r="X228">
        <v>5.31</v>
      </c>
      <c r="Y228" t="s">
        <v>1449</v>
      </c>
      <c r="Z228" t="s">
        <v>1390</v>
      </c>
      <c r="AA228" t="s">
        <v>2309</v>
      </c>
      <c r="AB228">
        <v>2.06</v>
      </c>
      <c r="AC228" t="s">
        <v>547</v>
      </c>
      <c r="AD228">
        <v>39.520000000000003</v>
      </c>
      <c r="AE228" t="s">
        <v>2310</v>
      </c>
      <c r="AF228">
        <v>1.01</v>
      </c>
      <c r="AG228">
        <v>0</v>
      </c>
      <c r="AH228">
        <v>0</v>
      </c>
      <c r="AI228" s="4">
        <v>35424</v>
      </c>
    </row>
    <row r="229" spans="1:35">
      <c r="A229">
        <v>228</v>
      </c>
      <c r="B229" t="str">
        <f>"601318"</f>
        <v>601318</v>
      </c>
      <c r="C229" t="s">
        <v>2311</v>
      </c>
      <c r="D229" s="4">
        <v>43190</v>
      </c>
      <c r="E229" t="s">
        <v>1982</v>
      </c>
      <c r="F229" t="s">
        <v>1159</v>
      </c>
      <c r="G229" t="s">
        <v>2312</v>
      </c>
      <c r="H229">
        <v>1.41</v>
      </c>
      <c r="I229">
        <v>26.26</v>
      </c>
      <c r="J229">
        <v>5.3</v>
      </c>
      <c r="K229" t="s">
        <v>2313</v>
      </c>
      <c r="L229">
        <v>16.82</v>
      </c>
      <c r="M229" t="s">
        <v>2314</v>
      </c>
      <c r="N229" t="s">
        <v>2315</v>
      </c>
      <c r="O229" t="s">
        <v>2314</v>
      </c>
      <c r="P229" t="s">
        <v>1454</v>
      </c>
      <c r="Q229">
        <v>11.49</v>
      </c>
      <c r="R229" t="s">
        <v>2316</v>
      </c>
      <c r="S229">
        <v>16.02</v>
      </c>
      <c r="T229">
        <v>0</v>
      </c>
      <c r="U229" t="s">
        <v>2317</v>
      </c>
      <c r="V229">
        <v>0</v>
      </c>
      <c r="W229" t="s">
        <v>953</v>
      </c>
      <c r="X229">
        <v>5.3</v>
      </c>
      <c r="Y229" t="s">
        <v>2318</v>
      </c>
      <c r="Z229">
        <v>0</v>
      </c>
      <c r="AA229">
        <v>0</v>
      </c>
      <c r="AB229">
        <v>2.36</v>
      </c>
      <c r="AC229" t="s">
        <v>2319</v>
      </c>
      <c r="AD229">
        <v>7.46</v>
      </c>
      <c r="AE229" t="s">
        <v>2320</v>
      </c>
      <c r="AF229">
        <v>6.97</v>
      </c>
      <c r="AG229">
        <v>0</v>
      </c>
      <c r="AH229" t="s">
        <v>2321</v>
      </c>
      <c r="AI229" s="4">
        <v>39142</v>
      </c>
    </row>
    <row r="230" spans="1:35">
      <c r="A230">
        <v>229</v>
      </c>
      <c r="B230" t="str">
        <f>"600452"</f>
        <v>600452</v>
      </c>
      <c r="C230" t="s">
        <v>2322</v>
      </c>
      <c r="D230" s="4">
        <v>43190</v>
      </c>
      <c r="E230" t="s">
        <v>1203</v>
      </c>
      <c r="F230" t="s">
        <v>1203</v>
      </c>
      <c r="G230" t="s">
        <v>2323</v>
      </c>
      <c r="H230">
        <v>0.39</v>
      </c>
      <c r="I230">
        <v>7.57</v>
      </c>
      <c r="J230">
        <v>5.29</v>
      </c>
      <c r="K230" t="s">
        <v>1731</v>
      </c>
      <c r="L230">
        <v>7.87</v>
      </c>
      <c r="M230" t="s">
        <v>2324</v>
      </c>
      <c r="N230" t="s">
        <v>2325</v>
      </c>
      <c r="O230" t="s">
        <v>2326</v>
      </c>
      <c r="P230" t="s">
        <v>2327</v>
      </c>
      <c r="Q230">
        <v>12.52</v>
      </c>
      <c r="R230" t="s">
        <v>1438</v>
      </c>
      <c r="S230">
        <v>3.42</v>
      </c>
      <c r="T230">
        <v>17.45</v>
      </c>
      <c r="U230" t="s">
        <v>2239</v>
      </c>
      <c r="V230" t="s">
        <v>1867</v>
      </c>
      <c r="W230" t="s">
        <v>1908</v>
      </c>
      <c r="X230">
        <v>5.29</v>
      </c>
      <c r="Y230" t="s">
        <v>1252</v>
      </c>
      <c r="Z230" t="s">
        <v>2328</v>
      </c>
      <c r="AA230" t="s">
        <v>2329</v>
      </c>
      <c r="AB230">
        <v>3.61</v>
      </c>
      <c r="AC230" t="s">
        <v>264</v>
      </c>
      <c r="AD230">
        <v>29.2</v>
      </c>
      <c r="AE230" t="s">
        <v>806</v>
      </c>
      <c r="AF230">
        <v>2.65</v>
      </c>
      <c r="AG230">
        <v>0</v>
      </c>
      <c r="AH230">
        <v>0</v>
      </c>
      <c r="AI230" s="4">
        <v>38049</v>
      </c>
    </row>
    <row r="231" spans="1:35">
      <c r="A231">
        <v>230</v>
      </c>
      <c r="B231" t="str">
        <f>"000825"</f>
        <v>000825</v>
      </c>
      <c r="C231" t="s">
        <v>2330</v>
      </c>
      <c r="D231" s="4">
        <v>43190</v>
      </c>
      <c r="E231" t="s">
        <v>2272</v>
      </c>
      <c r="F231" t="s">
        <v>877</v>
      </c>
      <c r="G231" t="s">
        <v>779</v>
      </c>
      <c r="H231">
        <v>0.26</v>
      </c>
      <c r="I231">
        <v>4.9800000000000004</v>
      </c>
      <c r="J231">
        <v>5.29</v>
      </c>
      <c r="K231" t="s">
        <v>1550</v>
      </c>
      <c r="L231">
        <v>7.48</v>
      </c>
      <c r="M231" t="s">
        <v>298</v>
      </c>
      <c r="N231" t="s">
        <v>2331</v>
      </c>
      <c r="O231" t="s">
        <v>298</v>
      </c>
      <c r="P231" t="s">
        <v>584</v>
      </c>
      <c r="Q231">
        <v>351.09</v>
      </c>
      <c r="R231" t="s">
        <v>794</v>
      </c>
      <c r="S231">
        <v>2.35</v>
      </c>
      <c r="T231">
        <v>16.5</v>
      </c>
      <c r="U231" t="s">
        <v>2332</v>
      </c>
      <c r="V231" t="s">
        <v>1337</v>
      </c>
      <c r="W231" t="s">
        <v>2333</v>
      </c>
      <c r="X231">
        <v>5.29</v>
      </c>
      <c r="Y231" t="s">
        <v>1554</v>
      </c>
      <c r="Z231" t="s">
        <v>2334</v>
      </c>
      <c r="AA231" t="s">
        <v>1130</v>
      </c>
      <c r="AB231">
        <v>1.21</v>
      </c>
      <c r="AC231" t="s">
        <v>2335</v>
      </c>
      <c r="AD231">
        <v>39</v>
      </c>
      <c r="AE231" t="s">
        <v>1403</v>
      </c>
      <c r="AF231">
        <v>1.19</v>
      </c>
      <c r="AG231">
        <v>0</v>
      </c>
      <c r="AH231">
        <v>0</v>
      </c>
      <c r="AI231" s="4">
        <v>36089</v>
      </c>
    </row>
    <row r="232" spans="1:35">
      <c r="A232">
        <v>231</v>
      </c>
      <c r="B232" t="str">
        <f>"000338"</f>
        <v>000338</v>
      </c>
      <c r="C232" t="s">
        <v>2336</v>
      </c>
      <c r="D232" s="4">
        <v>43190</v>
      </c>
      <c r="E232" t="s">
        <v>2337</v>
      </c>
      <c r="F232" t="s">
        <v>2197</v>
      </c>
      <c r="G232">
        <v>0</v>
      </c>
      <c r="H232">
        <v>0.24</v>
      </c>
      <c r="I232">
        <v>4.6500000000000004</v>
      </c>
      <c r="J232">
        <v>5.29</v>
      </c>
      <c r="K232" t="s">
        <v>2338</v>
      </c>
      <c r="L232">
        <v>12.07</v>
      </c>
      <c r="M232" t="s">
        <v>2339</v>
      </c>
      <c r="N232" t="s">
        <v>198</v>
      </c>
      <c r="O232" t="s">
        <v>249</v>
      </c>
      <c r="P232" t="s">
        <v>702</v>
      </c>
      <c r="Q232">
        <v>62.69</v>
      </c>
      <c r="R232" t="s">
        <v>554</v>
      </c>
      <c r="S232">
        <v>3.75</v>
      </c>
      <c r="T232">
        <v>23.09</v>
      </c>
      <c r="U232" t="s">
        <v>2340</v>
      </c>
      <c r="V232" t="s">
        <v>2341</v>
      </c>
      <c r="W232" t="s">
        <v>2342</v>
      </c>
      <c r="X232">
        <v>5.29</v>
      </c>
      <c r="Y232" t="s">
        <v>2343</v>
      </c>
      <c r="Z232" t="s">
        <v>2344</v>
      </c>
      <c r="AA232" t="s">
        <v>2345</v>
      </c>
      <c r="AB232">
        <v>1.91</v>
      </c>
      <c r="AC232" t="s">
        <v>2346</v>
      </c>
      <c r="AD232">
        <v>18.940000000000001</v>
      </c>
      <c r="AE232" t="s">
        <v>372</v>
      </c>
      <c r="AF232">
        <v>0.02</v>
      </c>
      <c r="AG232">
        <v>0</v>
      </c>
      <c r="AH232" t="s">
        <v>2328</v>
      </c>
      <c r="AI232" s="4">
        <v>39202</v>
      </c>
    </row>
    <row r="233" spans="1:35">
      <c r="A233">
        <v>232</v>
      </c>
      <c r="B233" t="str">
        <f>"000063"</f>
        <v>000063</v>
      </c>
      <c r="C233" t="s">
        <v>2347</v>
      </c>
      <c r="D233" s="4">
        <v>43190</v>
      </c>
      <c r="E233" t="s">
        <v>2348</v>
      </c>
      <c r="F233" t="s">
        <v>457</v>
      </c>
      <c r="G233" t="s">
        <v>2349</v>
      </c>
      <c r="H233">
        <v>0.4</v>
      </c>
      <c r="I233">
        <v>7.65</v>
      </c>
      <c r="J233">
        <v>5.29</v>
      </c>
      <c r="K233" t="s">
        <v>2350</v>
      </c>
      <c r="L233">
        <v>12.18</v>
      </c>
      <c r="M233" t="s">
        <v>2291</v>
      </c>
      <c r="N233" t="s">
        <v>2351</v>
      </c>
      <c r="O233" t="s">
        <v>865</v>
      </c>
      <c r="P233" t="s">
        <v>115</v>
      </c>
      <c r="Q233">
        <v>39.01</v>
      </c>
      <c r="R233" t="s">
        <v>310</v>
      </c>
      <c r="S233">
        <v>3.77</v>
      </c>
      <c r="T233">
        <v>33.340000000000003</v>
      </c>
      <c r="U233" t="s">
        <v>2352</v>
      </c>
      <c r="V233" t="s">
        <v>2353</v>
      </c>
      <c r="W233" t="s">
        <v>2354</v>
      </c>
      <c r="X233">
        <v>5.29</v>
      </c>
      <c r="Y233" t="s">
        <v>2355</v>
      </c>
      <c r="Z233" t="s">
        <v>2356</v>
      </c>
      <c r="AA233" t="s">
        <v>2066</v>
      </c>
      <c r="AB233">
        <v>2.68</v>
      </c>
      <c r="AC233" t="s">
        <v>2357</v>
      </c>
      <c r="AD233">
        <v>23.06</v>
      </c>
      <c r="AE233" t="s">
        <v>404</v>
      </c>
      <c r="AF233">
        <v>2.73</v>
      </c>
      <c r="AG233">
        <v>0</v>
      </c>
      <c r="AH233" t="s">
        <v>2358</v>
      </c>
      <c r="AI233" s="4">
        <v>35752</v>
      </c>
    </row>
    <row r="234" spans="1:35">
      <c r="A234">
        <v>233</v>
      </c>
      <c r="B234" t="str">
        <f>"300446"</f>
        <v>300446</v>
      </c>
      <c r="C234" t="s">
        <v>2359</v>
      </c>
      <c r="D234" s="4">
        <v>43190</v>
      </c>
      <c r="E234" t="s">
        <v>2360</v>
      </c>
      <c r="F234" t="s">
        <v>677</v>
      </c>
      <c r="G234">
        <v>4566</v>
      </c>
      <c r="H234">
        <v>0.25</v>
      </c>
      <c r="I234">
        <v>4.45</v>
      </c>
      <c r="J234">
        <v>5.27</v>
      </c>
      <c r="K234" t="s">
        <v>2361</v>
      </c>
      <c r="L234">
        <v>0.27</v>
      </c>
      <c r="M234" t="s">
        <v>2362</v>
      </c>
      <c r="N234" t="s">
        <v>2363</v>
      </c>
      <c r="O234" t="s">
        <v>2364</v>
      </c>
      <c r="P234" t="s">
        <v>2365</v>
      </c>
      <c r="Q234">
        <v>0.15</v>
      </c>
      <c r="R234" t="s">
        <v>1229</v>
      </c>
      <c r="S234">
        <v>2.72</v>
      </c>
      <c r="T234">
        <v>60.21</v>
      </c>
      <c r="U234" t="s">
        <v>941</v>
      </c>
      <c r="V234" t="s">
        <v>1483</v>
      </c>
      <c r="W234" t="s">
        <v>2366</v>
      </c>
      <c r="X234">
        <v>5.27</v>
      </c>
      <c r="Y234" t="s">
        <v>2367</v>
      </c>
      <c r="Z234" t="s">
        <v>2368</v>
      </c>
      <c r="AA234" t="s">
        <v>2369</v>
      </c>
      <c r="AB234">
        <v>3.94</v>
      </c>
      <c r="AC234" t="s">
        <v>1157</v>
      </c>
      <c r="AD234">
        <v>92.48</v>
      </c>
      <c r="AE234" t="s">
        <v>2370</v>
      </c>
      <c r="AF234">
        <v>0.28999999999999998</v>
      </c>
      <c r="AG234">
        <v>0</v>
      </c>
      <c r="AH234">
        <v>0</v>
      </c>
      <c r="AI234" s="4">
        <v>42117</v>
      </c>
    </row>
    <row r="235" spans="1:35">
      <c r="A235">
        <v>234</v>
      </c>
      <c r="B235" t="str">
        <f>"000049"</f>
        <v>000049</v>
      </c>
      <c r="C235" t="s">
        <v>2371</v>
      </c>
      <c r="D235" s="4">
        <v>43190</v>
      </c>
      <c r="E235" t="s">
        <v>844</v>
      </c>
      <c r="F235" t="s">
        <v>844</v>
      </c>
      <c r="G235">
        <v>5329</v>
      </c>
      <c r="H235">
        <v>0.37</v>
      </c>
      <c r="I235">
        <v>6.96</v>
      </c>
      <c r="J235">
        <v>5.27</v>
      </c>
      <c r="K235" t="s">
        <v>1205</v>
      </c>
      <c r="L235">
        <v>30.13</v>
      </c>
      <c r="M235" t="s">
        <v>2115</v>
      </c>
      <c r="N235" t="s">
        <v>2372</v>
      </c>
      <c r="O235" t="s">
        <v>86</v>
      </c>
      <c r="P235" t="s">
        <v>2085</v>
      </c>
      <c r="Q235">
        <v>10.210000000000001</v>
      </c>
      <c r="R235" t="s">
        <v>625</v>
      </c>
      <c r="S235">
        <v>5.61</v>
      </c>
      <c r="T235">
        <v>7.58</v>
      </c>
      <c r="U235" t="s">
        <v>1947</v>
      </c>
      <c r="V235" t="s">
        <v>780</v>
      </c>
      <c r="W235" t="s">
        <v>504</v>
      </c>
      <c r="X235">
        <v>5.27</v>
      </c>
      <c r="Y235" t="s">
        <v>1517</v>
      </c>
      <c r="Z235" t="s">
        <v>1517</v>
      </c>
      <c r="AA235" t="s">
        <v>2373</v>
      </c>
      <c r="AB235">
        <v>3.92</v>
      </c>
      <c r="AC235" t="s">
        <v>141</v>
      </c>
      <c r="AD235">
        <v>24.67</v>
      </c>
      <c r="AE235" t="s">
        <v>2374</v>
      </c>
      <c r="AF235">
        <v>0.04</v>
      </c>
      <c r="AG235">
        <v>0</v>
      </c>
      <c r="AH235">
        <v>0</v>
      </c>
      <c r="AI235" s="4">
        <v>34778</v>
      </c>
    </row>
    <row r="236" spans="1:35">
      <c r="A236">
        <v>235</v>
      </c>
      <c r="B236" t="str">
        <f>"600389"</f>
        <v>600389</v>
      </c>
      <c r="C236" t="s">
        <v>2375</v>
      </c>
      <c r="D236" s="4">
        <v>43190</v>
      </c>
      <c r="E236" t="s">
        <v>2132</v>
      </c>
      <c r="F236" t="s">
        <v>2132</v>
      </c>
      <c r="G236" t="s">
        <v>2376</v>
      </c>
      <c r="H236">
        <v>0.28999999999999998</v>
      </c>
      <c r="I236">
        <v>5.56</v>
      </c>
      <c r="J236">
        <v>5.27</v>
      </c>
      <c r="K236" t="s">
        <v>1094</v>
      </c>
      <c r="L236">
        <v>12.14</v>
      </c>
      <c r="M236" t="s">
        <v>600</v>
      </c>
      <c r="N236" t="s">
        <v>2377</v>
      </c>
      <c r="O236" t="s">
        <v>600</v>
      </c>
      <c r="P236" t="s">
        <v>2378</v>
      </c>
      <c r="Q236">
        <v>117.24</v>
      </c>
      <c r="R236" t="s">
        <v>1094</v>
      </c>
      <c r="S236">
        <v>3.4</v>
      </c>
      <c r="T236">
        <v>18.66</v>
      </c>
      <c r="U236" t="s">
        <v>1158</v>
      </c>
      <c r="V236" t="s">
        <v>1223</v>
      </c>
      <c r="W236" t="s">
        <v>926</v>
      </c>
      <c r="X236">
        <v>5.27</v>
      </c>
      <c r="Y236" t="s">
        <v>1082</v>
      </c>
      <c r="Z236" t="s">
        <v>973</v>
      </c>
      <c r="AA236" t="s">
        <v>1627</v>
      </c>
      <c r="AB236">
        <v>3.37</v>
      </c>
      <c r="AC236" t="s">
        <v>1052</v>
      </c>
      <c r="AD236">
        <v>56.56</v>
      </c>
      <c r="AE236" t="s">
        <v>256</v>
      </c>
      <c r="AF236">
        <v>0.39</v>
      </c>
      <c r="AG236">
        <v>0</v>
      </c>
      <c r="AH236">
        <v>0</v>
      </c>
      <c r="AI236" s="4">
        <v>36901</v>
      </c>
    </row>
    <row r="237" spans="1:35">
      <c r="A237">
        <v>236</v>
      </c>
      <c r="B237" t="str">
        <f>"600872"</f>
        <v>600872</v>
      </c>
      <c r="C237" t="s">
        <v>2379</v>
      </c>
      <c r="D237" s="4">
        <v>43190</v>
      </c>
      <c r="E237" t="s">
        <v>2380</v>
      </c>
      <c r="F237" t="s">
        <v>2380</v>
      </c>
      <c r="G237" t="s">
        <v>2381</v>
      </c>
      <c r="H237">
        <v>0.21</v>
      </c>
      <c r="I237">
        <v>4.16</v>
      </c>
      <c r="J237">
        <v>5.26</v>
      </c>
      <c r="K237" t="s">
        <v>973</v>
      </c>
      <c r="L237">
        <v>18.420000000000002</v>
      </c>
      <c r="M237" t="s">
        <v>1417</v>
      </c>
      <c r="N237" t="s">
        <v>2382</v>
      </c>
      <c r="O237" t="s">
        <v>454</v>
      </c>
      <c r="P237" t="s">
        <v>2069</v>
      </c>
      <c r="Q237">
        <v>47.4</v>
      </c>
      <c r="R237" t="s">
        <v>1752</v>
      </c>
      <c r="S237">
        <v>2.4300000000000002</v>
      </c>
      <c r="T237">
        <v>38.880000000000003</v>
      </c>
      <c r="U237" t="s">
        <v>1776</v>
      </c>
      <c r="V237" t="s">
        <v>2028</v>
      </c>
      <c r="W237" t="s">
        <v>1033</v>
      </c>
      <c r="X237">
        <v>5.26</v>
      </c>
      <c r="Y237" t="s">
        <v>1455</v>
      </c>
      <c r="Z237" t="s">
        <v>1852</v>
      </c>
      <c r="AA237" t="s">
        <v>2383</v>
      </c>
      <c r="AB237">
        <v>6.18</v>
      </c>
      <c r="AC237" t="s">
        <v>638</v>
      </c>
      <c r="AD237">
        <v>60.8</v>
      </c>
      <c r="AE237" t="s">
        <v>478</v>
      </c>
      <c r="AF237">
        <v>0.35</v>
      </c>
      <c r="AG237">
        <v>0</v>
      </c>
      <c r="AH237">
        <v>0</v>
      </c>
      <c r="AI237" s="4">
        <v>34723</v>
      </c>
    </row>
    <row r="238" spans="1:35">
      <c r="A238">
        <v>237</v>
      </c>
      <c r="B238" t="str">
        <f>"002640"</f>
        <v>002640</v>
      </c>
      <c r="C238" t="s">
        <v>2384</v>
      </c>
      <c r="D238" s="4">
        <v>43190</v>
      </c>
      <c r="E238" t="s">
        <v>747</v>
      </c>
      <c r="F238" t="s">
        <v>1065</v>
      </c>
      <c r="G238" t="s">
        <v>2385</v>
      </c>
      <c r="H238">
        <v>0.17</v>
      </c>
      <c r="I238">
        <v>4.28</v>
      </c>
      <c r="J238">
        <v>5.26</v>
      </c>
      <c r="K238" t="s">
        <v>1738</v>
      </c>
      <c r="L238">
        <v>74.38</v>
      </c>
      <c r="M238" t="s">
        <v>301</v>
      </c>
      <c r="N238" t="s">
        <v>2386</v>
      </c>
      <c r="O238" t="s">
        <v>976</v>
      </c>
      <c r="P238" t="s">
        <v>2387</v>
      </c>
      <c r="Q238">
        <v>65.05</v>
      </c>
      <c r="R238" t="s">
        <v>1052</v>
      </c>
      <c r="S238">
        <v>1.07</v>
      </c>
      <c r="T238">
        <v>44.71</v>
      </c>
      <c r="U238" t="s">
        <v>590</v>
      </c>
      <c r="V238" t="s">
        <v>2388</v>
      </c>
      <c r="W238" t="s">
        <v>1038</v>
      </c>
      <c r="X238">
        <v>5.26</v>
      </c>
      <c r="Y238" t="s">
        <v>2389</v>
      </c>
      <c r="Z238" t="s">
        <v>1233</v>
      </c>
      <c r="AA238" t="s">
        <v>835</v>
      </c>
      <c r="AB238">
        <v>3.51</v>
      </c>
      <c r="AC238" t="s">
        <v>2390</v>
      </c>
      <c r="AD238">
        <v>51.74</v>
      </c>
      <c r="AE238" t="s">
        <v>2071</v>
      </c>
      <c r="AF238">
        <v>2.38</v>
      </c>
      <c r="AG238">
        <v>0</v>
      </c>
      <c r="AH238">
        <v>0</v>
      </c>
      <c r="AI238" s="4">
        <v>40885</v>
      </c>
    </row>
    <row r="239" spans="1:35">
      <c r="A239">
        <v>238</v>
      </c>
      <c r="B239" t="str">
        <f>"600179"</f>
        <v>600179</v>
      </c>
      <c r="C239" t="s">
        <v>2391</v>
      </c>
      <c r="D239" s="4">
        <v>43190</v>
      </c>
      <c r="E239" t="s">
        <v>759</v>
      </c>
      <c r="F239" t="s">
        <v>2089</v>
      </c>
      <c r="G239" t="s">
        <v>723</v>
      </c>
      <c r="H239">
        <v>0.11</v>
      </c>
      <c r="I239">
        <v>2.06</v>
      </c>
      <c r="J239">
        <v>5.25</v>
      </c>
      <c r="K239" t="s">
        <v>702</v>
      </c>
      <c r="L239">
        <v>65.31</v>
      </c>
      <c r="M239" t="s">
        <v>935</v>
      </c>
      <c r="N239">
        <v>0</v>
      </c>
      <c r="O239" t="s">
        <v>935</v>
      </c>
      <c r="P239" t="s">
        <v>2069</v>
      </c>
      <c r="Q239">
        <v>40.47</v>
      </c>
      <c r="R239" t="s">
        <v>304</v>
      </c>
      <c r="S239">
        <v>1.0900000000000001</v>
      </c>
      <c r="T239">
        <v>16.45</v>
      </c>
      <c r="U239" t="s">
        <v>1254</v>
      </c>
      <c r="V239" t="s">
        <v>1133</v>
      </c>
      <c r="W239" t="s">
        <v>573</v>
      </c>
      <c r="X239">
        <v>5.25</v>
      </c>
      <c r="Y239" t="s">
        <v>1857</v>
      </c>
      <c r="Z239" t="s">
        <v>2239</v>
      </c>
      <c r="AA239" t="s">
        <v>1386</v>
      </c>
      <c r="AB239">
        <v>4.38</v>
      </c>
      <c r="AC239" t="s">
        <v>1404</v>
      </c>
      <c r="AD239">
        <v>31.58</v>
      </c>
      <c r="AE239" t="s">
        <v>2392</v>
      </c>
      <c r="AF239">
        <v>0.09</v>
      </c>
      <c r="AG239">
        <v>0</v>
      </c>
      <c r="AH239">
        <v>0</v>
      </c>
      <c r="AI239" s="4">
        <v>36103</v>
      </c>
    </row>
    <row r="240" spans="1:35">
      <c r="A240">
        <v>239</v>
      </c>
      <c r="B240" t="str">
        <f>"000869"</f>
        <v>000869</v>
      </c>
      <c r="C240" t="s">
        <v>2393</v>
      </c>
      <c r="D240" s="4">
        <v>43190</v>
      </c>
      <c r="E240" t="s">
        <v>2394</v>
      </c>
      <c r="F240" t="s">
        <v>645</v>
      </c>
      <c r="G240">
        <v>0</v>
      </c>
      <c r="H240">
        <v>0.7</v>
      </c>
      <c r="I240">
        <v>13.68</v>
      </c>
      <c r="J240">
        <v>5.24</v>
      </c>
      <c r="K240" t="s">
        <v>757</v>
      </c>
      <c r="L240">
        <v>-4.88</v>
      </c>
      <c r="M240" t="s">
        <v>1909</v>
      </c>
      <c r="N240">
        <v>0</v>
      </c>
      <c r="O240" t="s">
        <v>1909</v>
      </c>
      <c r="P240" t="s">
        <v>362</v>
      </c>
      <c r="Q240">
        <v>-7.2</v>
      </c>
      <c r="R240" t="s">
        <v>2395</v>
      </c>
      <c r="S240">
        <v>11.36</v>
      </c>
      <c r="T240">
        <v>65.33</v>
      </c>
      <c r="U240" t="s">
        <v>1784</v>
      </c>
      <c r="V240" t="s">
        <v>111</v>
      </c>
      <c r="W240" t="s">
        <v>2396</v>
      </c>
      <c r="X240">
        <v>5.24</v>
      </c>
      <c r="Y240" t="s">
        <v>1175</v>
      </c>
      <c r="Z240" t="s">
        <v>238</v>
      </c>
      <c r="AA240" t="s">
        <v>2111</v>
      </c>
      <c r="AB240">
        <v>2.93</v>
      </c>
      <c r="AC240" t="s">
        <v>2397</v>
      </c>
      <c r="AD240">
        <v>71.42</v>
      </c>
      <c r="AE240" t="s">
        <v>2398</v>
      </c>
      <c r="AF240">
        <v>0.83</v>
      </c>
      <c r="AG240" t="s">
        <v>1210</v>
      </c>
      <c r="AH240">
        <v>0</v>
      </c>
      <c r="AI240" s="4">
        <v>36825</v>
      </c>
    </row>
    <row r="241" spans="1:35">
      <c r="A241">
        <v>240</v>
      </c>
      <c r="B241" t="str">
        <f>"600585"</f>
        <v>600585</v>
      </c>
      <c r="C241" t="s">
        <v>2399</v>
      </c>
      <c r="D241" s="4">
        <v>43190</v>
      </c>
      <c r="E241" t="s">
        <v>1494</v>
      </c>
      <c r="F241" t="s">
        <v>511</v>
      </c>
      <c r="G241">
        <v>0</v>
      </c>
      <c r="H241">
        <v>0.9</v>
      </c>
      <c r="I241">
        <v>16.559999999999999</v>
      </c>
      <c r="J241">
        <v>5.21</v>
      </c>
      <c r="K241" t="s">
        <v>432</v>
      </c>
      <c r="L241">
        <v>37.590000000000003</v>
      </c>
      <c r="M241" t="s">
        <v>2400</v>
      </c>
      <c r="N241" t="s">
        <v>2401</v>
      </c>
      <c r="O241" t="s">
        <v>1442</v>
      </c>
      <c r="P241" t="s">
        <v>2092</v>
      </c>
      <c r="Q241">
        <v>121.9</v>
      </c>
      <c r="R241" t="s">
        <v>2402</v>
      </c>
      <c r="S241">
        <v>13.02</v>
      </c>
      <c r="T241">
        <v>41.25</v>
      </c>
      <c r="U241" t="s">
        <v>2403</v>
      </c>
      <c r="V241" t="s">
        <v>2404</v>
      </c>
      <c r="W241" t="s">
        <v>2405</v>
      </c>
      <c r="X241">
        <v>5.21</v>
      </c>
      <c r="Y241" t="s">
        <v>837</v>
      </c>
      <c r="Z241" t="s">
        <v>1893</v>
      </c>
      <c r="AA241" t="s">
        <v>2406</v>
      </c>
      <c r="AB241">
        <v>2.16</v>
      </c>
      <c r="AC241" t="s">
        <v>2407</v>
      </c>
      <c r="AD241">
        <v>75.650000000000006</v>
      </c>
      <c r="AE241" t="s">
        <v>900</v>
      </c>
      <c r="AF241">
        <v>2</v>
      </c>
      <c r="AG241">
        <v>0</v>
      </c>
      <c r="AH241" t="s">
        <v>1025</v>
      </c>
      <c r="AI241" s="4">
        <v>37294</v>
      </c>
    </row>
    <row r="242" spans="1:35">
      <c r="A242">
        <v>241</v>
      </c>
      <c r="B242" t="str">
        <f>"300482"</f>
        <v>300482</v>
      </c>
      <c r="C242" t="s">
        <v>2408</v>
      </c>
      <c r="D242" s="4">
        <v>43190</v>
      </c>
      <c r="E242" t="s">
        <v>2123</v>
      </c>
      <c r="F242" t="s">
        <v>1475</v>
      </c>
      <c r="G242" t="s">
        <v>1568</v>
      </c>
      <c r="H242">
        <v>0.28999999999999998</v>
      </c>
      <c r="I242">
        <v>9.4</v>
      </c>
      <c r="J242">
        <v>5.21</v>
      </c>
      <c r="K242" t="s">
        <v>139</v>
      </c>
      <c r="L242">
        <v>100.6</v>
      </c>
      <c r="M242" t="s">
        <v>2409</v>
      </c>
      <c r="N242" t="s">
        <v>2410</v>
      </c>
      <c r="O242" t="s">
        <v>2411</v>
      </c>
      <c r="P242" t="s">
        <v>2412</v>
      </c>
      <c r="Q242">
        <v>57.04</v>
      </c>
      <c r="R242" t="s">
        <v>2413</v>
      </c>
      <c r="S242">
        <v>2.88</v>
      </c>
      <c r="T242">
        <v>61.09</v>
      </c>
      <c r="U242" t="s">
        <v>1678</v>
      </c>
      <c r="V242" t="s">
        <v>2414</v>
      </c>
      <c r="W242" t="s">
        <v>1049</v>
      </c>
      <c r="X242">
        <v>5.21</v>
      </c>
      <c r="Y242" t="s">
        <v>97</v>
      </c>
      <c r="Z242" t="s">
        <v>335</v>
      </c>
      <c r="AA242" t="s">
        <v>2415</v>
      </c>
      <c r="AB242">
        <v>6.88</v>
      </c>
      <c r="AC242" t="s">
        <v>1223</v>
      </c>
      <c r="AD242">
        <v>61.16</v>
      </c>
      <c r="AE242" t="s">
        <v>1378</v>
      </c>
      <c r="AF242">
        <v>5.52</v>
      </c>
      <c r="AG242">
        <v>0</v>
      </c>
      <c r="AH242">
        <v>0</v>
      </c>
      <c r="AI242" s="4">
        <v>42185</v>
      </c>
    </row>
    <row r="243" spans="1:35">
      <c r="A243">
        <v>242</v>
      </c>
      <c r="B243" t="str">
        <f>"603233"</f>
        <v>603233</v>
      </c>
      <c r="C243" t="s">
        <v>2416</v>
      </c>
      <c r="D243" s="4">
        <v>43190</v>
      </c>
      <c r="E243" t="s">
        <v>150</v>
      </c>
      <c r="F243" t="s">
        <v>2417</v>
      </c>
      <c r="G243">
        <v>5148</v>
      </c>
      <c r="H243">
        <v>0.37</v>
      </c>
      <c r="I243">
        <v>6.66</v>
      </c>
      <c r="J243">
        <v>5.2</v>
      </c>
      <c r="K243" t="s">
        <v>712</v>
      </c>
      <c r="L243">
        <v>17.11</v>
      </c>
      <c r="M243" t="s">
        <v>1624</v>
      </c>
      <c r="N243" t="s">
        <v>2418</v>
      </c>
      <c r="O243" t="s">
        <v>1860</v>
      </c>
      <c r="P243" t="s">
        <v>745</v>
      </c>
      <c r="Q243">
        <v>25.39</v>
      </c>
      <c r="R243" t="s">
        <v>263</v>
      </c>
      <c r="S243">
        <v>3.02</v>
      </c>
      <c r="T243">
        <v>40.49</v>
      </c>
      <c r="U243" t="s">
        <v>2419</v>
      </c>
      <c r="V243" t="s">
        <v>949</v>
      </c>
      <c r="W243" t="s">
        <v>1837</v>
      </c>
      <c r="X243">
        <v>5.2</v>
      </c>
      <c r="Y243" t="s">
        <v>158</v>
      </c>
      <c r="Z243" t="s">
        <v>260</v>
      </c>
      <c r="AA243" t="s">
        <v>2420</v>
      </c>
      <c r="AB243">
        <v>9.4499999999999993</v>
      </c>
      <c r="AC243" t="s">
        <v>589</v>
      </c>
      <c r="AD243">
        <v>51.24</v>
      </c>
      <c r="AE243" t="s">
        <v>2421</v>
      </c>
      <c r="AF243">
        <v>2.42</v>
      </c>
      <c r="AG243">
        <v>0</v>
      </c>
      <c r="AH243">
        <v>0</v>
      </c>
      <c r="AI243" s="4">
        <v>42947</v>
      </c>
    </row>
    <row r="244" spans="1:35">
      <c r="A244">
        <v>243</v>
      </c>
      <c r="B244" t="str">
        <f>"300707"</f>
        <v>300707</v>
      </c>
      <c r="C244" t="s">
        <v>2422</v>
      </c>
      <c r="D244" s="4">
        <v>43190</v>
      </c>
      <c r="E244" t="s">
        <v>382</v>
      </c>
      <c r="F244" t="s">
        <v>2423</v>
      </c>
      <c r="G244">
        <v>1145</v>
      </c>
      <c r="H244">
        <v>0.2</v>
      </c>
      <c r="I244">
        <v>3.84</v>
      </c>
      <c r="J244">
        <v>5.18</v>
      </c>
      <c r="K244" t="s">
        <v>2424</v>
      </c>
      <c r="L244">
        <v>76.61</v>
      </c>
      <c r="M244" t="s">
        <v>2425</v>
      </c>
      <c r="N244" t="s">
        <v>1558</v>
      </c>
      <c r="O244" t="s">
        <v>2426</v>
      </c>
      <c r="P244" t="s">
        <v>2427</v>
      </c>
      <c r="Q244">
        <v>116.32</v>
      </c>
      <c r="R244" t="s">
        <v>64</v>
      </c>
      <c r="S244">
        <v>1</v>
      </c>
      <c r="T244">
        <v>44.94</v>
      </c>
      <c r="U244" t="s">
        <v>2428</v>
      </c>
      <c r="V244" t="s">
        <v>2429</v>
      </c>
      <c r="W244" t="s">
        <v>993</v>
      </c>
      <c r="X244">
        <v>5.18</v>
      </c>
      <c r="Y244" t="s">
        <v>383</v>
      </c>
      <c r="Z244" t="s">
        <v>1200</v>
      </c>
      <c r="AA244" t="s">
        <v>2430</v>
      </c>
      <c r="AB244">
        <v>6.42</v>
      </c>
      <c r="AC244" t="s">
        <v>2431</v>
      </c>
      <c r="AD244">
        <v>74.709999999999994</v>
      </c>
      <c r="AE244" t="s">
        <v>1594</v>
      </c>
      <c r="AF244">
        <v>1.69</v>
      </c>
      <c r="AG244">
        <v>0</v>
      </c>
      <c r="AH244">
        <v>0</v>
      </c>
      <c r="AI244" s="4">
        <v>43018</v>
      </c>
    </row>
    <row r="245" spans="1:35">
      <c r="A245">
        <v>244</v>
      </c>
      <c r="B245" t="str">
        <f>"002604"</f>
        <v>002604</v>
      </c>
      <c r="C245" t="s">
        <v>2432</v>
      </c>
      <c r="D245" s="4">
        <v>43190</v>
      </c>
      <c r="E245" t="s">
        <v>494</v>
      </c>
      <c r="F245" t="s">
        <v>1012</v>
      </c>
      <c r="G245">
        <v>7938</v>
      </c>
      <c r="H245">
        <v>-0.03</v>
      </c>
      <c r="I245">
        <v>-0.61</v>
      </c>
      <c r="J245">
        <v>5.18</v>
      </c>
      <c r="K245" t="s">
        <v>531</v>
      </c>
      <c r="L245">
        <v>-10.65</v>
      </c>
      <c r="M245" t="s">
        <v>2433</v>
      </c>
      <c r="N245">
        <v>0</v>
      </c>
      <c r="O245" t="s">
        <v>2434</v>
      </c>
      <c r="P245" t="s">
        <v>2435</v>
      </c>
      <c r="Q245">
        <v>-154.78</v>
      </c>
      <c r="R245" t="s">
        <v>2436</v>
      </c>
      <c r="S245">
        <v>-4.97</v>
      </c>
      <c r="T245">
        <v>23.59</v>
      </c>
      <c r="U245" t="s">
        <v>1305</v>
      </c>
      <c r="V245" t="s">
        <v>391</v>
      </c>
      <c r="W245" t="s">
        <v>538</v>
      </c>
      <c r="X245">
        <v>5.18</v>
      </c>
      <c r="Y245" t="s">
        <v>528</v>
      </c>
      <c r="Z245" t="s">
        <v>733</v>
      </c>
      <c r="AA245" t="s">
        <v>354</v>
      </c>
      <c r="AB245">
        <v>-3.72</v>
      </c>
      <c r="AC245" t="s">
        <v>2437</v>
      </c>
      <c r="AD245">
        <v>-9.1</v>
      </c>
      <c r="AE245" t="s">
        <v>702</v>
      </c>
      <c r="AF245">
        <v>3.21</v>
      </c>
      <c r="AG245">
        <v>0</v>
      </c>
      <c r="AH245">
        <v>0</v>
      </c>
      <c r="AI245" s="4">
        <v>40752</v>
      </c>
    </row>
    <row r="246" spans="1:35">
      <c r="A246">
        <v>245</v>
      </c>
      <c r="B246" t="str">
        <f>"603986"</f>
        <v>603986</v>
      </c>
      <c r="C246" t="s">
        <v>2438</v>
      </c>
      <c r="D246" s="4">
        <v>43190</v>
      </c>
      <c r="E246" t="s">
        <v>2102</v>
      </c>
      <c r="F246" t="s">
        <v>1970</v>
      </c>
      <c r="G246">
        <v>6881</v>
      </c>
      <c r="H246">
        <v>0.31</v>
      </c>
      <c r="I246">
        <v>5.75</v>
      </c>
      <c r="J246">
        <v>5.15</v>
      </c>
      <c r="K246" t="s">
        <v>734</v>
      </c>
      <c r="L246">
        <v>19.71</v>
      </c>
      <c r="M246" t="s">
        <v>2439</v>
      </c>
      <c r="N246" t="s">
        <v>2440</v>
      </c>
      <c r="O246" t="s">
        <v>651</v>
      </c>
      <c r="P246" t="s">
        <v>2441</v>
      </c>
      <c r="Q246">
        <v>28.55</v>
      </c>
      <c r="R246" t="s">
        <v>1509</v>
      </c>
      <c r="S246">
        <v>2.74</v>
      </c>
      <c r="T246">
        <v>38.24</v>
      </c>
      <c r="U246" t="s">
        <v>1943</v>
      </c>
      <c r="V246" t="s">
        <v>855</v>
      </c>
      <c r="W246" t="s">
        <v>1627</v>
      </c>
      <c r="X246">
        <v>5.15</v>
      </c>
      <c r="Y246" t="s">
        <v>782</v>
      </c>
      <c r="Z246" t="s">
        <v>106</v>
      </c>
      <c r="AA246" t="s">
        <v>641</v>
      </c>
      <c r="AB246">
        <v>17.600000000000001</v>
      </c>
      <c r="AC246" t="s">
        <v>646</v>
      </c>
      <c r="AD246">
        <v>67.66</v>
      </c>
      <c r="AE246" t="s">
        <v>1837</v>
      </c>
      <c r="AF246">
        <v>2.2799999999999998</v>
      </c>
      <c r="AG246">
        <v>0</v>
      </c>
      <c r="AH246">
        <v>0</v>
      </c>
      <c r="AI246" s="4">
        <v>42600</v>
      </c>
    </row>
    <row r="247" spans="1:35">
      <c r="A247">
        <v>246</v>
      </c>
      <c r="B247" t="str">
        <f>"000581"</f>
        <v>000581</v>
      </c>
      <c r="C247" t="s">
        <v>2442</v>
      </c>
      <c r="D247" s="4">
        <v>43190</v>
      </c>
      <c r="E247" t="s">
        <v>1094</v>
      </c>
      <c r="F247" t="s">
        <v>2443</v>
      </c>
      <c r="G247">
        <v>0</v>
      </c>
      <c r="H247">
        <v>0.78</v>
      </c>
      <c r="I247">
        <v>15.48</v>
      </c>
      <c r="J247">
        <v>5.15</v>
      </c>
      <c r="K247" t="s">
        <v>440</v>
      </c>
      <c r="L247">
        <v>-2.66</v>
      </c>
      <c r="M247" t="s">
        <v>2444</v>
      </c>
      <c r="N247" t="s">
        <v>2445</v>
      </c>
      <c r="O247" t="s">
        <v>2444</v>
      </c>
      <c r="P247" t="s">
        <v>488</v>
      </c>
      <c r="Q247">
        <v>21.46</v>
      </c>
      <c r="R247" t="s">
        <v>900</v>
      </c>
      <c r="S247">
        <v>10.5</v>
      </c>
      <c r="T247">
        <v>21.6</v>
      </c>
      <c r="U247" t="s">
        <v>2446</v>
      </c>
      <c r="V247" t="s">
        <v>841</v>
      </c>
      <c r="W247" t="s">
        <v>451</v>
      </c>
      <c r="X247">
        <v>5.15</v>
      </c>
      <c r="Y247" t="s">
        <v>2447</v>
      </c>
      <c r="Z247" t="s">
        <v>1574</v>
      </c>
      <c r="AA247" t="s">
        <v>2310</v>
      </c>
      <c r="AB247">
        <v>1.44</v>
      </c>
      <c r="AC247" t="s">
        <v>1885</v>
      </c>
      <c r="AD247">
        <v>73.569999999999993</v>
      </c>
      <c r="AE247" t="s">
        <v>1263</v>
      </c>
      <c r="AF247">
        <v>3.39</v>
      </c>
      <c r="AG247" t="s">
        <v>1457</v>
      </c>
      <c r="AH247">
        <v>0</v>
      </c>
      <c r="AI247" s="4">
        <v>36062</v>
      </c>
    </row>
    <row r="248" spans="1:35">
      <c r="A248">
        <v>247</v>
      </c>
      <c r="B248" t="str">
        <f>"300113"</f>
        <v>300113</v>
      </c>
      <c r="C248" t="s">
        <v>2448</v>
      </c>
      <c r="D248" s="4">
        <v>43190</v>
      </c>
      <c r="E248" t="s">
        <v>1493</v>
      </c>
      <c r="F248" t="s">
        <v>1806</v>
      </c>
      <c r="G248" t="s">
        <v>2449</v>
      </c>
      <c r="H248">
        <v>0.23</v>
      </c>
      <c r="I248">
        <v>4.6500000000000004</v>
      </c>
      <c r="J248">
        <v>5.14</v>
      </c>
      <c r="K248" t="s">
        <v>2450</v>
      </c>
      <c r="L248">
        <v>66.260000000000005</v>
      </c>
      <c r="M248" t="s">
        <v>454</v>
      </c>
      <c r="N248" t="s">
        <v>2451</v>
      </c>
      <c r="O248" t="s">
        <v>1364</v>
      </c>
      <c r="P248" t="s">
        <v>1203</v>
      </c>
      <c r="Q248">
        <v>21.4</v>
      </c>
      <c r="R248" t="s">
        <v>833</v>
      </c>
      <c r="S248">
        <v>2.2200000000000002</v>
      </c>
      <c r="T248">
        <v>64.44</v>
      </c>
      <c r="U248" t="s">
        <v>2452</v>
      </c>
      <c r="V248" t="s">
        <v>514</v>
      </c>
      <c r="W248" t="s">
        <v>2453</v>
      </c>
      <c r="X248">
        <v>5.14</v>
      </c>
      <c r="Y248" t="s">
        <v>2454</v>
      </c>
      <c r="Z248" t="s">
        <v>1521</v>
      </c>
      <c r="AA248" t="s">
        <v>2455</v>
      </c>
      <c r="AB248">
        <v>3.26</v>
      </c>
      <c r="AC248" t="s">
        <v>236</v>
      </c>
      <c r="AD248">
        <v>78.349999999999994</v>
      </c>
      <c r="AE248" t="s">
        <v>2456</v>
      </c>
      <c r="AF248">
        <v>1</v>
      </c>
      <c r="AG248">
        <v>0</v>
      </c>
      <c r="AH248">
        <v>0</v>
      </c>
      <c r="AI248" s="4">
        <v>40417</v>
      </c>
    </row>
    <row r="249" spans="1:35">
      <c r="A249">
        <v>248</v>
      </c>
      <c r="B249" t="str">
        <f>"002035"</f>
        <v>002035</v>
      </c>
      <c r="C249" t="s">
        <v>2457</v>
      </c>
      <c r="D249" s="4">
        <v>43190</v>
      </c>
      <c r="E249" t="s">
        <v>1965</v>
      </c>
      <c r="F249" t="s">
        <v>1611</v>
      </c>
      <c r="G249" t="s">
        <v>2458</v>
      </c>
      <c r="H249">
        <v>0.2</v>
      </c>
      <c r="I249">
        <v>3.96</v>
      </c>
      <c r="J249">
        <v>5.14</v>
      </c>
      <c r="K249" t="s">
        <v>173</v>
      </c>
      <c r="L249">
        <v>23.23</v>
      </c>
      <c r="M249" t="s">
        <v>1376</v>
      </c>
      <c r="N249" t="s">
        <v>2459</v>
      </c>
      <c r="O249" t="s">
        <v>2306</v>
      </c>
      <c r="P249" t="s">
        <v>1627</v>
      </c>
      <c r="Q249">
        <v>49.59</v>
      </c>
      <c r="R249" t="s">
        <v>926</v>
      </c>
      <c r="S249">
        <v>2.19</v>
      </c>
      <c r="T249">
        <v>45.36</v>
      </c>
      <c r="U249" t="s">
        <v>408</v>
      </c>
      <c r="V249" t="s">
        <v>756</v>
      </c>
      <c r="W249" t="s">
        <v>506</v>
      </c>
      <c r="X249">
        <v>5.14</v>
      </c>
      <c r="Y249" t="s">
        <v>891</v>
      </c>
      <c r="Z249" t="s">
        <v>754</v>
      </c>
      <c r="AA249" t="s">
        <v>2460</v>
      </c>
      <c r="AB249">
        <v>6.84</v>
      </c>
      <c r="AC249" t="s">
        <v>316</v>
      </c>
      <c r="AD249">
        <v>54.37</v>
      </c>
      <c r="AE249" t="s">
        <v>1905</v>
      </c>
      <c r="AF249">
        <v>0.43</v>
      </c>
      <c r="AG249">
        <v>0</v>
      </c>
      <c r="AH249">
        <v>0</v>
      </c>
      <c r="AI249" s="4">
        <v>38231</v>
      </c>
    </row>
    <row r="250" spans="1:35">
      <c r="A250">
        <v>249</v>
      </c>
      <c r="B250" t="str">
        <f>"603897"</f>
        <v>603897</v>
      </c>
      <c r="C250" t="s">
        <v>2461</v>
      </c>
      <c r="D250" s="4">
        <v>43190</v>
      </c>
      <c r="E250" t="s">
        <v>1202</v>
      </c>
      <c r="F250" t="s">
        <v>2462</v>
      </c>
      <c r="G250" t="s">
        <v>2463</v>
      </c>
      <c r="H250">
        <v>0.23</v>
      </c>
      <c r="I250">
        <v>8.64</v>
      </c>
      <c r="J250">
        <v>5.1100000000000003</v>
      </c>
      <c r="K250" t="s">
        <v>323</v>
      </c>
      <c r="L250">
        <v>19.420000000000002</v>
      </c>
      <c r="M250" t="s">
        <v>2464</v>
      </c>
      <c r="N250" t="s">
        <v>2465</v>
      </c>
      <c r="O250" t="s">
        <v>2466</v>
      </c>
      <c r="P250" t="s">
        <v>2467</v>
      </c>
      <c r="Q250">
        <v>32.44</v>
      </c>
      <c r="R250" t="s">
        <v>2468</v>
      </c>
      <c r="S250">
        <v>2.21</v>
      </c>
      <c r="T250">
        <v>7.19</v>
      </c>
      <c r="U250" t="s">
        <v>624</v>
      </c>
      <c r="V250" t="s">
        <v>548</v>
      </c>
      <c r="W250" t="s">
        <v>355</v>
      </c>
      <c r="X250">
        <v>5.1100000000000003</v>
      </c>
      <c r="Y250" t="s">
        <v>2413</v>
      </c>
      <c r="Z250" t="s">
        <v>1166</v>
      </c>
      <c r="AA250" t="s">
        <v>2469</v>
      </c>
      <c r="AB250">
        <v>3.57</v>
      </c>
      <c r="AC250" t="s">
        <v>1375</v>
      </c>
      <c r="AD250">
        <v>60.44</v>
      </c>
      <c r="AE250" t="s">
        <v>122</v>
      </c>
      <c r="AF250">
        <v>5.19</v>
      </c>
      <c r="AG250">
        <v>0</v>
      </c>
      <c r="AH250">
        <v>0</v>
      </c>
      <c r="AI250" s="4">
        <v>43200</v>
      </c>
    </row>
    <row r="251" spans="1:35">
      <c r="A251">
        <v>250</v>
      </c>
      <c r="B251" t="str">
        <f>"603871"</f>
        <v>603871</v>
      </c>
      <c r="C251" t="s">
        <v>2470</v>
      </c>
      <c r="D251" s="4">
        <v>43190</v>
      </c>
      <c r="E251" t="s">
        <v>355</v>
      </c>
      <c r="F251" t="s">
        <v>2471</v>
      </c>
      <c r="G251">
        <v>1251</v>
      </c>
      <c r="H251">
        <v>0.51</v>
      </c>
      <c r="I251">
        <v>12.18</v>
      </c>
      <c r="J251">
        <v>5.09</v>
      </c>
      <c r="K251" t="s">
        <v>496</v>
      </c>
      <c r="L251">
        <v>39.409999999999997</v>
      </c>
      <c r="M251" t="s">
        <v>2472</v>
      </c>
      <c r="N251" t="s">
        <v>2473</v>
      </c>
      <c r="O251" t="s">
        <v>2474</v>
      </c>
      <c r="P251" t="s">
        <v>2475</v>
      </c>
      <c r="Q251">
        <v>9.18</v>
      </c>
      <c r="R251" t="s">
        <v>338</v>
      </c>
      <c r="S251">
        <v>3.26</v>
      </c>
      <c r="T251">
        <v>10.91</v>
      </c>
      <c r="U251" t="s">
        <v>2328</v>
      </c>
      <c r="V251" t="s">
        <v>820</v>
      </c>
      <c r="W251" t="s">
        <v>2306</v>
      </c>
      <c r="X251">
        <v>5.09</v>
      </c>
      <c r="Y251" t="s">
        <v>2111</v>
      </c>
      <c r="Z251" t="s">
        <v>943</v>
      </c>
      <c r="AA251" t="s">
        <v>2476</v>
      </c>
      <c r="AB251">
        <v>3.61</v>
      </c>
      <c r="AC251" t="s">
        <v>538</v>
      </c>
      <c r="AD251">
        <v>72.349999999999994</v>
      </c>
      <c r="AE251" t="s">
        <v>1589</v>
      </c>
      <c r="AF251">
        <v>7.66</v>
      </c>
      <c r="AG251">
        <v>0</v>
      </c>
      <c r="AH251">
        <v>0</v>
      </c>
      <c r="AI251" s="4">
        <v>43137</v>
      </c>
    </row>
    <row r="252" spans="1:35">
      <c r="A252">
        <v>251</v>
      </c>
      <c r="B252" t="str">
        <f>"300422"</f>
        <v>300422</v>
      </c>
      <c r="C252" t="s">
        <v>2477</v>
      </c>
      <c r="D252" s="4">
        <v>43190</v>
      </c>
      <c r="E252" t="s">
        <v>314</v>
      </c>
      <c r="F252" t="s">
        <v>828</v>
      </c>
      <c r="G252" t="s">
        <v>2478</v>
      </c>
      <c r="H252">
        <v>0.17</v>
      </c>
      <c r="I252">
        <v>3.39</v>
      </c>
      <c r="J252">
        <v>5.09</v>
      </c>
      <c r="K252" t="s">
        <v>2479</v>
      </c>
      <c r="L252">
        <v>140.82</v>
      </c>
      <c r="M252" t="s">
        <v>2480</v>
      </c>
      <c r="N252" t="s">
        <v>2481</v>
      </c>
      <c r="O252" t="s">
        <v>2482</v>
      </c>
      <c r="P252" t="s">
        <v>2483</v>
      </c>
      <c r="Q252">
        <v>270.82</v>
      </c>
      <c r="R252" t="s">
        <v>1934</v>
      </c>
      <c r="S252">
        <v>1.05</v>
      </c>
      <c r="T252">
        <v>30.49</v>
      </c>
      <c r="U252" t="s">
        <v>245</v>
      </c>
      <c r="V252" t="s">
        <v>754</v>
      </c>
      <c r="W252" t="s">
        <v>1666</v>
      </c>
      <c r="X252">
        <v>5.09</v>
      </c>
      <c r="Y252" t="s">
        <v>570</v>
      </c>
      <c r="Z252" t="s">
        <v>2328</v>
      </c>
      <c r="AA252" t="s">
        <v>602</v>
      </c>
      <c r="AB252">
        <v>3.88</v>
      </c>
      <c r="AC252" t="s">
        <v>982</v>
      </c>
      <c r="AD252">
        <v>27.85</v>
      </c>
      <c r="AE252" t="s">
        <v>1659</v>
      </c>
      <c r="AF252">
        <v>1.31</v>
      </c>
      <c r="AG252">
        <v>0</v>
      </c>
      <c r="AH252">
        <v>0</v>
      </c>
      <c r="AI252" s="4">
        <v>42052</v>
      </c>
    </row>
    <row r="253" spans="1:35">
      <c r="A253">
        <v>252</v>
      </c>
      <c r="B253" t="str">
        <f>"600684"</f>
        <v>600684</v>
      </c>
      <c r="C253" t="s">
        <v>2484</v>
      </c>
      <c r="D253" s="4">
        <v>43190</v>
      </c>
      <c r="E253" t="s">
        <v>1774</v>
      </c>
      <c r="F253" t="s">
        <v>1774</v>
      </c>
      <c r="G253" t="s">
        <v>53</v>
      </c>
      <c r="H253">
        <v>0.18</v>
      </c>
      <c r="I253">
        <v>3.57</v>
      </c>
      <c r="J253">
        <v>5.03</v>
      </c>
      <c r="K253" t="s">
        <v>2192</v>
      </c>
      <c r="L253">
        <v>-41</v>
      </c>
      <c r="M253" t="s">
        <v>1152</v>
      </c>
      <c r="N253" t="s">
        <v>2485</v>
      </c>
      <c r="O253" t="s">
        <v>1152</v>
      </c>
      <c r="P253" t="s">
        <v>609</v>
      </c>
      <c r="Q253">
        <v>29.13</v>
      </c>
      <c r="R253" t="s">
        <v>389</v>
      </c>
      <c r="S253">
        <v>2.2400000000000002</v>
      </c>
      <c r="T253">
        <v>57.18</v>
      </c>
      <c r="U253" t="s">
        <v>899</v>
      </c>
      <c r="V253" t="s">
        <v>1254</v>
      </c>
      <c r="W253" t="s">
        <v>2486</v>
      </c>
      <c r="X253">
        <v>5.03</v>
      </c>
      <c r="Y253" t="s">
        <v>1159</v>
      </c>
      <c r="Z253" t="s">
        <v>1322</v>
      </c>
      <c r="AA253" t="s">
        <v>2487</v>
      </c>
      <c r="AB253">
        <v>1.55</v>
      </c>
      <c r="AC253" t="s">
        <v>756</v>
      </c>
      <c r="AD253">
        <v>20.52</v>
      </c>
      <c r="AE253" t="s">
        <v>2488</v>
      </c>
      <c r="AF253">
        <v>0.1</v>
      </c>
      <c r="AG253">
        <v>0</v>
      </c>
      <c r="AH253">
        <v>0</v>
      </c>
      <c r="AI253" s="4">
        <v>34270</v>
      </c>
    </row>
    <row r="254" spans="1:35">
      <c r="A254">
        <v>253</v>
      </c>
      <c r="B254" t="str">
        <f>"000860"</f>
        <v>000860</v>
      </c>
      <c r="C254" t="s">
        <v>2489</v>
      </c>
      <c r="D254" s="4">
        <v>43190</v>
      </c>
      <c r="E254" t="s">
        <v>2490</v>
      </c>
      <c r="F254" t="s">
        <v>2490</v>
      </c>
      <c r="G254" t="s">
        <v>2209</v>
      </c>
      <c r="H254">
        <v>0.64</v>
      </c>
      <c r="I254">
        <v>11.15</v>
      </c>
      <c r="J254">
        <v>5.03</v>
      </c>
      <c r="K254" t="s">
        <v>2301</v>
      </c>
      <c r="L254">
        <v>3.37</v>
      </c>
      <c r="M254" t="s">
        <v>1645</v>
      </c>
      <c r="N254">
        <v>0</v>
      </c>
      <c r="O254" t="s">
        <v>1596</v>
      </c>
      <c r="P254" t="s">
        <v>160</v>
      </c>
      <c r="Q254">
        <v>94.61</v>
      </c>
      <c r="R254" t="s">
        <v>1504</v>
      </c>
      <c r="S254">
        <v>4.37</v>
      </c>
      <c r="T254">
        <v>43.15</v>
      </c>
      <c r="U254" t="s">
        <v>2491</v>
      </c>
      <c r="V254" t="s">
        <v>1524</v>
      </c>
      <c r="W254" t="s">
        <v>2339</v>
      </c>
      <c r="X254">
        <v>5.03</v>
      </c>
      <c r="Y254" t="s">
        <v>525</v>
      </c>
      <c r="Z254" t="s">
        <v>2492</v>
      </c>
      <c r="AA254" t="s">
        <v>1054</v>
      </c>
      <c r="AB254">
        <v>3.47</v>
      </c>
      <c r="AC254" t="s">
        <v>2493</v>
      </c>
      <c r="AD254">
        <v>41.52</v>
      </c>
      <c r="AE254" t="s">
        <v>700</v>
      </c>
      <c r="AF254">
        <v>4.9000000000000004</v>
      </c>
      <c r="AG254">
        <v>0</v>
      </c>
      <c r="AH254">
        <v>0</v>
      </c>
      <c r="AI254" s="4">
        <v>36103</v>
      </c>
    </row>
    <row r="255" spans="1:35">
      <c r="A255">
        <v>254</v>
      </c>
      <c r="B255" t="str">
        <f>"601009"</f>
        <v>601009</v>
      </c>
      <c r="C255" t="s">
        <v>2494</v>
      </c>
      <c r="D255" s="4">
        <v>43190</v>
      </c>
      <c r="E255" t="s">
        <v>2495</v>
      </c>
      <c r="F255" t="s">
        <v>2495</v>
      </c>
      <c r="G255" t="s">
        <v>2496</v>
      </c>
      <c r="H255">
        <v>0.34</v>
      </c>
      <c r="I255">
        <v>7.24</v>
      </c>
      <c r="J255">
        <v>5.01</v>
      </c>
      <c r="K255" t="s">
        <v>2497</v>
      </c>
      <c r="L255">
        <v>7.53</v>
      </c>
      <c r="M255" t="s">
        <v>2093</v>
      </c>
      <c r="N255" t="s">
        <v>1077</v>
      </c>
      <c r="O255" t="s">
        <v>2498</v>
      </c>
      <c r="P255" t="s">
        <v>2499</v>
      </c>
      <c r="Q255">
        <v>17.61</v>
      </c>
      <c r="R255" t="s">
        <v>1290</v>
      </c>
      <c r="S255">
        <v>2.99</v>
      </c>
      <c r="T255">
        <v>0</v>
      </c>
      <c r="U255" t="s">
        <v>2500</v>
      </c>
      <c r="V255">
        <v>0</v>
      </c>
      <c r="W255" t="s">
        <v>2501</v>
      </c>
      <c r="X255">
        <v>5.01</v>
      </c>
      <c r="Y255" t="s">
        <v>2502</v>
      </c>
      <c r="Z255">
        <v>0</v>
      </c>
      <c r="AA255">
        <v>0</v>
      </c>
      <c r="AB255">
        <v>1.08</v>
      </c>
      <c r="AC255" t="s">
        <v>2503</v>
      </c>
      <c r="AD255">
        <v>6.04</v>
      </c>
      <c r="AE255" t="s">
        <v>2504</v>
      </c>
      <c r="AF255">
        <v>1.56</v>
      </c>
      <c r="AG255">
        <v>0</v>
      </c>
      <c r="AH255">
        <v>0</v>
      </c>
      <c r="AI255" s="4">
        <v>39282</v>
      </c>
    </row>
    <row r="256" spans="1:35">
      <c r="A256">
        <v>255</v>
      </c>
      <c r="B256" t="str">
        <f>"000006"</f>
        <v>000006</v>
      </c>
      <c r="C256" t="s">
        <v>2505</v>
      </c>
      <c r="D256" s="4">
        <v>43190</v>
      </c>
      <c r="E256" t="s">
        <v>1214</v>
      </c>
      <c r="F256" t="s">
        <v>1214</v>
      </c>
      <c r="G256" t="s">
        <v>2506</v>
      </c>
      <c r="H256">
        <v>0.21</v>
      </c>
      <c r="I256">
        <v>4.34</v>
      </c>
      <c r="J256">
        <v>5.01</v>
      </c>
      <c r="K256" t="s">
        <v>347</v>
      </c>
      <c r="L256">
        <v>-58.47</v>
      </c>
      <c r="M256" t="s">
        <v>1810</v>
      </c>
      <c r="N256" t="s">
        <v>998</v>
      </c>
      <c r="O256" t="s">
        <v>1621</v>
      </c>
      <c r="P256" t="s">
        <v>2507</v>
      </c>
      <c r="Q256">
        <v>175.57</v>
      </c>
      <c r="R256" t="s">
        <v>1308</v>
      </c>
      <c r="S256">
        <v>1.97</v>
      </c>
      <c r="T256">
        <v>22.97</v>
      </c>
      <c r="U256" t="s">
        <v>558</v>
      </c>
      <c r="V256" t="s">
        <v>2388</v>
      </c>
      <c r="W256" t="s">
        <v>2508</v>
      </c>
      <c r="X256">
        <v>5.01</v>
      </c>
      <c r="Y256" t="s">
        <v>2225</v>
      </c>
      <c r="Z256" t="s">
        <v>1859</v>
      </c>
      <c r="AA256" t="s">
        <v>982</v>
      </c>
      <c r="AB256">
        <v>1.43</v>
      </c>
      <c r="AC256" t="s">
        <v>1783</v>
      </c>
      <c r="AD256">
        <v>52.58</v>
      </c>
      <c r="AE256" t="s">
        <v>616</v>
      </c>
      <c r="AF256">
        <v>0.36</v>
      </c>
      <c r="AG256">
        <v>0</v>
      </c>
      <c r="AH256">
        <v>0</v>
      </c>
      <c r="AI256" s="4">
        <v>33721</v>
      </c>
    </row>
    <row r="257" spans="1:35">
      <c r="A257">
        <v>256</v>
      </c>
      <c r="B257" t="str">
        <f>"000818"</f>
        <v>000818</v>
      </c>
      <c r="C257" t="s">
        <v>2509</v>
      </c>
      <c r="D257" s="4">
        <v>43190</v>
      </c>
      <c r="E257" t="s">
        <v>741</v>
      </c>
      <c r="F257" t="s">
        <v>2510</v>
      </c>
      <c r="G257" t="s">
        <v>2511</v>
      </c>
      <c r="H257">
        <v>0.19</v>
      </c>
      <c r="I257">
        <v>3.71</v>
      </c>
      <c r="J257">
        <v>5</v>
      </c>
      <c r="K257" t="s">
        <v>2512</v>
      </c>
      <c r="L257">
        <v>29.71</v>
      </c>
      <c r="M257" t="s">
        <v>1200</v>
      </c>
      <c r="N257">
        <v>0</v>
      </c>
      <c r="O257" t="s">
        <v>1200</v>
      </c>
      <c r="P257" t="s">
        <v>86</v>
      </c>
      <c r="Q257">
        <v>338.22</v>
      </c>
      <c r="R257" t="s">
        <v>1450</v>
      </c>
      <c r="S257">
        <v>0.73</v>
      </c>
      <c r="T257">
        <v>27.98</v>
      </c>
      <c r="U257" t="s">
        <v>2513</v>
      </c>
      <c r="V257" t="s">
        <v>835</v>
      </c>
      <c r="W257" t="s">
        <v>1214</v>
      </c>
      <c r="X257">
        <v>5</v>
      </c>
      <c r="Y257" t="s">
        <v>1307</v>
      </c>
      <c r="Z257" t="s">
        <v>101</v>
      </c>
      <c r="AA257" t="s">
        <v>2514</v>
      </c>
      <c r="AB257">
        <v>3.07</v>
      </c>
      <c r="AC257" t="s">
        <v>2515</v>
      </c>
      <c r="AD257">
        <v>64.63</v>
      </c>
      <c r="AE257" t="s">
        <v>101</v>
      </c>
      <c r="AF257">
        <v>1.87</v>
      </c>
      <c r="AG257">
        <v>0</v>
      </c>
      <c r="AH257">
        <v>0</v>
      </c>
      <c r="AI257" s="4">
        <v>35720</v>
      </c>
    </row>
    <row r="258" spans="1:35">
      <c r="A258">
        <v>257</v>
      </c>
      <c r="B258" t="str">
        <f>"603025"</f>
        <v>603025</v>
      </c>
      <c r="C258" t="s">
        <v>2516</v>
      </c>
      <c r="D258" s="4">
        <v>43190</v>
      </c>
      <c r="E258" t="s">
        <v>2295</v>
      </c>
      <c r="F258" t="s">
        <v>2517</v>
      </c>
      <c r="G258">
        <v>2905</v>
      </c>
      <c r="H258">
        <v>0.15</v>
      </c>
      <c r="I258">
        <v>2.44</v>
      </c>
      <c r="J258">
        <v>4.99</v>
      </c>
      <c r="K258" t="s">
        <v>36</v>
      </c>
      <c r="L258">
        <v>50.08</v>
      </c>
      <c r="M258" t="s">
        <v>1349</v>
      </c>
      <c r="N258" t="s">
        <v>2518</v>
      </c>
      <c r="O258" t="s">
        <v>1349</v>
      </c>
      <c r="P258" t="s">
        <v>2519</v>
      </c>
      <c r="Q258">
        <v>72.84</v>
      </c>
      <c r="R258" t="s">
        <v>201</v>
      </c>
      <c r="S258">
        <v>0.42</v>
      </c>
      <c r="T258">
        <v>50.55</v>
      </c>
      <c r="U258" t="s">
        <v>261</v>
      </c>
      <c r="V258" t="s">
        <v>775</v>
      </c>
      <c r="W258" t="s">
        <v>1376</v>
      </c>
      <c r="X258">
        <v>4.99</v>
      </c>
      <c r="Y258" t="s">
        <v>1970</v>
      </c>
      <c r="Z258" t="s">
        <v>975</v>
      </c>
      <c r="AA258" t="s">
        <v>2520</v>
      </c>
      <c r="AB258">
        <v>8.02</v>
      </c>
      <c r="AC258" t="s">
        <v>1000</v>
      </c>
      <c r="AD258">
        <v>89.95</v>
      </c>
      <c r="AE258" t="s">
        <v>504</v>
      </c>
      <c r="AF258">
        <v>0.74</v>
      </c>
      <c r="AG258">
        <v>0</v>
      </c>
      <c r="AH258">
        <v>0</v>
      </c>
      <c r="AI258" s="4">
        <v>42116</v>
      </c>
    </row>
    <row r="259" spans="1:35">
      <c r="A259">
        <v>258</v>
      </c>
      <c r="B259" t="str">
        <f>"600036"</f>
        <v>600036</v>
      </c>
      <c r="C259" t="s">
        <v>2521</v>
      </c>
      <c r="D259" s="4">
        <v>43190</v>
      </c>
      <c r="E259" t="s">
        <v>434</v>
      </c>
      <c r="F259" t="s">
        <v>2522</v>
      </c>
      <c r="G259">
        <v>0</v>
      </c>
      <c r="H259">
        <v>0.9</v>
      </c>
      <c r="I259">
        <v>18.32</v>
      </c>
      <c r="J259">
        <v>4.99</v>
      </c>
      <c r="K259" t="s">
        <v>1111</v>
      </c>
      <c r="L259">
        <v>7.2</v>
      </c>
      <c r="M259" t="s">
        <v>967</v>
      </c>
      <c r="N259" t="s">
        <v>2523</v>
      </c>
      <c r="O259" t="s">
        <v>967</v>
      </c>
      <c r="P259" t="s">
        <v>1931</v>
      </c>
      <c r="Q259">
        <v>13.5</v>
      </c>
      <c r="R259" t="s">
        <v>2524</v>
      </c>
      <c r="S259">
        <v>10.11</v>
      </c>
      <c r="T259">
        <v>0</v>
      </c>
      <c r="U259" t="s">
        <v>2525</v>
      </c>
      <c r="V259">
        <v>0</v>
      </c>
      <c r="W259" t="s">
        <v>2526</v>
      </c>
      <c r="X259">
        <v>4.99</v>
      </c>
      <c r="Y259" t="s">
        <v>2527</v>
      </c>
      <c r="Z259">
        <v>0</v>
      </c>
      <c r="AA259">
        <v>0</v>
      </c>
      <c r="AB259">
        <v>1.58</v>
      </c>
      <c r="AC259" t="s">
        <v>2528</v>
      </c>
      <c r="AD259">
        <v>7.94</v>
      </c>
      <c r="AE259" t="s">
        <v>2529</v>
      </c>
      <c r="AF259">
        <v>2.68</v>
      </c>
      <c r="AG259">
        <v>0</v>
      </c>
      <c r="AH259" t="s">
        <v>2005</v>
      </c>
      <c r="AI259" s="4">
        <v>37355</v>
      </c>
    </row>
    <row r="260" spans="1:35">
      <c r="A260">
        <v>259</v>
      </c>
      <c r="B260" t="str">
        <f>"002517"</f>
        <v>002517</v>
      </c>
      <c r="C260" t="s">
        <v>2530</v>
      </c>
      <c r="D260" s="4">
        <v>43190</v>
      </c>
      <c r="E260" t="s">
        <v>449</v>
      </c>
      <c r="F260" t="s">
        <v>2131</v>
      </c>
      <c r="G260" t="s">
        <v>2531</v>
      </c>
      <c r="H260">
        <v>0.11</v>
      </c>
      <c r="I260">
        <v>2.27</v>
      </c>
      <c r="J260">
        <v>4.99</v>
      </c>
      <c r="K260" t="s">
        <v>2532</v>
      </c>
      <c r="L260">
        <v>-4.57</v>
      </c>
      <c r="M260" t="s">
        <v>1402</v>
      </c>
      <c r="N260" t="s">
        <v>2533</v>
      </c>
      <c r="O260" t="s">
        <v>205</v>
      </c>
      <c r="P260" t="s">
        <v>2142</v>
      </c>
      <c r="Q260">
        <v>19.21</v>
      </c>
      <c r="R260" t="s">
        <v>1700</v>
      </c>
      <c r="S260">
        <v>1.21</v>
      </c>
      <c r="T260">
        <v>78.34</v>
      </c>
      <c r="U260" t="s">
        <v>2534</v>
      </c>
      <c r="V260" t="s">
        <v>2535</v>
      </c>
      <c r="W260" t="s">
        <v>2536</v>
      </c>
      <c r="X260">
        <v>4.99</v>
      </c>
      <c r="Y260" t="s">
        <v>2537</v>
      </c>
      <c r="Z260" t="s">
        <v>903</v>
      </c>
      <c r="AA260" t="s">
        <v>2538</v>
      </c>
      <c r="AB260">
        <v>3.23</v>
      </c>
      <c r="AC260" t="s">
        <v>1061</v>
      </c>
      <c r="AD260">
        <v>80.63</v>
      </c>
      <c r="AE260" t="s">
        <v>584</v>
      </c>
      <c r="AF260">
        <v>0.34</v>
      </c>
      <c r="AG260">
        <v>0</v>
      </c>
      <c r="AH260">
        <v>0</v>
      </c>
      <c r="AI260" s="4">
        <v>40519</v>
      </c>
    </row>
    <row r="261" spans="1:35">
      <c r="A261">
        <v>260</v>
      </c>
      <c r="B261" t="str">
        <f>"600029"</f>
        <v>600029</v>
      </c>
      <c r="C261" t="s">
        <v>2539</v>
      </c>
      <c r="D261" s="4">
        <v>43190</v>
      </c>
      <c r="E261" t="s">
        <v>232</v>
      </c>
      <c r="F261" t="s">
        <v>1024</v>
      </c>
      <c r="G261">
        <v>0</v>
      </c>
      <c r="H261">
        <v>0.25</v>
      </c>
      <c r="I261">
        <v>5.24</v>
      </c>
      <c r="J261">
        <v>4.97</v>
      </c>
      <c r="K261" t="s">
        <v>2540</v>
      </c>
      <c r="L261">
        <v>10.1</v>
      </c>
      <c r="M261" t="s">
        <v>2212</v>
      </c>
      <c r="N261" t="s">
        <v>1287</v>
      </c>
      <c r="O261" t="s">
        <v>2541</v>
      </c>
      <c r="P261" t="s">
        <v>2542</v>
      </c>
      <c r="Q261">
        <v>64.13</v>
      </c>
      <c r="R261" t="s">
        <v>2543</v>
      </c>
      <c r="S261">
        <v>2.46</v>
      </c>
      <c r="T261">
        <v>14.47</v>
      </c>
      <c r="U261" t="s">
        <v>2544</v>
      </c>
      <c r="V261" t="s">
        <v>2545</v>
      </c>
      <c r="W261" t="s">
        <v>2546</v>
      </c>
      <c r="X261">
        <v>4.97</v>
      </c>
      <c r="Y261" t="s">
        <v>2547</v>
      </c>
      <c r="Z261" t="s">
        <v>1529</v>
      </c>
      <c r="AA261" t="s">
        <v>2548</v>
      </c>
      <c r="AB261">
        <v>2.08</v>
      </c>
      <c r="AC261" t="s">
        <v>1533</v>
      </c>
      <c r="AD261">
        <v>24.03</v>
      </c>
      <c r="AE261" t="s">
        <v>571</v>
      </c>
      <c r="AF261">
        <v>1.5</v>
      </c>
      <c r="AG261">
        <v>0</v>
      </c>
      <c r="AH261" t="s">
        <v>1345</v>
      </c>
      <c r="AI261" s="4">
        <v>37827</v>
      </c>
    </row>
    <row r="262" spans="1:35">
      <c r="A262">
        <v>261</v>
      </c>
      <c r="B262" t="str">
        <f>"000688"</f>
        <v>000688</v>
      </c>
      <c r="C262" t="s">
        <v>2549</v>
      </c>
      <c r="D262" s="4">
        <v>43190</v>
      </c>
      <c r="E262" t="s">
        <v>354</v>
      </c>
      <c r="F262" t="s">
        <v>354</v>
      </c>
      <c r="G262" t="s">
        <v>2550</v>
      </c>
      <c r="H262">
        <v>0.1</v>
      </c>
      <c r="I262">
        <v>2.0099999999999998</v>
      </c>
      <c r="J262">
        <v>4.96</v>
      </c>
      <c r="K262" t="s">
        <v>2551</v>
      </c>
      <c r="L262">
        <v>34.729999999999997</v>
      </c>
      <c r="M262" t="s">
        <v>1376</v>
      </c>
      <c r="N262">
        <v>0</v>
      </c>
      <c r="O262" t="s">
        <v>1376</v>
      </c>
      <c r="P262" t="s">
        <v>443</v>
      </c>
      <c r="Q262">
        <v>27.25</v>
      </c>
      <c r="R262" t="s">
        <v>561</v>
      </c>
      <c r="S262">
        <v>0.65</v>
      </c>
      <c r="T262">
        <v>55.19</v>
      </c>
      <c r="U262" t="s">
        <v>1294</v>
      </c>
      <c r="V262" t="s">
        <v>602</v>
      </c>
      <c r="W262" t="s">
        <v>1903</v>
      </c>
      <c r="X262">
        <v>4.96</v>
      </c>
      <c r="Y262" t="s">
        <v>383</v>
      </c>
      <c r="Z262" t="s">
        <v>2034</v>
      </c>
      <c r="AA262" t="s">
        <v>2552</v>
      </c>
      <c r="AB262">
        <v>5.6</v>
      </c>
      <c r="AC262" t="s">
        <v>2291</v>
      </c>
      <c r="AD262">
        <v>91.76</v>
      </c>
      <c r="AE262" t="s">
        <v>905</v>
      </c>
      <c r="AF262">
        <v>0.17</v>
      </c>
      <c r="AG262">
        <v>0</v>
      </c>
      <c r="AH262">
        <v>0</v>
      </c>
      <c r="AI262" s="4">
        <v>35450</v>
      </c>
    </row>
    <row r="263" spans="1:35">
      <c r="A263">
        <v>262</v>
      </c>
      <c r="B263" t="str">
        <f>"300335"</f>
        <v>300335</v>
      </c>
      <c r="C263" t="s">
        <v>2553</v>
      </c>
      <c r="D263" s="4">
        <v>43190</v>
      </c>
      <c r="E263" t="s">
        <v>2029</v>
      </c>
      <c r="F263" t="s">
        <v>828</v>
      </c>
      <c r="G263" t="s">
        <v>2554</v>
      </c>
      <c r="H263">
        <v>0.18</v>
      </c>
      <c r="I263">
        <v>3.56</v>
      </c>
      <c r="J263">
        <v>4.9400000000000004</v>
      </c>
      <c r="K263" t="s">
        <v>1806</v>
      </c>
      <c r="L263">
        <v>51.51</v>
      </c>
      <c r="M263" t="s">
        <v>2555</v>
      </c>
      <c r="N263" t="s">
        <v>2556</v>
      </c>
      <c r="O263" t="s">
        <v>2557</v>
      </c>
      <c r="P263" t="s">
        <v>2558</v>
      </c>
      <c r="Q263">
        <v>84.07</v>
      </c>
      <c r="R263" t="s">
        <v>1652</v>
      </c>
      <c r="S263">
        <v>1.52</v>
      </c>
      <c r="T263">
        <v>30.79</v>
      </c>
      <c r="U263" t="s">
        <v>1488</v>
      </c>
      <c r="V263" t="s">
        <v>80</v>
      </c>
      <c r="W263" t="s">
        <v>417</v>
      </c>
      <c r="X263">
        <v>4.9400000000000004</v>
      </c>
      <c r="Y263" t="s">
        <v>775</v>
      </c>
      <c r="Z263" t="s">
        <v>908</v>
      </c>
      <c r="AA263" t="s">
        <v>531</v>
      </c>
      <c r="AB263">
        <v>3.12</v>
      </c>
      <c r="AC263" t="s">
        <v>124</v>
      </c>
      <c r="AD263">
        <v>40.090000000000003</v>
      </c>
      <c r="AE263" t="s">
        <v>597</v>
      </c>
      <c r="AF263">
        <v>0.96</v>
      </c>
      <c r="AG263">
        <v>0</v>
      </c>
      <c r="AH263">
        <v>0</v>
      </c>
      <c r="AI263" s="4">
        <v>41100</v>
      </c>
    </row>
    <row r="264" spans="1:35">
      <c r="A264">
        <v>263</v>
      </c>
      <c r="B264" t="str">
        <f>"002841"</f>
        <v>002841</v>
      </c>
      <c r="C264" t="s">
        <v>2559</v>
      </c>
      <c r="D264" s="4">
        <v>43190</v>
      </c>
      <c r="E264" t="s">
        <v>2095</v>
      </c>
      <c r="F264" t="s">
        <v>2560</v>
      </c>
      <c r="G264">
        <v>4145</v>
      </c>
      <c r="H264">
        <v>0.2</v>
      </c>
      <c r="I264">
        <v>3.73</v>
      </c>
      <c r="J264">
        <v>4.9400000000000004</v>
      </c>
      <c r="K264" t="s">
        <v>1308</v>
      </c>
      <c r="L264">
        <v>64.319999999999993</v>
      </c>
      <c r="M264" t="s">
        <v>1370</v>
      </c>
      <c r="N264" t="s">
        <v>2561</v>
      </c>
      <c r="O264" t="s">
        <v>1370</v>
      </c>
      <c r="P264" t="s">
        <v>86</v>
      </c>
      <c r="Q264">
        <v>13.94</v>
      </c>
      <c r="R264" t="s">
        <v>162</v>
      </c>
      <c r="S264">
        <v>1.82</v>
      </c>
      <c r="T264">
        <v>18.25</v>
      </c>
      <c r="U264" t="s">
        <v>2562</v>
      </c>
      <c r="V264" t="s">
        <v>1443</v>
      </c>
      <c r="W264" t="s">
        <v>2563</v>
      </c>
      <c r="X264">
        <v>4.9400000000000004</v>
      </c>
      <c r="Y264" t="s">
        <v>1213</v>
      </c>
      <c r="Z264" t="s">
        <v>244</v>
      </c>
      <c r="AA264" t="s">
        <v>2564</v>
      </c>
      <c r="AB264">
        <v>14.57</v>
      </c>
      <c r="AC264" t="s">
        <v>260</v>
      </c>
      <c r="AD264">
        <v>52.54</v>
      </c>
      <c r="AE264" t="s">
        <v>2233</v>
      </c>
      <c r="AF264">
        <v>0.99</v>
      </c>
      <c r="AG264">
        <v>0</v>
      </c>
      <c r="AH264">
        <v>0</v>
      </c>
      <c r="AI264" s="4">
        <v>42754</v>
      </c>
    </row>
    <row r="265" spans="1:35">
      <c r="A265">
        <v>264</v>
      </c>
      <c r="B265" t="str">
        <f>"002815"</f>
        <v>002815</v>
      </c>
      <c r="C265" t="s">
        <v>2565</v>
      </c>
      <c r="D265" s="4">
        <v>43190</v>
      </c>
      <c r="E265" t="s">
        <v>1415</v>
      </c>
      <c r="F265" t="s">
        <v>1011</v>
      </c>
      <c r="G265">
        <v>3873</v>
      </c>
      <c r="H265">
        <v>0.15</v>
      </c>
      <c r="I265">
        <v>2.83</v>
      </c>
      <c r="J265">
        <v>4.9400000000000004</v>
      </c>
      <c r="K265" t="s">
        <v>421</v>
      </c>
      <c r="L265">
        <v>27.78</v>
      </c>
      <c r="M265" t="s">
        <v>609</v>
      </c>
      <c r="N265" t="s">
        <v>2566</v>
      </c>
      <c r="O265" t="s">
        <v>2424</v>
      </c>
      <c r="P265" t="s">
        <v>86</v>
      </c>
      <c r="Q265">
        <v>33.94</v>
      </c>
      <c r="R265" t="s">
        <v>1082</v>
      </c>
      <c r="S265">
        <v>1.26</v>
      </c>
      <c r="T265">
        <v>32.619999999999997</v>
      </c>
      <c r="U265" t="s">
        <v>2567</v>
      </c>
      <c r="V265" t="s">
        <v>316</v>
      </c>
      <c r="W265" t="s">
        <v>308</v>
      </c>
      <c r="X265">
        <v>4.9400000000000004</v>
      </c>
      <c r="Y265" t="s">
        <v>2568</v>
      </c>
      <c r="Z265" t="s">
        <v>141</v>
      </c>
      <c r="AA265" t="s">
        <v>1787</v>
      </c>
      <c r="AB265">
        <v>5</v>
      </c>
      <c r="AC265" t="s">
        <v>1661</v>
      </c>
      <c r="AD265">
        <v>54.81</v>
      </c>
      <c r="AE265" t="s">
        <v>2569</v>
      </c>
      <c r="AF265">
        <v>0.45</v>
      </c>
      <c r="AG265">
        <v>0</v>
      </c>
      <c r="AH265">
        <v>0</v>
      </c>
      <c r="AI265" s="4">
        <v>42655</v>
      </c>
    </row>
    <row r="266" spans="1:35">
      <c r="A266">
        <v>265</v>
      </c>
      <c r="B266" t="str">
        <f>"300208"</f>
        <v>300208</v>
      </c>
      <c r="C266" t="s">
        <v>2570</v>
      </c>
      <c r="D266" s="4">
        <v>43190</v>
      </c>
      <c r="E266" t="s">
        <v>871</v>
      </c>
      <c r="F266" t="s">
        <v>2571</v>
      </c>
      <c r="G266" t="s">
        <v>2572</v>
      </c>
      <c r="H266">
        <v>0.12</v>
      </c>
      <c r="I266">
        <v>2.57</v>
      </c>
      <c r="J266">
        <v>4.93</v>
      </c>
      <c r="K266" t="s">
        <v>1934</v>
      </c>
      <c r="L266">
        <v>-2.58</v>
      </c>
      <c r="M266" t="s">
        <v>1627</v>
      </c>
      <c r="N266">
        <v>0</v>
      </c>
      <c r="O266" t="s">
        <v>282</v>
      </c>
      <c r="P266" t="s">
        <v>2573</v>
      </c>
      <c r="Q266">
        <v>-20.16</v>
      </c>
      <c r="R266" t="s">
        <v>1094</v>
      </c>
      <c r="S266">
        <v>1.32</v>
      </c>
      <c r="T266">
        <v>39.409999999999997</v>
      </c>
      <c r="U266" t="s">
        <v>1032</v>
      </c>
      <c r="V266" t="s">
        <v>249</v>
      </c>
      <c r="W266" t="s">
        <v>610</v>
      </c>
      <c r="X266">
        <v>4.93</v>
      </c>
      <c r="Y266" t="s">
        <v>276</v>
      </c>
      <c r="Z266" t="s">
        <v>1875</v>
      </c>
      <c r="AA266" t="s">
        <v>1627</v>
      </c>
      <c r="AB266">
        <v>3.73</v>
      </c>
      <c r="AC266" t="s">
        <v>1284</v>
      </c>
      <c r="AD266">
        <v>45.79</v>
      </c>
      <c r="AE266" t="s">
        <v>118</v>
      </c>
      <c r="AF266">
        <v>0.27</v>
      </c>
      <c r="AG266">
        <v>0</v>
      </c>
      <c r="AH266">
        <v>0</v>
      </c>
      <c r="AI266" s="4">
        <v>40659</v>
      </c>
    </row>
    <row r="267" spans="1:35">
      <c r="A267">
        <v>266</v>
      </c>
      <c r="B267" t="str">
        <f>"300624"</f>
        <v>300624</v>
      </c>
      <c r="C267" t="s">
        <v>2574</v>
      </c>
      <c r="D267" s="4">
        <v>43190</v>
      </c>
      <c r="E267" t="s">
        <v>2575</v>
      </c>
      <c r="F267" t="s">
        <v>2576</v>
      </c>
      <c r="G267">
        <v>982</v>
      </c>
      <c r="H267">
        <v>0.28999999999999998</v>
      </c>
      <c r="I267">
        <v>7.12</v>
      </c>
      <c r="J267">
        <v>4.92</v>
      </c>
      <c r="K267" t="s">
        <v>86</v>
      </c>
      <c r="L267">
        <v>17.579999999999998</v>
      </c>
      <c r="M267" t="s">
        <v>2577</v>
      </c>
      <c r="N267">
        <v>0</v>
      </c>
      <c r="O267" t="s">
        <v>2578</v>
      </c>
      <c r="P267" t="s">
        <v>2579</v>
      </c>
      <c r="Q267">
        <v>4.04</v>
      </c>
      <c r="R267" t="s">
        <v>1077</v>
      </c>
      <c r="S267">
        <v>2.09</v>
      </c>
      <c r="T267">
        <v>96.99</v>
      </c>
      <c r="U267" t="s">
        <v>2580</v>
      </c>
      <c r="V267" t="s">
        <v>2581</v>
      </c>
      <c r="W267" t="s">
        <v>745</v>
      </c>
      <c r="X267">
        <v>4.92</v>
      </c>
      <c r="Y267" t="s">
        <v>2582</v>
      </c>
      <c r="Z267" t="s">
        <v>2462</v>
      </c>
      <c r="AA267" t="s">
        <v>2583</v>
      </c>
      <c r="AB267">
        <v>11.86</v>
      </c>
      <c r="AC267" t="s">
        <v>181</v>
      </c>
      <c r="AD267">
        <v>97.75</v>
      </c>
      <c r="AE267" t="s">
        <v>36</v>
      </c>
      <c r="AF267">
        <v>3.7</v>
      </c>
      <c r="AG267">
        <v>0</v>
      </c>
      <c r="AH267">
        <v>0</v>
      </c>
      <c r="AI267" s="4">
        <v>43118</v>
      </c>
    </row>
    <row r="268" spans="1:35">
      <c r="A268">
        <v>267</v>
      </c>
      <c r="B268" t="str">
        <f>"603659"</f>
        <v>603659</v>
      </c>
      <c r="C268" t="s">
        <v>2584</v>
      </c>
      <c r="D268" s="4">
        <v>43190</v>
      </c>
      <c r="E268" t="s">
        <v>704</v>
      </c>
      <c r="F268" t="s">
        <v>2585</v>
      </c>
      <c r="G268">
        <v>2971</v>
      </c>
      <c r="H268">
        <v>0.3</v>
      </c>
      <c r="I268">
        <v>5.64</v>
      </c>
      <c r="J268">
        <v>4.9000000000000004</v>
      </c>
      <c r="K268" t="s">
        <v>2586</v>
      </c>
      <c r="L268">
        <v>41.8</v>
      </c>
      <c r="M268" t="s">
        <v>920</v>
      </c>
      <c r="N268" t="s">
        <v>2171</v>
      </c>
      <c r="O268" t="s">
        <v>505</v>
      </c>
      <c r="P268" t="s">
        <v>86</v>
      </c>
      <c r="Q268">
        <v>61</v>
      </c>
      <c r="R268" t="s">
        <v>699</v>
      </c>
      <c r="S268">
        <v>2.1800000000000002</v>
      </c>
      <c r="T268">
        <v>36.549999999999997</v>
      </c>
      <c r="U268" t="s">
        <v>1715</v>
      </c>
      <c r="V268" t="s">
        <v>948</v>
      </c>
      <c r="W268" t="s">
        <v>2587</v>
      </c>
      <c r="X268">
        <v>4.9000000000000004</v>
      </c>
      <c r="Y268" t="s">
        <v>420</v>
      </c>
      <c r="Z268" t="s">
        <v>983</v>
      </c>
      <c r="AA268" t="s">
        <v>701</v>
      </c>
      <c r="AB268">
        <v>10.16</v>
      </c>
      <c r="AC268" t="s">
        <v>1504</v>
      </c>
      <c r="AD268">
        <v>53.38</v>
      </c>
      <c r="AE268" t="s">
        <v>521</v>
      </c>
      <c r="AF268">
        <v>2.44</v>
      </c>
      <c r="AG268">
        <v>0</v>
      </c>
      <c r="AH268">
        <v>0</v>
      </c>
      <c r="AI268" s="4">
        <v>43042</v>
      </c>
    </row>
    <row r="269" spans="1:35">
      <c r="A269">
        <v>268</v>
      </c>
      <c r="B269" t="str">
        <f>"002019"</f>
        <v>002019</v>
      </c>
      <c r="C269" t="s">
        <v>2588</v>
      </c>
      <c r="D269" s="4">
        <v>43190</v>
      </c>
      <c r="E269" t="s">
        <v>264</v>
      </c>
      <c r="F269" t="s">
        <v>491</v>
      </c>
      <c r="G269" t="s">
        <v>2589</v>
      </c>
      <c r="H269">
        <v>0.27</v>
      </c>
      <c r="I269">
        <v>5.53</v>
      </c>
      <c r="J269">
        <v>4.9000000000000004</v>
      </c>
      <c r="K269" t="s">
        <v>300</v>
      </c>
      <c r="L269">
        <v>44.62</v>
      </c>
      <c r="M269" t="s">
        <v>69</v>
      </c>
      <c r="N269" t="s">
        <v>1637</v>
      </c>
      <c r="O269" t="s">
        <v>2590</v>
      </c>
      <c r="P269" t="s">
        <v>89</v>
      </c>
      <c r="Q269">
        <v>63.11</v>
      </c>
      <c r="R269" t="s">
        <v>1881</v>
      </c>
      <c r="S269">
        <v>2.2400000000000002</v>
      </c>
      <c r="T269">
        <v>56.53</v>
      </c>
      <c r="U269" t="s">
        <v>1171</v>
      </c>
      <c r="V269" t="s">
        <v>2136</v>
      </c>
      <c r="W269" t="s">
        <v>2428</v>
      </c>
      <c r="X269">
        <v>4.9000000000000004</v>
      </c>
      <c r="Y269" t="s">
        <v>119</v>
      </c>
      <c r="Z269" t="s">
        <v>983</v>
      </c>
      <c r="AA269" t="s">
        <v>267</v>
      </c>
      <c r="AB269">
        <v>3.04</v>
      </c>
      <c r="AC269" t="s">
        <v>2591</v>
      </c>
      <c r="AD269">
        <v>74.790000000000006</v>
      </c>
      <c r="AE269" t="s">
        <v>700</v>
      </c>
      <c r="AF269">
        <v>2.3199999999999998</v>
      </c>
      <c r="AG269">
        <v>0</v>
      </c>
      <c r="AH269">
        <v>0</v>
      </c>
      <c r="AI269" s="4">
        <v>38181</v>
      </c>
    </row>
    <row r="270" spans="1:35">
      <c r="A270">
        <v>269</v>
      </c>
      <c r="B270" t="str">
        <f>"000822"</f>
        <v>000822</v>
      </c>
      <c r="C270" t="s">
        <v>2592</v>
      </c>
      <c r="D270" s="4">
        <v>43190</v>
      </c>
      <c r="E270" t="s">
        <v>2593</v>
      </c>
      <c r="F270" t="s">
        <v>2593</v>
      </c>
      <c r="G270" t="s">
        <v>2531</v>
      </c>
      <c r="H270">
        <v>0.16</v>
      </c>
      <c r="I270">
        <v>3.27</v>
      </c>
      <c r="J270">
        <v>4.8899999999999997</v>
      </c>
      <c r="K270" t="s">
        <v>982</v>
      </c>
      <c r="L270">
        <v>10.14</v>
      </c>
      <c r="M270" t="s">
        <v>93</v>
      </c>
      <c r="N270" t="s">
        <v>2594</v>
      </c>
      <c r="O270" t="s">
        <v>93</v>
      </c>
      <c r="P270" t="s">
        <v>920</v>
      </c>
      <c r="Q270">
        <v>-48.5</v>
      </c>
      <c r="R270" t="s">
        <v>985</v>
      </c>
      <c r="S270">
        <v>0.21</v>
      </c>
      <c r="T270">
        <v>14.69</v>
      </c>
      <c r="U270" t="s">
        <v>2513</v>
      </c>
      <c r="V270" t="s">
        <v>2328</v>
      </c>
      <c r="W270" t="s">
        <v>115</v>
      </c>
      <c r="X270">
        <v>4.8899999999999997</v>
      </c>
      <c r="Y270" t="s">
        <v>323</v>
      </c>
      <c r="Z270" t="s">
        <v>2595</v>
      </c>
      <c r="AA270" t="s">
        <v>1184</v>
      </c>
      <c r="AB270">
        <v>2.0699999999999998</v>
      </c>
      <c r="AC270" t="s">
        <v>1350</v>
      </c>
      <c r="AD270">
        <v>73.349999999999994</v>
      </c>
      <c r="AE270" t="s">
        <v>547</v>
      </c>
      <c r="AF270">
        <v>1.68</v>
      </c>
      <c r="AG270">
        <v>0</v>
      </c>
      <c r="AH270">
        <v>0</v>
      </c>
      <c r="AI270" s="4">
        <v>35979</v>
      </c>
    </row>
    <row r="271" spans="1:35">
      <c r="A271">
        <v>270</v>
      </c>
      <c r="B271" t="str">
        <f>"603885"</f>
        <v>603885</v>
      </c>
      <c r="C271" t="s">
        <v>2596</v>
      </c>
      <c r="D271" s="4">
        <v>43190</v>
      </c>
      <c r="E271" t="s">
        <v>757</v>
      </c>
      <c r="F271" t="s">
        <v>757</v>
      </c>
      <c r="G271" t="s">
        <v>2597</v>
      </c>
      <c r="H271">
        <v>0.24</v>
      </c>
      <c r="I271">
        <v>5.05</v>
      </c>
      <c r="J271">
        <v>4.88</v>
      </c>
      <c r="K271" t="s">
        <v>940</v>
      </c>
      <c r="L271">
        <v>15.9</v>
      </c>
      <c r="M271" t="s">
        <v>2056</v>
      </c>
      <c r="N271" t="s">
        <v>2598</v>
      </c>
      <c r="O271" t="s">
        <v>107</v>
      </c>
      <c r="P271" t="s">
        <v>704</v>
      </c>
      <c r="Q271">
        <v>2.91</v>
      </c>
      <c r="R271" t="s">
        <v>816</v>
      </c>
      <c r="S271">
        <v>1.97</v>
      </c>
      <c r="T271">
        <v>21.15</v>
      </c>
      <c r="U271" t="s">
        <v>2599</v>
      </c>
      <c r="V271" t="s">
        <v>2600</v>
      </c>
      <c r="W271" t="s">
        <v>558</v>
      </c>
      <c r="X271">
        <v>4.88</v>
      </c>
      <c r="Y271" t="s">
        <v>590</v>
      </c>
      <c r="Z271" t="s">
        <v>1600</v>
      </c>
      <c r="AA271" t="s">
        <v>1600</v>
      </c>
      <c r="AB271">
        <v>3.39</v>
      </c>
      <c r="AC271" t="s">
        <v>2601</v>
      </c>
      <c r="AD271">
        <v>43.58</v>
      </c>
      <c r="AE271" t="s">
        <v>249</v>
      </c>
      <c r="AF271">
        <v>1.8</v>
      </c>
      <c r="AG271">
        <v>0</v>
      </c>
      <c r="AH271">
        <v>0</v>
      </c>
      <c r="AI271" s="4">
        <v>42151</v>
      </c>
    </row>
    <row r="272" spans="1:35">
      <c r="A272">
        <v>271</v>
      </c>
      <c r="B272" t="str">
        <f>"002222"</f>
        <v>002222</v>
      </c>
      <c r="C272" t="s">
        <v>2602</v>
      </c>
      <c r="D272" s="4">
        <v>43190</v>
      </c>
      <c r="E272" t="s">
        <v>1040</v>
      </c>
      <c r="F272" t="s">
        <v>202</v>
      </c>
      <c r="G272">
        <v>9073</v>
      </c>
      <c r="H272">
        <v>0.09</v>
      </c>
      <c r="I272">
        <v>1.79</v>
      </c>
      <c r="J272">
        <v>4.88</v>
      </c>
      <c r="K272" t="s">
        <v>2603</v>
      </c>
      <c r="L272">
        <v>17.22</v>
      </c>
      <c r="M272" t="s">
        <v>2604</v>
      </c>
      <c r="N272" t="s">
        <v>2605</v>
      </c>
      <c r="O272" t="s">
        <v>2606</v>
      </c>
      <c r="P272" t="s">
        <v>2607</v>
      </c>
      <c r="Q272">
        <v>16.600000000000001</v>
      </c>
      <c r="R272" t="s">
        <v>1905</v>
      </c>
      <c r="S272">
        <v>0.49</v>
      </c>
      <c r="T272">
        <v>59.51</v>
      </c>
      <c r="U272" t="s">
        <v>1946</v>
      </c>
      <c r="V272" t="s">
        <v>2608</v>
      </c>
      <c r="W272" t="s">
        <v>1682</v>
      </c>
      <c r="X272">
        <v>4.88</v>
      </c>
      <c r="Y272" t="s">
        <v>2609</v>
      </c>
      <c r="Z272" t="s">
        <v>2610</v>
      </c>
      <c r="AA272" t="s">
        <v>2611</v>
      </c>
      <c r="AB272">
        <v>7.25</v>
      </c>
      <c r="AC272" t="s">
        <v>358</v>
      </c>
      <c r="AD272">
        <v>88.27</v>
      </c>
      <c r="AE272" t="s">
        <v>2612</v>
      </c>
      <c r="AF272">
        <v>0.16</v>
      </c>
      <c r="AG272">
        <v>0</v>
      </c>
      <c r="AH272">
        <v>0</v>
      </c>
      <c r="AI272" s="4">
        <v>39526</v>
      </c>
    </row>
    <row r="273" spans="1:35">
      <c r="A273">
        <v>272</v>
      </c>
      <c r="B273" t="str">
        <f>"600180"</f>
        <v>600180</v>
      </c>
      <c r="C273" t="s">
        <v>2613</v>
      </c>
      <c r="D273" s="4">
        <v>43190</v>
      </c>
      <c r="E273" t="s">
        <v>1496</v>
      </c>
      <c r="F273" t="s">
        <v>1852</v>
      </c>
      <c r="G273" t="s">
        <v>2614</v>
      </c>
      <c r="H273">
        <v>0.26</v>
      </c>
      <c r="I273">
        <v>5.37</v>
      </c>
      <c r="J273">
        <v>4.8600000000000003</v>
      </c>
      <c r="K273" t="s">
        <v>466</v>
      </c>
      <c r="L273">
        <v>115.34</v>
      </c>
      <c r="M273" t="s">
        <v>89</v>
      </c>
      <c r="N273" t="s">
        <v>2615</v>
      </c>
      <c r="O273" t="s">
        <v>824</v>
      </c>
      <c r="P273" t="s">
        <v>1049</v>
      </c>
      <c r="Q273">
        <v>-3.06</v>
      </c>
      <c r="R273" t="s">
        <v>1158</v>
      </c>
      <c r="S273">
        <v>2.87</v>
      </c>
      <c r="T273">
        <v>8.1300000000000008</v>
      </c>
      <c r="U273" t="s">
        <v>2616</v>
      </c>
      <c r="V273" t="s">
        <v>2617</v>
      </c>
      <c r="W273" t="s">
        <v>2618</v>
      </c>
      <c r="X273">
        <v>4.8600000000000003</v>
      </c>
      <c r="Y273" t="s">
        <v>2050</v>
      </c>
      <c r="Z273" t="s">
        <v>246</v>
      </c>
      <c r="AA273" t="s">
        <v>1205</v>
      </c>
      <c r="AB273">
        <v>1.74</v>
      </c>
      <c r="AC273" t="s">
        <v>1395</v>
      </c>
      <c r="AD273">
        <v>24.66</v>
      </c>
      <c r="AE273" t="s">
        <v>141</v>
      </c>
      <c r="AF273">
        <v>1.45</v>
      </c>
      <c r="AG273">
        <v>0</v>
      </c>
      <c r="AH273">
        <v>0</v>
      </c>
      <c r="AI273" s="4">
        <v>35979</v>
      </c>
    </row>
    <row r="274" spans="1:35">
      <c r="A274">
        <v>273</v>
      </c>
      <c r="B274" t="str">
        <f>"002008"</f>
        <v>002008</v>
      </c>
      <c r="C274" t="s">
        <v>2619</v>
      </c>
      <c r="D274" s="4">
        <v>43190</v>
      </c>
      <c r="E274" t="s">
        <v>295</v>
      </c>
      <c r="F274" t="s">
        <v>2620</v>
      </c>
      <c r="G274" t="s">
        <v>861</v>
      </c>
      <c r="H274">
        <v>0.34</v>
      </c>
      <c r="I274">
        <v>6.64</v>
      </c>
      <c r="J274">
        <v>4.8499999999999996</v>
      </c>
      <c r="K274" t="s">
        <v>115</v>
      </c>
      <c r="L274">
        <v>11.2</v>
      </c>
      <c r="M274" t="s">
        <v>1934</v>
      </c>
      <c r="N274" t="s">
        <v>1288</v>
      </c>
      <c r="O274" t="s">
        <v>1934</v>
      </c>
      <c r="P274" t="s">
        <v>707</v>
      </c>
      <c r="Q274">
        <v>140.72999999999999</v>
      </c>
      <c r="R274" t="s">
        <v>811</v>
      </c>
      <c r="S274">
        <v>4.2</v>
      </c>
      <c r="T274">
        <v>40.58</v>
      </c>
      <c r="U274" t="s">
        <v>1146</v>
      </c>
      <c r="V274" t="s">
        <v>2066</v>
      </c>
      <c r="W274" t="s">
        <v>971</v>
      </c>
      <c r="X274">
        <v>4.8499999999999996</v>
      </c>
      <c r="Y274" t="s">
        <v>635</v>
      </c>
      <c r="Z274" t="s">
        <v>1134</v>
      </c>
      <c r="AA274" t="s">
        <v>826</v>
      </c>
      <c r="AB274">
        <v>8</v>
      </c>
      <c r="AC274" t="s">
        <v>1280</v>
      </c>
      <c r="AD274">
        <v>48.35</v>
      </c>
      <c r="AE274" t="s">
        <v>2621</v>
      </c>
      <c r="AF274">
        <v>0.74</v>
      </c>
      <c r="AG274">
        <v>0</v>
      </c>
      <c r="AH274">
        <v>0</v>
      </c>
      <c r="AI274" s="4">
        <v>38163</v>
      </c>
    </row>
    <row r="275" spans="1:35">
      <c r="A275">
        <v>274</v>
      </c>
      <c r="B275" t="str">
        <f>"000887"</f>
        <v>000887</v>
      </c>
      <c r="C275" t="s">
        <v>2622</v>
      </c>
      <c r="D275" s="4">
        <v>43190</v>
      </c>
      <c r="E275" t="s">
        <v>405</v>
      </c>
      <c r="F275" t="s">
        <v>982</v>
      </c>
      <c r="G275" t="s">
        <v>2623</v>
      </c>
      <c r="H275">
        <v>0.31</v>
      </c>
      <c r="I275">
        <v>6.42</v>
      </c>
      <c r="J275">
        <v>4.8499999999999996</v>
      </c>
      <c r="K275" t="s">
        <v>1161</v>
      </c>
      <c r="L275">
        <v>25.24</v>
      </c>
      <c r="M275" t="s">
        <v>196</v>
      </c>
      <c r="N275" t="s">
        <v>2624</v>
      </c>
      <c r="O275" t="s">
        <v>2625</v>
      </c>
      <c r="P275" t="s">
        <v>137</v>
      </c>
      <c r="Q275">
        <v>20.239999999999998</v>
      </c>
      <c r="R275" t="s">
        <v>511</v>
      </c>
      <c r="S275">
        <v>3.24</v>
      </c>
      <c r="T275">
        <v>28.56</v>
      </c>
      <c r="U275" t="s">
        <v>788</v>
      </c>
      <c r="V275" t="s">
        <v>2626</v>
      </c>
      <c r="W275" t="s">
        <v>450</v>
      </c>
      <c r="X275">
        <v>4.8499999999999996</v>
      </c>
      <c r="Y275" t="s">
        <v>772</v>
      </c>
      <c r="Z275" t="s">
        <v>312</v>
      </c>
      <c r="AA275" t="s">
        <v>230</v>
      </c>
      <c r="AB275">
        <v>2.23</v>
      </c>
      <c r="AC275" t="s">
        <v>2627</v>
      </c>
      <c r="AD275">
        <v>51.1</v>
      </c>
      <c r="AE275" t="s">
        <v>706</v>
      </c>
      <c r="AF275">
        <v>1.98</v>
      </c>
      <c r="AG275">
        <v>0</v>
      </c>
      <c r="AH275">
        <v>0</v>
      </c>
      <c r="AI275" s="4">
        <v>36132</v>
      </c>
    </row>
    <row r="276" spans="1:35">
      <c r="A276">
        <v>275</v>
      </c>
      <c r="B276" t="str">
        <f>"601216"</f>
        <v>601216</v>
      </c>
      <c r="C276" t="s">
        <v>2628</v>
      </c>
      <c r="D276" s="4">
        <v>43190</v>
      </c>
      <c r="E276" t="s">
        <v>2629</v>
      </c>
      <c r="F276" t="s">
        <v>2629</v>
      </c>
      <c r="G276" t="s">
        <v>2630</v>
      </c>
      <c r="H276">
        <v>0.09</v>
      </c>
      <c r="I276">
        <v>1.96</v>
      </c>
      <c r="J276">
        <v>4.84</v>
      </c>
      <c r="K276" t="s">
        <v>2568</v>
      </c>
      <c r="L276">
        <v>18.45</v>
      </c>
      <c r="M276" t="s">
        <v>2233</v>
      </c>
      <c r="N276" t="s">
        <v>337</v>
      </c>
      <c r="O276" t="s">
        <v>2233</v>
      </c>
      <c r="P276" t="s">
        <v>1019</v>
      </c>
      <c r="Q276">
        <v>46.12</v>
      </c>
      <c r="R276" t="s">
        <v>309</v>
      </c>
      <c r="S276">
        <v>0.88</v>
      </c>
      <c r="T276">
        <v>44.85</v>
      </c>
      <c r="U276" t="s">
        <v>1882</v>
      </c>
      <c r="V276" t="s">
        <v>1419</v>
      </c>
      <c r="W276" t="s">
        <v>2631</v>
      </c>
      <c r="X276">
        <v>4.84</v>
      </c>
      <c r="Y276" t="s">
        <v>2632</v>
      </c>
      <c r="Z276" t="s">
        <v>2633</v>
      </c>
      <c r="AA276" t="s">
        <v>891</v>
      </c>
      <c r="AB276">
        <v>1.71</v>
      </c>
      <c r="AC276" t="s">
        <v>2634</v>
      </c>
      <c r="AD276">
        <v>67.040000000000006</v>
      </c>
      <c r="AE276" t="s">
        <v>1732</v>
      </c>
      <c r="AF276">
        <v>0.03</v>
      </c>
      <c r="AG276">
        <v>0</v>
      </c>
      <c r="AH276">
        <v>0</v>
      </c>
      <c r="AI276" s="4">
        <v>40596</v>
      </c>
    </row>
    <row r="277" spans="1:35">
      <c r="A277">
        <v>276</v>
      </c>
      <c r="B277" t="str">
        <f>"600176"</f>
        <v>600176</v>
      </c>
      <c r="C277" t="s">
        <v>2635</v>
      </c>
      <c r="D277" s="4">
        <v>43190</v>
      </c>
      <c r="E277" t="s">
        <v>1174</v>
      </c>
      <c r="F277" t="s">
        <v>1174</v>
      </c>
      <c r="G277" t="s">
        <v>2636</v>
      </c>
      <c r="H277">
        <v>0.18</v>
      </c>
      <c r="I277">
        <v>3.5</v>
      </c>
      <c r="J277">
        <v>4.84</v>
      </c>
      <c r="K277" t="s">
        <v>1294</v>
      </c>
      <c r="L277">
        <v>34.17</v>
      </c>
      <c r="M277" t="s">
        <v>2637</v>
      </c>
      <c r="N277" t="s">
        <v>2638</v>
      </c>
      <c r="O277" t="s">
        <v>566</v>
      </c>
      <c r="P277" t="s">
        <v>792</v>
      </c>
      <c r="Q277">
        <v>31.17</v>
      </c>
      <c r="R277" t="s">
        <v>2639</v>
      </c>
      <c r="S277">
        <v>1.46</v>
      </c>
      <c r="T277">
        <v>45.27</v>
      </c>
      <c r="U277" t="s">
        <v>1928</v>
      </c>
      <c r="V277" t="s">
        <v>2640</v>
      </c>
      <c r="W277" t="s">
        <v>229</v>
      </c>
      <c r="X277">
        <v>4.84</v>
      </c>
      <c r="Y277" t="s">
        <v>465</v>
      </c>
      <c r="Z277" t="s">
        <v>2641</v>
      </c>
      <c r="AA277" t="s">
        <v>2642</v>
      </c>
      <c r="AB277">
        <v>3.1</v>
      </c>
      <c r="AC277" t="s">
        <v>719</v>
      </c>
      <c r="AD277">
        <v>50.3</v>
      </c>
      <c r="AE277" t="s">
        <v>2643</v>
      </c>
      <c r="AF277">
        <v>0.98</v>
      </c>
      <c r="AG277">
        <v>0</v>
      </c>
      <c r="AH277">
        <v>0</v>
      </c>
      <c r="AI277" s="4">
        <v>36272</v>
      </c>
    </row>
    <row r="278" spans="1:35">
      <c r="A278">
        <v>277</v>
      </c>
      <c r="B278" t="str">
        <f>"300409"</f>
        <v>300409</v>
      </c>
      <c r="C278" t="s">
        <v>2644</v>
      </c>
      <c r="D278" s="4">
        <v>43190</v>
      </c>
      <c r="E278" t="s">
        <v>1364</v>
      </c>
      <c r="F278" t="s">
        <v>1376</v>
      </c>
      <c r="G278" t="s">
        <v>2645</v>
      </c>
      <c r="H278">
        <v>0.3</v>
      </c>
      <c r="I278">
        <v>6.49</v>
      </c>
      <c r="J278">
        <v>4.84</v>
      </c>
      <c r="K278" t="s">
        <v>2646</v>
      </c>
      <c r="L278">
        <v>437.64</v>
      </c>
      <c r="M278" t="s">
        <v>372</v>
      </c>
      <c r="N278">
        <v>0</v>
      </c>
      <c r="O278" t="s">
        <v>993</v>
      </c>
      <c r="P278" t="s">
        <v>1646</v>
      </c>
      <c r="Q278">
        <v>284.77999999999997</v>
      </c>
      <c r="R278" t="s">
        <v>1806</v>
      </c>
      <c r="S278">
        <v>2.2200000000000002</v>
      </c>
      <c r="T278">
        <v>34.75</v>
      </c>
      <c r="U278" t="s">
        <v>551</v>
      </c>
      <c r="V278" t="s">
        <v>946</v>
      </c>
      <c r="W278" t="s">
        <v>2647</v>
      </c>
      <c r="X278">
        <v>4.84</v>
      </c>
      <c r="Y278" t="s">
        <v>1504</v>
      </c>
      <c r="Z278" t="s">
        <v>754</v>
      </c>
      <c r="AA278" t="s">
        <v>2648</v>
      </c>
      <c r="AB278">
        <v>5.81</v>
      </c>
      <c r="AC278" t="s">
        <v>855</v>
      </c>
      <c r="AD278">
        <v>32.08</v>
      </c>
      <c r="AE278" t="s">
        <v>43</v>
      </c>
      <c r="AF278">
        <v>3.1</v>
      </c>
      <c r="AG278">
        <v>0</v>
      </c>
      <c r="AH278">
        <v>0</v>
      </c>
      <c r="AI278" s="4">
        <v>41976</v>
      </c>
    </row>
    <row r="279" spans="1:35">
      <c r="A279">
        <v>278</v>
      </c>
      <c r="B279" t="str">
        <f>"600708"</f>
        <v>600708</v>
      </c>
      <c r="C279" t="s">
        <v>2649</v>
      </c>
      <c r="D279" s="4">
        <v>43190</v>
      </c>
      <c r="E279" t="s">
        <v>261</v>
      </c>
      <c r="F279" t="s">
        <v>101</v>
      </c>
      <c r="G279" t="s">
        <v>1179</v>
      </c>
      <c r="H279">
        <v>0.23</v>
      </c>
      <c r="I279">
        <v>4.74</v>
      </c>
      <c r="J279">
        <v>4.83</v>
      </c>
      <c r="K279" t="s">
        <v>864</v>
      </c>
      <c r="L279">
        <v>28.8</v>
      </c>
      <c r="M279" t="s">
        <v>1938</v>
      </c>
      <c r="N279" t="s">
        <v>2650</v>
      </c>
      <c r="O279" t="s">
        <v>871</v>
      </c>
      <c r="P279" t="s">
        <v>97</v>
      </c>
      <c r="Q279">
        <v>1076.47</v>
      </c>
      <c r="R279" t="s">
        <v>930</v>
      </c>
      <c r="S279">
        <v>2.94</v>
      </c>
      <c r="T279">
        <v>45.99</v>
      </c>
      <c r="U279" t="s">
        <v>2651</v>
      </c>
      <c r="V279" t="s">
        <v>2652</v>
      </c>
      <c r="W279" t="s">
        <v>2571</v>
      </c>
      <c r="X279">
        <v>4.83</v>
      </c>
      <c r="Y279" t="s">
        <v>2653</v>
      </c>
      <c r="Z279" t="s">
        <v>2357</v>
      </c>
      <c r="AA279" t="s">
        <v>2654</v>
      </c>
      <c r="AB279">
        <v>0.94</v>
      </c>
      <c r="AC279" t="s">
        <v>586</v>
      </c>
      <c r="AD279">
        <v>18.75</v>
      </c>
      <c r="AE279" t="s">
        <v>516</v>
      </c>
      <c r="AF279">
        <v>0.61</v>
      </c>
      <c r="AG279">
        <v>0</v>
      </c>
      <c r="AH279">
        <v>0</v>
      </c>
      <c r="AI279" s="4">
        <v>35222</v>
      </c>
    </row>
    <row r="280" spans="1:35">
      <c r="A280">
        <v>279</v>
      </c>
      <c r="B280" t="str">
        <f>"300649"</f>
        <v>300649</v>
      </c>
      <c r="C280" t="s">
        <v>2655</v>
      </c>
      <c r="D280" s="4">
        <v>43190</v>
      </c>
      <c r="E280" t="s">
        <v>86</v>
      </c>
      <c r="F280" t="s">
        <v>87</v>
      </c>
      <c r="G280">
        <v>1533</v>
      </c>
      <c r="H280">
        <v>0.12</v>
      </c>
      <c r="I280">
        <v>2.57</v>
      </c>
      <c r="J280">
        <v>4.83</v>
      </c>
      <c r="K280" t="s">
        <v>1077</v>
      </c>
      <c r="L280">
        <v>591.54999999999995</v>
      </c>
      <c r="M280" t="s">
        <v>2656</v>
      </c>
      <c r="N280">
        <v>0</v>
      </c>
      <c r="O280" t="s">
        <v>2656</v>
      </c>
      <c r="P280" t="s">
        <v>2657</v>
      </c>
      <c r="Q280">
        <v>183.53</v>
      </c>
      <c r="R280" t="s">
        <v>1349</v>
      </c>
      <c r="S280">
        <v>0.88</v>
      </c>
      <c r="T280">
        <v>16.89</v>
      </c>
      <c r="U280" t="s">
        <v>1682</v>
      </c>
      <c r="V280" t="s">
        <v>383</v>
      </c>
      <c r="W280" t="s">
        <v>2658</v>
      </c>
      <c r="X280">
        <v>4.83</v>
      </c>
      <c r="Y280" t="s">
        <v>2659</v>
      </c>
      <c r="Z280" t="s">
        <v>2660</v>
      </c>
      <c r="AA280" t="s">
        <v>803</v>
      </c>
      <c r="AB280">
        <v>11.26</v>
      </c>
      <c r="AC280" t="s">
        <v>2661</v>
      </c>
      <c r="AD280">
        <v>86.76</v>
      </c>
      <c r="AE280" t="s">
        <v>2662</v>
      </c>
      <c r="AF280">
        <v>0.52</v>
      </c>
      <c r="AG280">
        <v>0</v>
      </c>
      <c r="AH280">
        <v>0</v>
      </c>
      <c r="AI280" s="4">
        <v>42860</v>
      </c>
    </row>
    <row r="281" spans="1:35">
      <c r="A281">
        <v>280</v>
      </c>
      <c r="B281" t="str">
        <f>"002419"</f>
        <v>002419</v>
      </c>
      <c r="C281" t="s">
        <v>2663</v>
      </c>
      <c r="D281" s="4">
        <v>43190</v>
      </c>
      <c r="E281" t="s">
        <v>625</v>
      </c>
      <c r="F281" t="s">
        <v>625</v>
      </c>
      <c r="G281" t="s">
        <v>2664</v>
      </c>
      <c r="H281">
        <v>0.25</v>
      </c>
      <c r="I281">
        <v>4.97</v>
      </c>
      <c r="J281">
        <v>4.83</v>
      </c>
      <c r="K281" t="s">
        <v>572</v>
      </c>
      <c r="L281">
        <v>9.89</v>
      </c>
      <c r="M281" t="s">
        <v>2665</v>
      </c>
      <c r="N281" t="s">
        <v>2666</v>
      </c>
      <c r="O281" t="s">
        <v>165</v>
      </c>
      <c r="P281" t="s">
        <v>1810</v>
      </c>
      <c r="Q281">
        <v>33.729999999999997</v>
      </c>
      <c r="R281" t="s">
        <v>817</v>
      </c>
      <c r="S281">
        <v>2.54</v>
      </c>
      <c r="T281">
        <v>26.02</v>
      </c>
      <c r="U281" t="s">
        <v>1894</v>
      </c>
      <c r="V281" t="s">
        <v>873</v>
      </c>
      <c r="W281" t="s">
        <v>2667</v>
      </c>
      <c r="X281">
        <v>4.83</v>
      </c>
      <c r="Y281" t="s">
        <v>2219</v>
      </c>
      <c r="Z281" t="s">
        <v>2668</v>
      </c>
      <c r="AA281" t="s">
        <v>2669</v>
      </c>
      <c r="AB281">
        <v>2.83</v>
      </c>
      <c r="AC281" t="s">
        <v>1418</v>
      </c>
      <c r="AD281">
        <v>41.25</v>
      </c>
      <c r="AE281" t="s">
        <v>646</v>
      </c>
      <c r="AF281">
        <v>1.0900000000000001</v>
      </c>
      <c r="AG281">
        <v>0</v>
      </c>
      <c r="AH281">
        <v>0</v>
      </c>
      <c r="AI281" s="4">
        <v>40330</v>
      </c>
    </row>
    <row r="282" spans="1:35">
      <c r="A282">
        <v>281</v>
      </c>
      <c r="B282" t="str">
        <f>"300094"</f>
        <v>300094</v>
      </c>
      <c r="C282" t="s">
        <v>2670</v>
      </c>
      <c r="D282" s="4">
        <v>43190</v>
      </c>
      <c r="E282" t="s">
        <v>488</v>
      </c>
      <c r="F282" t="s">
        <v>627</v>
      </c>
      <c r="G282" t="s">
        <v>2671</v>
      </c>
      <c r="H282">
        <v>0.12</v>
      </c>
      <c r="I282">
        <v>2.6</v>
      </c>
      <c r="J282">
        <v>4.82</v>
      </c>
      <c r="K282" t="s">
        <v>1094</v>
      </c>
      <c r="L282">
        <v>20.25</v>
      </c>
      <c r="M282" t="s">
        <v>443</v>
      </c>
      <c r="N282" t="s">
        <v>2672</v>
      </c>
      <c r="O282" t="s">
        <v>443</v>
      </c>
      <c r="P282" t="s">
        <v>2673</v>
      </c>
      <c r="Q282">
        <v>423.85</v>
      </c>
      <c r="R282" t="s">
        <v>2674</v>
      </c>
      <c r="S282">
        <v>0.78</v>
      </c>
      <c r="T282">
        <v>11.64</v>
      </c>
      <c r="U282" t="s">
        <v>511</v>
      </c>
      <c r="V282" t="s">
        <v>638</v>
      </c>
      <c r="W282" t="s">
        <v>2268</v>
      </c>
      <c r="X282">
        <v>4.82</v>
      </c>
      <c r="Y282" t="s">
        <v>419</v>
      </c>
      <c r="Z282" t="s">
        <v>1792</v>
      </c>
      <c r="AA282" t="s">
        <v>267</v>
      </c>
      <c r="AB282">
        <v>2.74</v>
      </c>
      <c r="AC282" t="s">
        <v>1843</v>
      </c>
      <c r="AD282">
        <v>50.95</v>
      </c>
      <c r="AE282" t="s">
        <v>1618</v>
      </c>
      <c r="AF282">
        <v>0.77</v>
      </c>
      <c r="AG282">
        <v>0</v>
      </c>
      <c r="AH282">
        <v>0</v>
      </c>
      <c r="AI282" s="4">
        <v>40367</v>
      </c>
    </row>
    <row r="283" spans="1:35">
      <c r="A283">
        <v>282</v>
      </c>
      <c r="B283" t="str">
        <f>"002102"</f>
        <v>002102</v>
      </c>
      <c r="C283" t="s">
        <v>2675</v>
      </c>
      <c r="D283" s="4">
        <v>43190</v>
      </c>
      <c r="E283" t="s">
        <v>2515</v>
      </c>
      <c r="F283" t="s">
        <v>119</v>
      </c>
      <c r="G283" t="s">
        <v>2676</v>
      </c>
      <c r="H283">
        <v>0.1</v>
      </c>
      <c r="I283">
        <v>2.12</v>
      </c>
      <c r="J283">
        <v>4.8099999999999996</v>
      </c>
      <c r="K283" t="s">
        <v>1054</v>
      </c>
      <c r="L283">
        <v>85.96</v>
      </c>
      <c r="M283" t="s">
        <v>2185</v>
      </c>
      <c r="N283">
        <v>0</v>
      </c>
      <c r="O283" t="s">
        <v>2185</v>
      </c>
      <c r="P283" t="s">
        <v>1995</v>
      </c>
      <c r="Q283">
        <v>684.2</v>
      </c>
      <c r="R283" t="s">
        <v>602</v>
      </c>
      <c r="S283">
        <v>0.42</v>
      </c>
      <c r="T283">
        <v>11.78</v>
      </c>
      <c r="U283" t="s">
        <v>2677</v>
      </c>
      <c r="V283" t="s">
        <v>1161</v>
      </c>
      <c r="W283" t="s">
        <v>2678</v>
      </c>
      <c r="X283">
        <v>4.8099999999999996</v>
      </c>
      <c r="Y283" t="s">
        <v>1158</v>
      </c>
      <c r="Z283" t="s">
        <v>2568</v>
      </c>
      <c r="AA283" t="s">
        <v>201</v>
      </c>
      <c r="AB283">
        <v>1.92</v>
      </c>
      <c r="AC283" t="s">
        <v>2389</v>
      </c>
      <c r="AD283">
        <v>65.37</v>
      </c>
      <c r="AE283" t="s">
        <v>298</v>
      </c>
      <c r="AF283">
        <v>0.63</v>
      </c>
      <c r="AG283">
        <v>0</v>
      </c>
      <c r="AH283">
        <v>0</v>
      </c>
      <c r="AI283" s="4">
        <v>39080</v>
      </c>
    </row>
    <row r="284" spans="1:35">
      <c r="A284">
        <v>283</v>
      </c>
      <c r="B284" t="str">
        <f>"603900"</f>
        <v>603900</v>
      </c>
      <c r="C284" t="s">
        <v>2679</v>
      </c>
      <c r="D284" s="4">
        <v>43190</v>
      </c>
      <c r="E284" t="s">
        <v>344</v>
      </c>
      <c r="F284" t="s">
        <v>2680</v>
      </c>
      <c r="G284">
        <v>4553</v>
      </c>
      <c r="H284">
        <v>0.33</v>
      </c>
      <c r="I284">
        <v>6.76</v>
      </c>
      <c r="J284">
        <v>4.79</v>
      </c>
      <c r="K284" t="s">
        <v>2681</v>
      </c>
      <c r="L284">
        <v>-4.37</v>
      </c>
      <c r="M284" t="s">
        <v>745</v>
      </c>
      <c r="N284" t="s">
        <v>2682</v>
      </c>
      <c r="O284" t="s">
        <v>609</v>
      </c>
      <c r="P284" t="s">
        <v>355</v>
      </c>
      <c r="Q284">
        <v>1.82</v>
      </c>
      <c r="R284" t="s">
        <v>2683</v>
      </c>
      <c r="S284">
        <v>2.2400000000000002</v>
      </c>
      <c r="T284">
        <v>56.94</v>
      </c>
      <c r="U284" t="s">
        <v>1542</v>
      </c>
      <c r="V284" t="s">
        <v>260</v>
      </c>
      <c r="W284" t="s">
        <v>2684</v>
      </c>
      <c r="X284">
        <v>4.79</v>
      </c>
      <c r="Y284" t="s">
        <v>2685</v>
      </c>
      <c r="Z284" t="s">
        <v>2686</v>
      </c>
      <c r="AA284" t="s">
        <v>2687</v>
      </c>
      <c r="AB284">
        <v>3.17</v>
      </c>
      <c r="AC284" t="s">
        <v>1348</v>
      </c>
      <c r="AD284">
        <v>83.42</v>
      </c>
      <c r="AE284" t="s">
        <v>1223</v>
      </c>
      <c r="AF284">
        <v>3.21</v>
      </c>
      <c r="AG284">
        <v>0</v>
      </c>
      <c r="AH284">
        <v>0</v>
      </c>
      <c r="AI284" s="4">
        <v>42697</v>
      </c>
    </row>
    <row r="285" spans="1:35">
      <c r="A285">
        <v>284</v>
      </c>
      <c r="B285" t="str">
        <f>"002176"</f>
        <v>002176</v>
      </c>
      <c r="C285" t="s">
        <v>2688</v>
      </c>
      <c r="D285" s="4">
        <v>43190</v>
      </c>
      <c r="E285" t="s">
        <v>80</v>
      </c>
      <c r="F285" t="s">
        <v>161</v>
      </c>
      <c r="G285" t="s">
        <v>2449</v>
      </c>
      <c r="H285">
        <v>0.13</v>
      </c>
      <c r="I285">
        <v>2.85</v>
      </c>
      <c r="J285">
        <v>4.79</v>
      </c>
      <c r="K285" t="s">
        <v>1957</v>
      </c>
      <c r="L285">
        <v>118.35</v>
      </c>
      <c r="M285" t="s">
        <v>66</v>
      </c>
      <c r="N285" t="s">
        <v>2689</v>
      </c>
      <c r="O285" t="s">
        <v>682</v>
      </c>
      <c r="P285" t="s">
        <v>148</v>
      </c>
      <c r="Q285">
        <v>336.29</v>
      </c>
      <c r="R285" t="s">
        <v>2690</v>
      </c>
      <c r="S285">
        <v>0.62</v>
      </c>
      <c r="T285">
        <v>33.549999999999997</v>
      </c>
      <c r="U285" t="s">
        <v>716</v>
      </c>
      <c r="V285" t="s">
        <v>2691</v>
      </c>
      <c r="W285" t="s">
        <v>538</v>
      </c>
      <c r="X285">
        <v>4.79</v>
      </c>
      <c r="Y285" t="s">
        <v>2692</v>
      </c>
      <c r="Z285" t="s">
        <v>2241</v>
      </c>
      <c r="AA285" t="s">
        <v>2693</v>
      </c>
      <c r="AB285">
        <v>3.17</v>
      </c>
      <c r="AC285" t="s">
        <v>2694</v>
      </c>
      <c r="AD285">
        <v>41.26</v>
      </c>
      <c r="AE285" t="s">
        <v>1343</v>
      </c>
      <c r="AF285">
        <v>1.19</v>
      </c>
      <c r="AG285">
        <v>0</v>
      </c>
      <c r="AH285">
        <v>0</v>
      </c>
      <c r="AI285" s="4">
        <v>39367</v>
      </c>
    </row>
    <row r="286" spans="1:35">
      <c r="A286">
        <v>285</v>
      </c>
      <c r="B286" t="str">
        <f>"000915"</f>
        <v>000915</v>
      </c>
      <c r="C286" t="s">
        <v>2695</v>
      </c>
      <c r="D286" s="4">
        <v>43190</v>
      </c>
      <c r="E286" t="s">
        <v>470</v>
      </c>
      <c r="F286" t="s">
        <v>1245</v>
      </c>
      <c r="G286">
        <v>8802</v>
      </c>
      <c r="H286">
        <v>0.32</v>
      </c>
      <c r="I286">
        <v>6.79</v>
      </c>
      <c r="J286">
        <v>4.79</v>
      </c>
      <c r="K286" t="s">
        <v>2222</v>
      </c>
      <c r="L286">
        <v>1.82</v>
      </c>
      <c r="M286" t="s">
        <v>382</v>
      </c>
      <c r="N286">
        <v>0</v>
      </c>
      <c r="O286" t="s">
        <v>505</v>
      </c>
      <c r="P286" t="s">
        <v>2696</v>
      </c>
      <c r="Q286">
        <v>-14.56</v>
      </c>
      <c r="R286" t="s">
        <v>405</v>
      </c>
      <c r="S286">
        <v>5.25</v>
      </c>
      <c r="T286">
        <v>73.349999999999994</v>
      </c>
      <c r="U286" t="s">
        <v>1329</v>
      </c>
      <c r="V286" t="s">
        <v>161</v>
      </c>
      <c r="W286" t="s">
        <v>2697</v>
      </c>
      <c r="X286">
        <v>4.79</v>
      </c>
      <c r="Y286" t="s">
        <v>1645</v>
      </c>
      <c r="Z286" t="s">
        <v>2036</v>
      </c>
      <c r="AA286" t="s">
        <v>2374</v>
      </c>
      <c r="AB286">
        <v>3</v>
      </c>
      <c r="AC286" t="s">
        <v>983</v>
      </c>
      <c r="AD286">
        <v>55.89</v>
      </c>
      <c r="AE286" t="s">
        <v>2698</v>
      </c>
      <c r="AF286">
        <v>0.22</v>
      </c>
      <c r="AG286">
        <v>0</v>
      </c>
      <c r="AH286">
        <v>0</v>
      </c>
      <c r="AI286" s="4">
        <v>36320</v>
      </c>
    </row>
    <row r="287" spans="1:35">
      <c r="A287">
        <v>286</v>
      </c>
      <c r="B287" t="str">
        <f>"603708"</f>
        <v>603708</v>
      </c>
      <c r="C287" t="s">
        <v>2699</v>
      </c>
      <c r="D287" s="4">
        <v>43190</v>
      </c>
      <c r="E287" t="s">
        <v>735</v>
      </c>
      <c r="F287" t="s">
        <v>382</v>
      </c>
      <c r="G287">
        <v>8259</v>
      </c>
      <c r="H287">
        <v>0.26</v>
      </c>
      <c r="I287">
        <v>5.31</v>
      </c>
      <c r="J287">
        <v>4.78</v>
      </c>
      <c r="K287" t="s">
        <v>2700</v>
      </c>
      <c r="L287">
        <v>7.54</v>
      </c>
      <c r="M287" t="s">
        <v>452</v>
      </c>
      <c r="N287" t="s">
        <v>281</v>
      </c>
      <c r="O287" t="s">
        <v>452</v>
      </c>
      <c r="P287" t="s">
        <v>1525</v>
      </c>
      <c r="Q287">
        <v>31.71</v>
      </c>
      <c r="R287" t="s">
        <v>1723</v>
      </c>
      <c r="S287">
        <v>1.1100000000000001</v>
      </c>
      <c r="T287">
        <v>21.54</v>
      </c>
      <c r="U287" t="s">
        <v>2701</v>
      </c>
      <c r="V287" t="s">
        <v>762</v>
      </c>
      <c r="W287" t="s">
        <v>646</v>
      </c>
      <c r="X287">
        <v>4.78</v>
      </c>
      <c r="Y287" t="s">
        <v>1841</v>
      </c>
      <c r="Z287" t="s">
        <v>2702</v>
      </c>
      <c r="AA287" t="s">
        <v>258</v>
      </c>
      <c r="AB287">
        <v>3.95</v>
      </c>
      <c r="AC287" t="s">
        <v>260</v>
      </c>
      <c r="AD287">
        <v>35.61</v>
      </c>
      <c r="AE287" t="s">
        <v>176</v>
      </c>
      <c r="AF287">
        <v>2.95</v>
      </c>
      <c r="AG287">
        <v>0</v>
      </c>
      <c r="AH287">
        <v>0</v>
      </c>
      <c r="AI287" s="4">
        <v>42717</v>
      </c>
    </row>
    <row r="288" spans="1:35">
      <c r="A288">
        <v>287</v>
      </c>
      <c r="B288" t="str">
        <f>"600703"</f>
        <v>600703</v>
      </c>
      <c r="C288" t="s">
        <v>2703</v>
      </c>
      <c r="D288" s="4">
        <v>43190</v>
      </c>
      <c r="E288" t="s">
        <v>1517</v>
      </c>
      <c r="F288" t="s">
        <v>1517</v>
      </c>
      <c r="G288" t="s">
        <v>2704</v>
      </c>
      <c r="H288">
        <v>0.24</v>
      </c>
      <c r="I288">
        <v>4.83</v>
      </c>
      <c r="J288">
        <v>4.78</v>
      </c>
      <c r="K288" t="s">
        <v>2328</v>
      </c>
      <c r="L288">
        <v>-2.2599999999999998</v>
      </c>
      <c r="M288" t="s">
        <v>323</v>
      </c>
      <c r="N288" t="s">
        <v>406</v>
      </c>
      <c r="O288" t="s">
        <v>323</v>
      </c>
      <c r="P288" t="s">
        <v>2705</v>
      </c>
      <c r="Q288">
        <v>40.14</v>
      </c>
      <c r="R288" t="s">
        <v>2706</v>
      </c>
      <c r="S288">
        <v>1.98</v>
      </c>
      <c r="T288">
        <v>51.13</v>
      </c>
      <c r="U288" t="s">
        <v>2707</v>
      </c>
      <c r="V288" t="s">
        <v>580</v>
      </c>
      <c r="W288" t="s">
        <v>2708</v>
      </c>
      <c r="X288">
        <v>4.78</v>
      </c>
      <c r="Y288" t="s">
        <v>1878</v>
      </c>
      <c r="Z288" t="s">
        <v>754</v>
      </c>
      <c r="AA288" t="s">
        <v>2709</v>
      </c>
      <c r="AB288">
        <v>4.01</v>
      </c>
      <c r="AC288" t="s">
        <v>1749</v>
      </c>
      <c r="AD288">
        <v>77.260000000000005</v>
      </c>
      <c r="AE288" t="s">
        <v>2710</v>
      </c>
      <c r="AF288">
        <v>1.74</v>
      </c>
      <c r="AG288">
        <v>0</v>
      </c>
      <c r="AH288">
        <v>0</v>
      </c>
      <c r="AI288" s="4">
        <v>35213</v>
      </c>
    </row>
    <row r="289" spans="1:35">
      <c r="A289">
        <v>288</v>
      </c>
      <c r="B289" t="str">
        <f>"600518"</f>
        <v>600518</v>
      </c>
      <c r="C289" t="s">
        <v>2711</v>
      </c>
      <c r="D289" s="4">
        <v>43190</v>
      </c>
      <c r="E289" t="s">
        <v>952</v>
      </c>
      <c r="F289" t="s">
        <v>773</v>
      </c>
      <c r="G289" t="s">
        <v>2712</v>
      </c>
      <c r="H289">
        <v>0.28999999999999998</v>
      </c>
      <c r="I289">
        <v>6.14</v>
      </c>
      <c r="J289">
        <v>4.78</v>
      </c>
      <c r="K289" t="s">
        <v>2713</v>
      </c>
      <c r="L289">
        <v>27.68</v>
      </c>
      <c r="M289" t="s">
        <v>115</v>
      </c>
      <c r="N289" t="s">
        <v>2714</v>
      </c>
      <c r="O289" t="s">
        <v>820</v>
      </c>
      <c r="P289" t="s">
        <v>173</v>
      </c>
      <c r="Q289">
        <v>33.28</v>
      </c>
      <c r="R289" t="s">
        <v>410</v>
      </c>
      <c r="S289">
        <v>2.4900000000000002</v>
      </c>
      <c r="T289">
        <v>29.19</v>
      </c>
      <c r="U289" t="s">
        <v>2715</v>
      </c>
      <c r="V289" t="s">
        <v>2716</v>
      </c>
      <c r="W289" t="s">
        <v>1878</v>
      </c>
      <c r="X289">
        <v>4.78</v>
      </c>
      <c r="Y289" t="s">
        <v>2717</v>
      </c>
      <c r="Z289" t="s">
        <v>1653</v>
      </c>
      <c r="AA289" t="s">
        <v>719</v>
      </c>
      <c r="AB289">
        <v>3.76</v>
      </c>
      <c r="AC289" t="s">
        <v>2718</v>
      </c>
      <c r="AD289">
        <v>46.4</v>
      </c>
      <c r="AE289" t="s">
        <v>315</v>
      </c>
      <c r="AF289">
        <v>2.34</v>
      </c>
      <c r="AG289">
        <v>0</v>
      </c>
      <c r="AH289">
        <v>0</v>
      </c>
      <c r="AI289" s="4">
        <v>36969</v>
      </c>
    </row>
    <row r="290" spans="1:35">
      <c r="A290">
        <v>289</v>
      </c>
      <c r="B290" t="str">
        <f>"002737"</f>
        <v>002737</v>
      </c>
      <c r="C290" t="s">
        <v>2719</v>
      </c>
      <c r="D290" s="4">
        <v>43190</v>
      </c>
      <c r="E290" t="s">
        <v>2094</v>
      </c>
      <c r="F290" t="s">
        <v>1243</v>
      </c>
      <c r="G290">
        <v>9056</v>
      </c>
      <c r="H290">
        <v>0.25</v>
      </c>
      <c r="I290">
        <v>4.9000000000000004</v>
      </c>
      <c r="J290">
        <v>4.78</v>
      </c>
      <c r="K290" t="s">
        <v>1223</v>
      </c>
      <c r="L290">
        <v>30.58</v>
      </c>
      <c r="M290" t="s">
        <v>905</v>
      </c>
      <c r="N290" t="s">
        <v>2720</v>
      </c>
      <c r="O290" t="s">
        <v>905</v>
      </c>
      <c r="P290" t="s">
        <v>93</v>
      </c>
      <c r="Q290">
        <v>48.96</v>
      </c>
      <c r="R290" t="s">
        <v>584</v>
      </c>
      <c r="S290">
        <v>2</v>
      </c>
      <c r="T290">
        <v>59.81</v>
      </c>
      <c r="U290" t="s">
        <v>740</v>
      </c>
      <c r="V290" t="s">
        <v>1881</v>
      </c>
      <c r="W290" t="s">
        <v>250</v>
      </c>
      <c r="X290">
        <v>4.78</v>
      </c>
      <c r="Y290" t="s">
        <v>1214</v>
      </c>
      <c r="Z290" t="s">
        <v>2721</v>
      </c>
      <c r="AA290" t="s">
        <v>139</v>
      </c>
      <c r="AB290">
        <v>4.22</v>
      </c>
      <c r="AC290" t="s">
        <v>907</v>
      </c>
      <c r="AD290">
        <v>68.069999999999993</v>
      </c>
      <c r="AE290" t="s">
        <v>1033</v>
      </c>
      <c r="AF290">
        <v>1.54</v>
      </c>
      <c r="AG290">
        <v>0</v>
      </c>
      <c r="AH290">
        <v>0</v>
      </c>
      <c r="AI290" s="4">
        <v>42003</v>
      </c>
    </row>
    <row r="291" spans="1:35">
      <c r="A291">
        <v>290</v>
      </c>
      <c r="B291" t="str">
        <f>"000902"</f>
        <v>000902</v>
      </c>
      <c r="C291" t="s">
        <v>2722</v>
      </c>
      <c r="D291" s="4">
        <v>43190</v>
      </c>
      <c r="E291" t="s">
        <v>1025</v>
      </c>
      <c r="F291" t="s">
        <v>192</v>
      </c>
      <c r="G291" t="s">
        <v>2723</v>
      </c>
      <c r="H291">
        <v>0.21</v>
      </c>
      <c r="I291">
        <v>4.37</v>
      </c>
      <c r="J291">
        <v>4.78</v>
      </c>
      <c r="K291" t="s">
        <v>1542</v>
      </c>
      <c r="L291">
        <v>8.5</v>
      </c>
      <c r="M291" t="s">
        <v>1918</v>
      </c>
      <c r="N291" t="s">
        <v>2724</v>
      </c>
      <c r="O291" t="s">
        <v>1918</v>
      </c>
      <c r="P291" t="s">
        <v>1664</v>
      </c>
      <c r="Q291">
        <v>25.29</v>
      </c>
      <c r="R291" t="s">
        <v>2725</v>
      </c>
      <c r="S291">
        <v>2.64</v>
      </c>
      <c r="T291">
        <v>19.079999999999998</v>
      </c>
      <c r="U291" t="s">
        <v>2726</v>
      </c>
      <c r="V291" t="s">
        <v>2241</v>
      </c>
      <c r="W291" t="s">
        <v>2100</v>
      </c>
      <c r="X291">
        <v>4.78</v>
      </c>
      <c r="Y291" t="s">
        <v>706</v>
      </c>
      <c r="Z291" t="s">
        <v>1039</v>
      </c>
      <c r="AA291" t="s">
        <v>1627</v>
      </c>
      <c r="AB291">
        <v>1.95</v>
      </c>
      <c r="AC291" t="s">
        <v>2727</v>
      </c>
      <c r="AD291">
        <v>69.599999999999994</v>
      </c>
      <c r="AE291" t="s">
        <v>494</v>
      </c>
      <c r="AF291">
        <v>0.46</v>
      </c>
      <c r="AG291">
        <v>0</v>
      </c>
      <c r="AH291">
        <v>0</v>
      </c>
      <c r="AI291" s="4">
        <v>36258</v>
      </c>
    </row>
    <row r="292" spans="1:35">
      <c r="A292">
        <v>291</v>
      </c>
      <c r="B292" t="str">
        <f>"000559"</f>
        <v>000559</v>
      </c>
      <c r="C292" t="s">
        <v>2728</v>
      </c>
      <c r="D292" s="4">
        <v>43190</v>
      </c>
      <c r="E292" t="s">
        <v>239</v>
      </c>
      <c r="F292" t="s">
        <v>239</v>
      </c>
      <c r="G292" t="s">
        <v>427</v>
      </c>
      <c r="H292">
        <v>0.09</v>
      </c>
      <c r="I292">
        <v>1.72</v>
      </c>
      <c r="J292">
        <v>4.78</v>
      </c>
      <c r="K292" t="s">
        <v>589</v>
      </c>
      <c r="L292">
        <v>-1.48</v>
      </c>
      <c r="M292" t="s">
        <v>2729</v>
      </c>
      <c r="N292" t="s">
        <v>2730</v>
      </c>
      <c r="O292" t="s">
        <v>2507</v>
      </c>
      <c r="P292" t="s">
        <v>2142</v>
      </c>
      <c r="Q292">
        <v>5.79</v>
      </c>
      <c r="R292" t="s">
        <v>516</v>
      </c>
      <c r="S292">
        <v>0.48</v>
      </c>
      <c r="T292">
        <v>20.47</v>
      </c>
      <c r="U292" t="s">
        <v>815</v>
      </c>
      <c r="V292" t="s">
        <v>1808</v>
      </c>
      <c r="W292" t="s">
        <v>238</v>
      </c>
      <c r="X292">
        <v>4.78</v>
      </c>
      <c r="Y292" t="s">
        <v>2633</v>
      </c>
      <c r="Z292" t="s">
        <v>430</v>
      </c>
      <c r="AA292" t="s">
        <v>2731</v>
      </c>
      <c r="AB292">
        <v>3.9</v>
      </c>
      <c r="AC292" t="s">
        <v>1494</v>
      </c>
      <c r="AD292">
        <v>45.05</v>
      </c>
      <c r="AE292" t="s">
        <v>126</v>
      </c>
      <c r="AF292">
        <v>0.09</v>
      </c>
      <c r="AG292">
        <v>0</v>
      </c>
      <c r="AH292">
        <v>0</v>
      </c>
      <c r="AI292" s="4">
        <v>34344</v>
      </c>
    </row>
    <row r="293" spans="1:35">
      <c r="A293">
        <v>292</v>
      </c>
      <c r="B293" t="str">
        <f>"600785"</f>
        <v>600785</v>
      </c>
      <c r="C293" t="s">
        <v>2732</v>
      </c>
      <c r="D293" s="4">
        <v>43190</v>
      </c>
      <c r="E293" t="s">
        <v>2733</v>
      </c>
      <c r="F293" t="s">
        <v>2733</v>
      </c>
      <c r="G293" t="s">
        <v>1788</v>
      </c>
      <c r="H293">
        <v>0.43</v>
      </c>
      <c r="I293">
        <v>9.24</v>
      </c>
      <c r="J293">
        <v>4.7699999999999996</v>
      </c>
      <c r="K293" t="s">
        <v>1449</v>
      </c>
      <c r="L293">
        <v>7.11</v>
      </c>
      <c r="M293" t="s">
        <v>804</v>
      </c>
      <c r="N293" t="s">
        <v>2734</v>
      </c>
      <c r="O293" t="s">
        <v>1349</v>
      </c>
      <c r="P293" t="s">
        <v>2735</v>
      </c>
      <c r="Q293">
        <v>34.96</v>
      </c>
      <c r="R293" t="s">
        <v>1214</v>
      </c>
      <c r="S293">
        <v>5.99</v>
      </c>
      <c r="T293">
        <v>20.21</v>
      </c>
      <c r="U293" t="s">
        <v>2736</v>
      </c>
      <c r="V293" t="s">
        <v>1255</v>
      </c>
      <c r="W293" t="s">
        <v>1101</v>
      </c>
      <c r="X293">
        <v>4.7699999999999996</v>
      </c>
      <c r="Y293" t="s">
        <v>1625</v>
      </c>
      <c r="Z293" t="s">
        <v>356</v>
      </c>
      <c r="AA293" t="s">
        <v>1855</v>
      </c>
      <c r="AB293">
        <v>2.25</v>
      </c>
      <c r="AC293" t="s">
        <v>159</v>
      </c>
      <c r="AD293">
        <v>41.61</v>
      </c>
      <c r="AE293" t="s">
        <v>679</v>
      </c>
      <c r="AF293">
        <v>1.38</v>
      </c>
      <c r="AG293">
        <v>0</v>
      </c>
      <c r="AH293">
        <v>0</v>
      </c>
      <c r="AI293" s="4">
        <v>35438</v>
      </c>
    </row>
    <row r="294" spans="1:35">
      <c r="A294">
        <v>293</v>
      </c>
      <c r="B294" t="str">
        <f>"600325"</f>
        <v>600325</v>
      </c>
      <c r="C294" t="s">
        <v>2737</v>
      </c>
      <c r="D294" s="4">
        <v>43190</v>
      </c>
      <c r="E294" t="s">
        <v>1693</v>
      </c>
      <c r="F294" t="s">
        <v>389</v>
      </c>
      <c r="G294" t="s">
        <v>2738</v>
      </c>
      <c r="H294">
        <v>0.28000000000000003</v>
      </c>
      <c r="I294">
        <v>5.78</v>
      </c>
      <c r="J294">
        <v>4.7699999999999996</v>
      </c>
      <c r="K294" t="s">
        <v>983</v>
      </c>
      <c r="L294">
        <v>-62.26</v>
      </c>
      <c r="M294" t="s">
        <v>1618</v>
      </c>
      <c r="N294" t="s">
        <v>1935</v>
      </c>
      <c r="O294" t="s">
        <v>2580</v>
      </c>
      <c r="P294" t="s">
        <v>2739</v>
      </c>
      <c r="Q294">
        <v>38.5</v>
      </c>
      <c r="R294" t="s">
        <v>2740</v>
      </c>
      <c r="S294">
        <v>3.09</v>
      </c>
      <c r="T294">
        <v>27.04</v>
      </c>
      <c r="U294" t="s">
        <v>2741</v>
      </c>
      <c r="V294" t="s">
        <v>2742</v>
      </c>
      <c r="W294" t="s">
        <v>417</v>
      </c>
      <c r="X294">
        <v>4.7699999999999996</v>
      </c>
      <c r="Y294" t="s">
        <v>2743</v>
      </c>
      <c r="Z294" t="s">
        <v>2744</v>
      </c>
      <c r="AA294" t="s">
        <v>2745</v>
      </c>
      <c r="AB294">
        <v>1.27</v>
      </c>
      <c r="AC294" t="s">
        <v>841</v>
      </c>
      <c r="AD294">
        <v>8</v>
      </c>
      <c r="AE294" t="s">
        <v>1542</v>
      </c>
      <c r="AF294">
        <v>1.36</v>
      </c>
      <c r="AG294">
        <v>0</v>
      </c>
      <c r="AH294">
        <v>0</v>
      </c>
      <c r="AI294" s="4">
        <v>38042</v>
      </c>
    </row>
    <row r="295" spans="1:35">
      <c r="A295">
        <v>294</v>
      </c>
      <c r="B295" t="str">
        <f>"002258"</f>
        <v>002258</v>
      </c>
      <c r="C295" t="s">
        <v>2746</v>
      </c>
      <c r="D295" s="4">
        <v>43190</v>
      </c>
      <c r="E295" t="s">
        <v>1037</v>
      </c>
      <c r="F295" t="s">
        <v>1037</v>
      </c>
      <c r="G295" t="s">
        <v>2747</v>
      </c>
      <c r="H295">
        <v>0.22</v>
      </c>
      <c r="I295">
        <v>4.76</v>
      </c>
      <c r="J295">
        <v>4.74</v>
      </c>
      <c r="K295" t="s">
        <v>460</v>
      </c>
      <c r="L295">
        <v>72.180000000000007</v>
      </c>
      <c r="M295" t="s">
        <v>845</v>
      </c>
      <c r="N295" t="s">
        <v>2748</v>
      </c>
      <c r="O295" t="s">
        <v>863</v>
      </c>
      <c r="P295" t="s">
        <v>282</v>
      </c>
      <c r="Q295">
        <v>98.58</v>
      </c>
      <c r="R295" t="s">
        <v>895</v>
      </c>
      <c r="S295">
        <v>1.92</v>
      </c>
      <c r="T295">
        <v>30.59</v>
      </c>
      <c r="U295" t="s">
        <v>2749</v>
      </c>
      <c r="V295" t="s">
        <v>2291</v>
      </c>
      <c r="W295" t="s">
        <v>891</v>
      </c>
      <c r="X295">
        <v>4.74</v>
      </c>
      <c r="Y295" t="s">
        <v>2273</v>
      </c>
      <c r="Z295" t="s">
        <v>757</v>
      </c>
      <c r="AA295" t="s">
        <v>2490</v>
      </c>
      <c r="AB295">
        <v>3.89</v>
      </c>
      <c r="AC295" t="s">
        <v>981</v>
      </c>
      <c r="AD295">
        <v>47.27</v>
      </c>
      <c r="AE295" t="s">
        <v>767</v>
      </c>
      <c r="AF295">
        <v>1.54</v>
      </c>
      <c r="AG295">
        <v>0</v>
      </c>
      <c r="AH295">
        <v>0</v>
      </c>
      <c r="AI295" s="4">
        <v>39637</v>
      </c>
    </row>
    <row r="296" spans="1:35">
      <c r="A296">
        <v>295</v>
      </c>
      <c r="B296" t="str">
        <f>"002543"</f>
        <v>002543</v>
      </c>
      <c r="C296" t="s">
        <v>2750</v>
      </c>
      <c r="D296" s="4">
        <v>43190</v>
      </c>
      <c r="E296" t="s">
        <v>1768</v>
      </c>
      <c r="F296" t="s">
        <v>2751</v>
      </c>
      <c r="G296" t="s">
        <v>2752</v>
      </c>
      <c r="H296">
        <v>0.33</v>
      </c>
      <c r="I296">
        <v>7.19</v>
      </c>
      <c r="J296">
        <v>4.7300000000000004</v>
      </c>
      <c r="K296" t="s">
        <v>2753</v>
      </c>
      <c r="L296">
        <v>49.59</v>
      </c>
      <c r="M296" t="s">
        <v>1202</v>
      </c>
      <c r="N296" t="s">
        <v>2754</v>
      </c>
      <c r="O296" t="s">
        <v>1839</v>
      </c>
      <c r="P296" t="s">
        <v>93</v>
      </c>
      <c r="Q296">
        <v>16.100000000000001</v>
      </c>
      <c r="R296" t="s">
        <v>124</v>
      </c>
      <c r="S296">
        <v>3.02</v>
      </c>
      <c r="T296">
        <v>26.69</v>
      </c>
      <c r="U296" t="s">
        <v>1531</v>
      </c>
      <c r="V296" t="s">
        <v>1133</v>
      </c>
      <c r="W296" t="s">
        <v>323</v>
      </c>
      <c r="X296">
        <v>4.7300000000000004</v>
      </c>
      <c r="Y296" t="s">
        <v>1175</v>
      </c>
      <c r="Z296" t="s">
        <v>884</v>
      </c>
      <c r="AA296" t="s">
        <v>2755</v>
      </c>
      <c r="AB296">
        <v>2.76</v>
      </c>
      <c r="AC296" t="s">
        <v>907</v>
      </c>
      <c r="AD296">
        <v>46.58</v>
      </c>
      <c r="AE296" t="s">
        <v>300</v>
      </c>
      <c r="AF296">
        <v>2.84</v>
      </c>
      <c r="AG296">
        <v>0</v>
      </c>
      <c r="AH296">
        <v>0</v>
      </c>
      <c r="AI296" s="4">
        <v>40571</v>
      </c>
    </row>
    <row r="297" spans="1:35">
      <c r="A297">
        <v>296</v>
      </c>
      <c r="B297" t="str">
        <f>"002203"</f>
        <v>002203</v>
      </c>
      <c r="C297" t="s">
        <v>2756</v>
      </c>
      <c r="D297" s="4">
        <v>43190</v>
      </c>
      <c r="E297" t="s">
        <v>820</v>
      </c>
      <c r="F297" t="s">
        <v>141</v>
      </c>
      <c r="G297" t="s">
        <v>2757</v>
      </c>
      <c r="H297">
        <v>0.15</v>
      </c>
      <c r="I297">
        <v>3.13</v>
      </c>
      <c r="J297">
        <v>4.7300000000000004</v>
      </c>
      <c r="K297" t="s">
        <v>2758</v>
      </c>
      <c r="L297">
        <v>91.02</v>
      </c>
      <c r="M297" t="s">
        <v>2729</v>
      </c>
      <c r="N297" t="s">
        <v>2759</v>
      </c>
      <c r="O297" t="s">
        <v>1791</v>
      </c>
      <c r="P297" t="s">
        <v>126</v>
      </c>
      <c r="Q297">
        <v>24.61</v>
      </c>
      <c r="R297" t="s">
        <v>907</v>
      </c>
      <c r="S297">
        <v>1.8</v>
      </c>
      <c r="T297">
        <v>5.7</v>
      </c>
      <c r="U297" t="s">
        <v>1278</v>
      </c>
      <c r="V297" t="s">
        <v>466</v>
      </c>
      <c r="W297" t="s">
        <v>80</v>
      </c>
      <c r="X297">
        <v>4.7300000000000004</v>
      </c>
      <c r="Y297" t="s">
        <v>590</v>
      </c>
      <c r="Z297" t="s">
        <v>232</v>
      </c>
      <c r="AA297" t="s">
        <v>547</v>
      </c>
      <c r="AB297">
        <v>2.62</v>
      </c>
      <c r="AC297" t="s">
        <v>2167</v>
      </c>
      <c r="AD297">
        <v>31.15</v>
      </c>
      <c r="AE297" t="s">
        <v>2178</v>
      </c>
      <c r="AF297">
        <v>0.31</v>
      </c>
      <c r="AG297">
        <v>0</v>
      </c>
      <c r="AH297">
        <v>0</v>
      </c>
      <c r="AI297" s="4">
        <v>39463</v>
      </c>
    </row>
    <row r="298" spans="1:35">
      <c r="A298">
        <v>297</v>
      </c>
      <c r="B298" t="str">
        <f>"600737"</f>
        <v>600737</v>
      </c>
      <c r="C298" t="s">
        <v>2760</v>
      </c>
      <c r="D298" s="4">
        <v>43190</v>
      </c>
      <c r="E298" t="s">
        <v>1920</v>
      </c>
      <c r="F298" t="s">
        <v>1920</v>
      </c>
      <c r="G298" t="s">
        <v>1105</v>
      </c>
      <c r="H298">
        <v>0.17</v>
      </c>
      <c r="I298">
        <v>3.62</v>
      </c>
      <c r="J298">
        <v>4.72</v>
      </c>
      <c r="K298" t="s">
        <v>1133</v>
      </c>
      <c r="L298">
        <v>31.38</v>
      </c>
      <c r="M298" t="s">
        <v>1028</v>
      </c>
      <c r="N298" t="s">
        <v>2307</v>
      </c>
      <c r="O298" t="s">
        <v>1383</v>
      </c>
      <c r="P298" t="s">
        <v>1594</v>
      </c>
      <c r="Q298">
        <v>82.71</v>
      </c>
      <c r="R298" t="s">
        <v>2032</v>
      </c>
      <c r="S298">
        <v>0.47</v>
      </c>
      <c r="T298">
        <v>14.87</v>
      </c>
      <c r="U298" t="s">
        <v>2761</v>
      </c>
      <c r="V298" t="s">
        <v>1929</v>
      </c>
      <c r="W298" t="s">
        <v>2642</v>
      </c>
      <c r="X298">
        <v>4.72</v>
      </c>
      <c r="Y298" t="s">
        <v>590</v>
      </c>
      <c r="Z298" t="s">
        <v>252</v>
      </c>
      <c r="AA298" t="s">
        <v>405</v>
      </c>
      <c r="AB298">
        <v>2.16</v>
      </c>
      <c r="AC298" t="s">
        <v>2762</v>
      </c>
      <c r="AD298">
        <v>38.71</v>
      </c>
      <c r="AE298" t="s">
        <v>2239</v>
      </c>
      <c r="AF298">
        <v>2.02</v>
      </c>
      <c r="AG298">
        <v>0</v>
      </c>
      <c r="AH298">
        <v>0</v>
      </c>
      <c r="AI298" s="4">
        <v>35277</v>
      </c>
    </row>
    <row r="299" spans="1:35">
      <c r="A299">
        <v>298</v>
      </c>
      <c r="B299" t="str">
        <f>"002081"</f>
        <v>002081</v>
      </c>
      <c r="C299" t="s">
        <v>2763</v>
      </c>
      <c r="D299" s="4">
        <v>43190</v>
      </c>
      <c r="E299" t="s">
        <v>1785</v>
      </c>
      <c r="F299" t="s">
        <v>402</v>
      </c>
      <c r="G299" t="s">
        <v>403</v>
      </c>
      <c r="H299">
        <v>0.21</v>
      </c>
      <c r="I299">
        <v>4.4000000000000004</v>
      </c>
      <c r="J299">
        <v>4.71</v>
      </c>
      <c r="K299" t="s">
        <v>2241</v>
      </c>
      <c r="L299">
        <v>16.510000000000002</v>
      </c>
      <c r="M299" t="s">
        <v>569</v>
      </c>
      <c r="N299" t="s">
        <v>2764</v>
      </c>
      <c r="O299" t="s">
        <v>569</v>
      </c>
      <c r="P299" t="s">
        <v>2156</v>
      </c>
      <c r="Q299">
        <v>15.66</v>
      </c>
      <c r="R299" t="s">
        <v>2765</v>
      </c>
      <c r="S299">
        <v>2.96</v>
      </c>
      <c r="T299">
        <v>16.02</v>
      </c>
      <c r="U299" t="s">
        <v>1928</v>
      </c>
      <c r="V299" t="s">
        <v>2766</v>
      </c>
      <c r="W299" t="s">
        <v>2767</v>
      </c>
      <c r="X299">
        <v>4.71</v>
      </c>
      <c r="Y299" t="s">
        <v>463</v>
      </c>
      <c r="Z299" t="s">
        <v>1784</v>
      </c>
      <c r="AA299" t="s">
        <v>78</v>
      </c>
      <c r="AB299">
        <v>2.41</v>
      </c>
      <c r="AC299" t="s">
        <v>1089</v>
      </c>
      <c r="AD299">
        <v>46.62</v>
      </c>
      <c r="AE299" t="s">
        <v>1203</v>
      </c>
      <c r="AF299">
        <v>0.06</v>
      </c>
      <c r="AG299">
        <v>0</v>
      </c>
      <c r="AH299">
        <v>0</v>
      </c>
      <c r="AI299" s="4">
        <v>39041</v>
      </c>
    </row>
    <row r="300" spans="1:35">
      <c r="A300">
        <v>299</v>
      </c>
      <c r="B300" t="str">
        <f>"300457"</f>
        <v>300457</v>
      </c>
      <c r="C300" t="s">
        <v>2768</v>
      </c>
      <c r="D300" s="4">
        <v>43190</v>
      </c>
      <c r="E300" t="s">
        <v>156</v>
      </c>
      <c r="F300" t="s">
        <v>2769</v>
      </c>
      <c r="G300">
        <v>7764</v>
      </c>
      <c r="H300">
        <v>0.16</v>
      </c>
      <c r="I300">
        <v>7.19</v>
      </c>
      <c r="J300">
        <v>4.7</v>
      </c>
      <c r="K300" t="s">
        <v>501</v>
      </c>
      <c r="L300">
        <v>59.17</v>
      </c>
      <c r="M300" t="s">
        <v>2770</v>
      </c>
      <c r="N300" t="s">
        <v>1598</v>
      </c>
      <c r="O300" t="s">
        <v>2771</v>
      </c>
      <c r="P300" t="s">
        <v>2772</v>
      </c>
      <c r="Q300">
        <v>60.42</v>
      </c>
      <c r="R300" t="s">
        <v>769</v>
      </c>
      <c r="S300">
        <v>1.4</v>
      </c>
      <c r="T300">
        <v>37.42</v>
      </c>
      <c r="U300" t="s">
        <v>1314</v>
      </c>
      <c r="V300" t="s">
        <v>451</v>
      </c>
      <c r="W300" t="s">
        <v>1968</v>
      </c>
      <c r="X300">
        <v>4.7</v>
      </c>
      <c r="Y300" t="s">
        <v>242</v>
      </c>
      <c r="Z300" t="s">
        <v>565</v>
      </c>
      <c r="AA300" t="s">
        <v>2673</v>
      </c>
      <c r="AB300">
        <v>3.1</v>
      </c>
      <c r="AC300" t="s">
        <v>1307</v>
      </c>
      <c r="AD300">
        <v>35.97</v>
      </c>
      <c r="AE300" t="s">
        <v>2230</v>
      </c>
      <c r="AF300">
        <v>4.9000000000000004</v>
      </c>
      <c r="AG300">
        <v>0</v>
      </c>
      <c r="AH300">
        <v>0</v>
      </c>
      <c r="AI300" s="4">
        <v>42138</v>
      </c>
    </row>
    <row r="301" spans="1:35">
      <c r="A301">
        <v>300</v>
      </c>
      <c r="B301" t="str">
        <f>"000403"</f>
        <v>000403</v>
      </c>
      <c r="C301" t="s">
        <v>2773</v>
      </c>
      <c r="D301" s="4">
        <v>43190</v>
      </c>
      <c r="E301" t="s">
        <v>2774</v>
      </c>
      <c r="F301" t="s">
        <v>81</v>
      </c>
      <c r="G301" t="s">
        <v>2775</v>
      </c>
      <c r="H301">
        <v>0.1</v>
      </c>
      <c r="I301">
        <v>2.2000000000000002</v>
      </c>
      <c r="J301">
        <v>4.7</v>
      </c>
      <c r="K301" t="s">
        <v>696</v>
      </c>
      <c r="L301">
        <v>64.34</v>
      </c>
      <c r="M301" t="s">
        <v>2776</v>
      </c>
      <c r="N301">
        <v>0</v>
      </c>
      <c r="O301" t="s">
        <v>2776</v>
      </c>
      <c r="P301" t="s">
        <v>2777</v>
      </c>
      <c r="Q301">
        <v>44.7</v>
      </c>
      <c r="R301" t="s">
        <v>452</v>
      </c>
      <c r="S301">
        <v>0.56000000000000005</v>
      </c>
      <c r="T301">
        <v>50.17</v>
      </c>
      <c r="U301" t="s">
        <v>124</v>
      </c>
      <c r="V301" t="s">
        <v>2778</v>
      </c>
      <c r="W301" t="s">
        <v>142</v>
      </c>
      <c r="X301">
        <v>4.7</v>
      </c>
      <c r="Y301" t="s">
        <v>175</v>
      </c>
      <c r="Z301" t="s">
        <v>475</v>
      </c>
      <c r="AA301" t="s">
        <v>2564</v>
      </c>
      <c r="AB301">
        <v>13.48</v>
      </c>
      <c r="AC301" t="s">
        <v>494</v>
      </c>
      <c r="AD301">
        <v>45.26</v>
      </c>
      <c r="AE301" t="s">
        <v>256</v>
      </c>
      <c r="AF301">
        <v>0.42</v>
      </c>
      <c r="AG301">
        <v>0</v>
      </c>
      <c r="AH301">
        <v>0</v>
      </c>
      <c r="AI301" s="4">
        <v>35244</v>
      </c>
    </row>
    <row r="302" spans="1:35">
      <c r="A302">
        <v>301</v>
      </c>
      <c r="B302" t="str">
        <f>"603730"</f>
        <v>603730</v>
      </c>
      <c r="C302" t="s">
        <v>2779</v>
      </c>
      <c r="D302" s="4">
        <v>43190</v>
      </c>
      <c r="E302" t="s">
        <v>623</v>
      </c>
      <c r="F302" t="s">
        <v>2780</v>
      </c>
      <c r="G302">
        <v>2373</v>
      </c>
      <c r="H302">
        <v>0.36</v>
      </c>
      <c r="I302">
        <v>7.51</v>
      </c>
      <c r="J302">
        <v>4.68</v>
      </c>
      <c r="K302" t="s">
        <v>2781</v>
      </c>
      <c r="L302">
        <v>17.5</v>
      </c>
      <c r="M302" t="s">
        <v>368</v>
      </c>
      <c r="N302" t="s">
        <v>2782</v>
      </c>
      <c r="O302" t="s">
        <v>1200</v>
      </c>
      <c r="P302" t="s">
        <v>2424</v>
      </c>
      <c r="Q302">
        <v>8.4</v>
      </c>
      <c r="R302" t="s">
        <v>1244</v>
      </c>
      <c r="S302">
        <v>3.48</v>
      </c>
      <c r="T302">
        <v>36.76</v>
      </c>
      <c r="U302" t="s">
        <v>1305</v>
      </c>
      <c r="V302" t="s">
        <v>2064</v>
      </c>
      <c r="W302" t="s">
        <v>506</v>
      </c>
      <c r="X302">
        <v>4.68</v>
      </c>
      <c r="Y302" t="s">
        <v>2783</v>
      </c>
      <c r="Z302" t="s">
        <v>2479</v>
      </c>
      <c r="AA302" t="s">
        <v>807</v>
      </c>
      <c r="AB302">
        <v>3.5</v>
      </c>
      <c r="AC302" t="s">
        <v>2238</v>
      </c>
      <c r="AD302">
        <v>81.38</v>
      </c>
      <c r="AE302" t="s">
        <v>835</v>
      </c>
      <c r="AF302">
        <v>2.74</v>
      </c>
      <c r="AG302">
        <v>0</v>
      </c>
      <c r="AH302">
        <v>0</v>
      </c>
      <c r="AI302" s="4">
        <v>42944</v>
      </c>
    </row>
    <row r="303" spans="1:35">
      <c r="A303">
        <v>302</v>
      </c>
      <c r="B303" t="str">
        <f>"603605"</f>
        <v>603605</v>
      </c>
      <c r="C303" t="s">
        <v>2784</v>
      </c>
      <c r="D303" s="4">
        <v>43190</v>
      </c>
      <c r="E303" t="s">
        <v>293</v>
      </c>
      <c r="F303" t="s">
        <v>2785</v>
      </c>
      <c r="G303">
        <v>3209</v>
      </c>
      <c r="H303">
        <v>0.35</v>
      </c>
      <c r="I303">
        <v>7.33</v>
      </c>
      <c r="J303">
        <v>4.68</v>
      </c>
      <c r="K303" t="s">
        <v>442</v>
      </c>
      <c r="L303">
        <v>10.93</v>
      </c>
      <c r="M303" t="s">
        <v>2786</v>
      </c>
      <c r="N303" t="s">
        <v>2787</v>
      </c>
      <c r="O303" t="s">
        <v>644</v>
      </c>
      <c r="P303" t="s">
        <v>2788</v>
      </c>
      <c r="Q303">
        <v>29.58</v>
      </c>
      <c r="R303" t="s">
        <v>2789</v>
      </c>
      <c r="S303">
        <v>2.1800000000000002</v>
      </c>
      <c r="T303">
        <v>63.1</v>
      </c>
      <c r="U303" t="s">
        <v>1213</v>
      </c>
      <c r="V303" t="s">
        <v>1792</v>
      </c>
      <c r="W303" t="s">
        <v>641</v>
      </c>
      <c r="X303">
        <v>4.68</v>
      </c>
      <c r="Y303" t="s">
        <v>1852</v>
      </c>
      <c r="Z303" t="s">
        <v>2790</v>
      </c>
      <c r="AA303" t="s">
        <v>1475</v>
      </c>
      <c r="AB303">
        <v>4.83</v>
      </c>
      <c r="AC303" t="s">
        <v>391</v>
      </c>
      <c r="AD303">
        <v>63.43</v>
      </c>
      <c r="AE303" t="s">
        <v>805</v>
      </c>
      <c r="AF303">
        <v>3.91</v>
      </c>
      <c r="AG303">
        <v>0</v>
      </c>
      <c r="AH303">
        <v>0</v>
      </c>
      <c r="AI303" s="4">
        <v>43054</v>
      </c>
    </row>
    <row r="304" spans="1:35">
      <c r="A304">
        <v>303</v>
      </c>
      <c r="B304" t="str">
        <f>"603167"</f>
        <v>603167</v>
      </c>
      <c r="C304" t="s">
        <v>2791</v>
      </c>
      <c r="D304" s="4">
        <v>43190</v>
      </c>
      <c r="E304" t="s">
        <v>1483</v>
      </c>
      <c r="F304" t="s">
        <v>2792</v>
      </c>
      <c r="G304" t="s">
        <v>2554</v>
      </c>
      <c r="H304">
        <v>0.31</v>
      </c>
      <c r="I304">
        <v>7.04</v>
      </c>
      <c r="J304">
        <v>4.68</v>
      </c>
      <c r="K304" t="s">
        <v>265</v>
      </c>
      <c r="L304">
        <v>6.67</v>
      </c>
      <c r="M304" t="s">
        <v>1287</v>
      </c>
      <c r="N304" t="s">
        <v>2793</v>
      </c>
      <c r="O304" t="s">
        <v>1287</v>
      </c>
      <c r="P304" t="s">
        <v>863</v>
      </c>
      <c r="Q304">
        <v>3.76</v>
      </c>
      <c r="R304" t="s">
        <v>848</v>
      </c>
      <c r="S304">
        <v>3.19</v>
      </c>
      <c r="T304">
        <v>28.09</v>
      </c>
      <c r="U304" t="s">
        <v>1574</v>
      </c>
      <c r="V304" t="s">
        <v>192</v>
      </c>
      <c r="W304" t="s">
        <v>2535</v>
      </c>
      <c r="X304">
        <v>4.68</v>
      </c>
      <c r="Y304" t="s">
        <v>895</v>
      </c>
      <c r="Z304" t="s">
        <v>2029</v>
      </c>
      <c r="AA304" t="s">
        <v>1849</v>
      </c>
      <c r="AB304">
        <v>1.44</v>
      </c>
      <c r="AC304" t="s">
        <v>1127</v>
      </c>
      <c r="AD304">
        <v>75.510000000000005</v>
      </c>
      <c r="AE304" t="s">
        <v>521</v>
      </c>
      <c r="AF304">
        <v>2.2799999999999998</v>
      </c>
      <c r="AG304">
        <v>0</v>
      </c>
      <c r="AH304">
        <v>0</v>
      </c>
      <c r="AI304" s="4">
        <v>41158</v>
      </c>
    </row>
    <row r="305" spans="1:35">
      <c r="A305">
        <v>304</v>
      </c>
      <c r="B305" t="str">
        <f>"600332"</f>
        <v>600332</v>
      </c>
      <c r="C305" t="s">
        <v>2794</v>
      </c>
      <c r="D305" s="4">
        <v>43190</v>
      </c>
      <c r="E305" t="s">
        <v>1244</v>
      </c>
      <c r="F305" t="s">
        <v>295</v>
      </c>
      <c r="G305" t="s">
        <v>294</v>
      </c>
      <c r="H305">
        <v>0.56000000000000005</v>
      </c>
      <c r="I305">
        <v>12.16</v>
      </c>
      <c r="J305">
        <v>4.68</v>
      </c>
      <c r="K305" t="s">
        <v>2795</v>
      </c>
      <c r="L305">
        <v>30.66</v>
      </c>
      <c r="M305" t="s">
        <v>835</v>
      </c>
      <c r="N305" t="s">
        <v>2796</v>
      </c>
      <c r="O305" t="s">
        <v>354</v>
      </c>
      <c r="P305" t="s">
        <v>460</v>
      </c>
      <c r="Q305">
        <v>86.76</v>
      </c>
      <c r="R305" t="s">
        <v>2797</v>
      </c>
      <c r="S305">
        <v>4.42</v>
      </c>
      <c r="T305">
        <v>38.549999999999997</v>
      </c>
      <c r="U305" t="s">
        <v>2798</v>
      </c>
      <c r="V305" t="s">
        <v>2799</v>
      </c>
      <c r="W305" t="s">
        <v>1920</v>
      </c>
      <c r="X305">
        <v>4.68</v>
      </c>
      <c r="Y305" t="s">
        <v>2800</v>
      </c>
      <c r="Z305" t="s">
        <v>2801</v>
      </c>
      <c r="AA305" t="s">
        <v>1362</v>
      </c>
      <c r="AB305">
        <v>3.26</v>
      </c>
      <c r="AC305" t="s">
        <v>957</v>
      </c>
      <c r="AD305">
        <v>68.569999999999993</v>
      </c>
      <c r="AE305" t="s">
        <v>2802</v>
      </c>
      <c r="AF305">
        <v>6.07</v>
      </c>
      <c r="AG305">
        <v>0</v>
      </c>
      <c r="AH305" t="s">
        <v>1004</v>
      </c>
      <c r="AI305" s="4">
        <v>36928</v>
      </c>
    </row>
    <row r="306" spans="1:35">
      <c r="A306">
        <v>305</v>
      </c>
      <c r="B306" t="str">
        <f>"002600"</f>
        <v>002600</v>
      </c>
      <c r="C306" t="s">
        <v>2803</v>
      </c>
      <c r="D306" s="4">
        <v>43190</v>
      </c>
      <c r="E306" t="s">
        <v>1281</v>
      </c>
      <c r="F306" t="s">
        <v>1025</v>
      </c>
      <c r="G306" t="s">
        <v>2305</v>
      </c>
      <c r="H306">
        <v>0.06</v>
      </c>
      <c r="I306">
        <v>1.63</v>
      </c>
      <c r="J306">
        <v>4.68</v>
      </c>
      <c r="K306" t="s">
        <v>1291</v>
      </c>
      <c r="L306">
        <v>205.76</v>
      </c>
      <c r="M306" t="s">
        <v>97</v>
      </c>
      <c r="N306" t="s">
        <v>2754</v>
      </c>
      <c r="O306" t="s">
        <v>1309</v>
      </c>
      <c r="P306" t="s">
        <v>48</v>
      </c>
      <c r="Q306">
        <v>34.08</v>
      </c>
      <c r="R306" t="s">
        <v>1294</v>
      </c>
      <c r="S306">
        <v>0.37</v>
      </c>
      <c r="T306">
        <v>20.440000000000001</v>
      </c>
      <c r="U306" t="s">
        <v>2804</v>
      </c>
      <c r="V306" t="s">
        <v>929</v>
      </c>
      <c r="W306" t="s">
        <v>1327</v>
      </c>
      <c r="X306">
        <v>4.68</v>
      </c>
      <c r="Y306" t="s">
        <v>1745</v>
      </c>
      <c r="Z306" t="s">
        <v>558</v>
      </c>
      <c r="AA306" t="s">
        <v>350</v>
      </c>
      <c r="AB306">
        <v>3.46</v>
      </c>
      <c r="AC306" t="s">
        <v>558</v>
      </c>
      <c r="AD306">
        <v>46.8</v>
      </c>
      <c r="AE306" t="s">
        <v>930</v>
      </c>
      <c r="AF306">
        <v>1.02</v>
      </c>
      <c r="AG306">
        <v>0</v>
      </c>
      <c r="AH306">
        <v>0</v>
      </c>
      <c r="AI306" s="4">
        <v>40739</v>
      </c>
    </row>
    <row r="307" spans="1:35">
      <c r="A307">
        <v>306</v>
      </c>
      <c r="B307" t="str">
        <f>"600694"</f>
        <v>600694</v>
      </c>
      <c r="C307" t="s">
        <v>2805</v>
      </c>
      <c r="D307" s="4">
        <v>43190</v>
      </c>
      <c r="E307" t="s">
        <v>205</v>
      </c>
      <c r="F307" t="s">
        <v>205</v>
      </c>
      <c r="G307" t="s">
        <v>2305</v>
      </c>
      <c r="H307">
        <v>1.2</v>
      </c>
      <c r="I307">
        <v>26.24</v>
      </c>
      <c r="J307">
        <v>4.67</v>
      </c>
      <c r="K307" t="s">
        <v>2138</v>
      </c>
      <c r="L307">
        <v>-7.51</v>
      </c>
      <c r="M307" t="s">
        <v>2479</v>
      </c>
      <c r="N307" t="s">
        <v>2806</v>
      </c>
      <c r="O307" t="s">
        <v>128</v>
      </c>
      <c r="P307" t="s">
        <v>2807</v>
      </c>
      <c r="Q307">
        <v>6.88</v>
      </c>
      <c r="R307" t="s">
        <v>765</v>
      </c>
      <c r="S307">
        <v>18.41</v>
      </c>
      <c r="T307">
        <v>24.51</v>
      </c>
      <c r="U307" t="s">
        <v>1550</v>
      </c>
      <c r="V307" t="s">
        <v>2066</v>
      </c>
      <c r="W307" t="s">
        <v>111</v>
      </c>
      <c r="X307">
        <v>4.67</v>
      </c>
      <c r="Y307" t="s">
        <v>232</v>
      </c>
      <c r="Z307" t="s">
        <v>1485</v>
      </c>
      <c r="AA307" t="s">
        <v>1214</v>
      </c>
      <c r="AB307">
        <v>1.28</v>
      </c>
      <c r="AC307" t="s">
        <v>2013</v>
      </c>
      <c r="AD307">
        <v>42.59</v>
      </c>
      <c r="AE307" t="s">
        <v>192</v>
      </c>
      <c r="AF307">
        <v>3.99</v>
      </c>
      <c r="AG307">
        <v>0</v>
      </c>
      <c r="AH307">
        <v>0</v>
      </c>
      <c r="AI307" s="4">
        <v>34295</v>
      </c>
    </row>
    <row r="308" spans="1:35">
      <c r="A308">
        <v>307</v>
      </c>
      <c r="B308" t="str">
        <f>"600368"</f>
        <v>600368</v>
      </c>
      <c r="C308" t="s">
        <v>2808</v>
      </c>
      <c r="D308" s="4">
        <v>43190</v>
      </c>
      <c r="E308" t="s">
        <v>835</v>
      </c>
      <c r="F308" t="s">
        <v>835</v>
      </c>
      <c r="G308" t="s">
        <v>1199</v>
      </c>
      <c r="H308">
        <v>0.14000000000000001</v>
      </c>
      <c r="I308">
        <v>2.94</v>
      </c>
      <c r="J308">
        <v>4.67</v>
      </c>
      <c r="K308" t="s">
        <v>1320</v>
      </c>
      <c r="L308">
        <v>-16.95</v>
      </c>
      <c r="M308" t="s">
        <v>1077</v>
      </c>
      <c r="N308">
        <v>0</v>
      </c>
      <c r="O308" t="s">
        <v>37</v>
      </c>
      <c r="P308" t="s">
        <v>610</v>
      </c>
      <c r="Q308">
        <v>22.03</v>
      </c>
      <c r="R308" t="s">
        <v>646</v>
      </c>
      <c r="S308">
        <v>1.41</v>
      </c>
      <c r="T308">
        <v>72.400000000000006</v>
      </c>
      <c r="U308" t="s">
        <v>1159</v>
      </c>
      <c r="V308" t="s">
        <v>1175</v>
      </c>
      <c r="W308" t="s">
        <v>367</v>
      </c>
      <c r="X308">
        <v>4.67</v>
      </c>
      <c r="Y308" t="s">
        <v>772</v>
      </c>
      <c r="Z308" t="s">
        <v>304</v>
      </c>
      <c r="AA308" t="s">
        <v>2809</v>
      </c>
      <c r="AB308">
        <v>1.05</v>
      </c>
      <c r="AC308" t="s">
        <v>457</v>
      </c>
      <c r="AD308">
        <v>31.71</v>
      </c>
      <c r="AE308" t="s">
        <v>735</v>
      </c>
      <c r="AF308">
        <v>0.42</v>
      </c>
      <c r="AG308">
        <v>0</v>
      </c>
      <c r="AH308">
        <v>0</v>
      </c>
      <c r="AI308" s="4">
        <v>36881</v>
      </c>
    </row>
    <row r="309" spans="1:35">
      <c r="A309">
        <v>308</v>
      </c>
      <c r="B309" t="str">
        <f>"603228"</f>
        <v>603228</v>
      </c>
      <c r="C309" t="s">
        <v>2810</v>
      </c>
      <c r="D309" s="4">
        <v>43190</v>
      </c>
      <c r="E309" t="s">
        <v>2811</v>
      </c>
      <c r="F309" t="s">
        <v>2812</v>
      </c>
      <c r="G309">
        <v>9448</v>
      </c>
      <c r="H309">
        <v>0.38</v>
      </c>
      <c r="I309">
        <v>7.91</v>
      </c>
      <c r="J309">
        <v>4.66</v>
      </c>
      <c r="K309" t="s">
        <v>2813</v>
      </c>
      <c r="L309">
        <v>8.93</v>
      </c>
      <c r="M309" t="s">
        <v>2769</v>
      </c>
      <c r="N309">
        <v>0</v>
      </c>
      <c r="O309" t="s">
        <v>383</v>
      </c>
      <c r="P309" t="s">
        <v>610</v>
      </c>
      <c r="Q309">
        <v>3.38</v>
      </c>
      <c r="R309" t="s">
        <v>516</v>
      </c>
      <c r="S309">
        <v>4.08</v>
      </c>
      <c r="T309">
        <v>33.6</v>
      </c>
      <c r="U309" t="s">
        <v>1387</v>
      </c>
      <c r="V309" t="s">
        <v>907</v>
      </c>
      <c r="W309" t="s">
        <v>192</v>
      </c>
      <c r="X309">
        <v>4.66</v>
      </c>
      <c r="Y309" t="s">
        <v>391</v>
      </c>
      <c r="Z309" t="s">
        <v>263</v>
      </c>
      <c r="AA309" t="s">
        <v>2814</v>
      </c>
      <c r="AB309">
        <v>6.12</v>
      </c>
      <c r="AC309" t="s">
        <v>457</v>
      </c>
      <c r="AD309">
        <v>69.22</v>
      </c>
      <c r="AE309" t="s">
        <v>407</v>
      </c>
      <c r="AF309">
        <v>2.57</v>
      </c>
      <c r="AG309">
        <v>0</v>
      </c>
      <c r="AH309">
        <v>0</v>
      </c>
      <c r="AI309" s="4">
        <v>42741</v>
      </c>
    </row>
    <row r="310" spans="1:35">
      <c r="A310">
        <v>309</v>
      </c>
      <c r="B310" t="str">
        <f>"600598"</f>
        <v>600598</v>
      </c>
      <c r="C310" t="s">
        <v>2815</v>
      </c>
      <c r="D310" s="4">
        <v>43190</v>
      </c>
      <c r="E310" t="s">
        <v>1678</v>
      </c>
      <c r="F310" t="s">
        <v>1678</v>
      </c>
      <c r="G310" t="s">
        <v>853</v>
      </c>
      <c r="H310">
        <v>0.16</v>
      </c>
      <c r="I310">
        <v>3.28</v>
      </c>
      <c r="J310">
        <v>4.66</v>
      </c>
      <c r="K310" t="s">
        <v>1319</v>
      </c>
      <c r="L310">
        <v>11.53</v>
      </c>
      <c r="M310" t="s">
        <v>2507</v>
      </c>
      <c r="N310" t="s">
        <v>2816</v>
      </c>
      <c r="O310" t="s">
        <v>1184</v>
      </c>
      <c r="P310" t="s">
        <v>1184</v>
      </c>
      <c r="Q310">
        <v>18.239999999999998</v>
      </c>
      <c r="R310" t="s">
        <v>2637</v>
      </c>
      <c r="S310">
        <v>0.14000000000000001</v>
      </c>
      <c r="T310">
        <v>86.77</v>
      </c>
      <c r="U310" t="s">
        <v>716</v>
      </c>
      <c r="V310" t="s">
        <v>1599</v>
      </c>
      <c r="W310" t="s">
        <v>1054</v>
      </c>
      <c r="X310">
        <v>4.66</v>
      </c>
      <c r="Y310" t="s">
        <v>369</v>
      </c>
      <c r="Z310" t="s">
        <v>2301</v>
      </c>
      <c r="AA310" t="s">
        <v>2817</v>
      </c>
      <c r="AB310">
        <v>3.14</v>
      </c>
      <c r="AC310" t="s">
        <v>1442</v>
      </c>
      <c r="AD310">
        <v>61.62</v>
      </c>
      <c r="AE310" t="s">
        <v>223</v>
      </c>
      <c r="AF310">
        <v>1.36</v>
      </c>
      <c r="AG310">
        <v>0</v>
      </c>
      <c r="AH310">
        <v>0</v>
      </c>
      <c r="AI310" s="4">
        <v>37344</v>
      </c>
    </row>
    <row r="311" spans="1:35">
      <c r="A311">
        <v>310</v>
      </c>
      <c r="B311" t="str">
        <f>"300344"</f>
        <v>300344</v>
      </c>
      <c r="C311" t="s">
        <v>2818</v>
      </c>
      <c r="D311" s="4">
        <v>43190</v>
      </c>
      <c r="E311" t="s">
        <v>1918</v>
      </c>
      <c r="F311" t="s">
        <v>844</v>
      </c>
      <c r="G311">
        <v>5147</v>
      </c>
      <c r="H311">
        <v>7.0000000000000007E-2</v>
      </c>
      <c r="I311">
        <v>2.0699999999999998</v>
      </c>
      <c r="J311">
        <v>4.6500000000000004</v>
      </c>
      <c r="K311" t="s">
        <v>1349</v>
      </c>
      <c r="L311">
        <v>93.67</v>
      </c>
      <c r="M311" t="s">
        <v>2819</v>
      </c>
      <c r="N311" t="s">
        <v>2820</v>
      </c>
      <c r="O311" t="s">
        <v>2821</v>
      </c>
      <c r="P311" t="s">
        <v>2822</v>
      </c>
      <c r="Q311">
        <v>1211.04</v>
      </c>
      <c r="R311" t="s">
        <v>2823</v>
      </c>
      <c r="S311">
        <v>0.11</v>
      </c>
      <c r="T311">
        <v>36.17</v>
      </c>
      <c r="U311" t="s">
        <v>323</v>
      </c>
      <c r="V311" t="s">
        <v>1481</v>
      </c>
      <c r="W311" t="s">
        <v>2824</v>
      </c>
      <c r="X311">
        <v>4.6500000000000004</v>
      </c>
      <c r="Y311" t="s">
        <v>542</v>
      </c>
      <c r="Z311" t="s">
        <v>150</v>
      </c>
      <c r="AA311" t="s">
        <v>2825</v>
      </c>
      <c r="AB311">
        <v>3.33</v>
      </c>
      <c r="AC311" t="s">
        <v>792</v>
      </c>
      <c r="AD311">
        <v>55.63</v>
      </c>
      <c r="AE311" t="s">
        <v>1264</v>
      </c>
      <c r="AF311">
        <v>0.84</v>
      </c>
      <c r="AG311">
        <v>0</v>
      </c>
      <c r="AH311">
        <v>0</v>
      </c>
      <c r="AI311" s="4">
        <v>41122</v>
      </c>
    </row>
    <row r="312" spans="1:35">
      <c r="A312">
        <v>311</v>
      </c>
      <c r="B312" t="str">
        <f>"603305"</f>
        <v>603305</v>
      </c>
      <c r="C312" t="s">
        <v>2826</v>
      </c>
      <c r="D312" s="4">
        <v>43190</v>
      </c>
      <c r="E312" t="s">
        <v>241</v>
      </c>
      <c r="F312" t="s">
        <v>1503</v>
      </c>
      <c r="G312">
        <v>2607</v>
      </c>
      <c r="H312">
        <v>0.14000000000000001</v>
      </c>
      <c r="I312">
        <v>2.91</v>
      </c>
      <c r="J312">
        <v>4.6399999999999997</v>
      </c>
      <c r="K312" t="s">
        <v>1364</v>
      </c>
      <c r="L312">
        <v>26.52</v>
      </c>
      <c r="M312" t="s">
        <v>2827</v>
      </c>
      <c r="N312" t="s">
        <v>2538</v>
      </c>
      <c r="O312" t="s">
        <v>2828</v>
      </c>
      <c r="P312" t="s">
        <v>2829</v>
      </c>
      <c r="Q312">
        <v>2.82</v>
      </c>
      <c r="R312" t="s">
        <v>1001</v>
      </c>
      <c r="S312">
        <v>0.78</v>
      </c>
      <c r="T312">
        <v>39.770000000000003</v>
      </c>
      <c r="U312" t="s">
        <v>80</v>
      </c>
      <c r="V312" t="s">
        <v>846</v>
      </c>
      <c r="W312" t="s">
        <v>1645</v>
      </c>
      <c r="X312">
        <v>4.6399999999999997</v>
      </c>
      <c r="Y312" t="s">
        <v>1995</v>
      </c>
      <c r="Z312" t="s">
        <v>258</v>
      </c>
      <c r="AA312" t="s">
        <v>1275</v>
      </c>
      <c r="AB312">
        <v>10.47</v>
      </c>
      <c r="AC312" t="s">
        <v>264</v>
      </c>
      <c r="AD312">
        <v>82.12</v>
      </c>
      <c r="AE312" t="s">
        <v>479</v>
      </c>
      <c r="AF312">
        <v>0.96</v>
      </c>
      <c r="AG312">
        <v>0</v>
      </c>
      <c r="AH312">
        <v>0</v>
      </c>
      <c r="AI312" s="4">
        <v>42926</v>
      </c>
    </row>
    <row r="313" spans="1:35">
      <c r="A313">
        <v>312</v>
      </c>
      <c r="B313" t="str">
        <f>"300296"</f>
        <v>300296</v>
      </c>
      <c r="C313" t="s">
        <v>2830</v>
      </c>
      <c r="D313" s="4">
        <v>43190</v>
      </c>
      <c r="E313" t="s">
        <v>2542</v>
      </c>
      <c r="F313" t="s">
        <v>1792</v>
      </c>
      <c r="G313" t="s">
        <v>2831</v>
      </c>
      <c r="H313">
        <v>0.12</v>
      </c>
      <c r="I313">
        <v>2.72</v>
      </c>
      <c r="J313">
        <v>4.6399999999999997</v>
      </c>
      <c r="K313" t="s">
        <v>754</v>
      </c>
      <c r="L313">
        <v>61.3</v>
      </c>
      <c r="M313" t="s">
        <v>204</v>
      </c>
      <c r="N313" t="s">
        <v>875</v>
      </c>
      <c r="O313" t="s">
        <v>265</v>
      </c>
      <c r="P313" t="s">
        <v>145</v>
      </c>
      <c r="Q313">
        <v>76.55</v>
      </c>
      <c r="R313" t="s">
        <v>512</v>
      </c>
      <c r="S313">
        <v>0.95</v>
      </c>
      <c r="T313">
        <v>36.72</v>
      </c>
      <c r="U313" t="s">
        <v>399</v>
      </c>
      <c r="V313" t="s">
        <v>2832</v>
      </c>
      <c r="W313" t="s">
        <v>619</v>
      </c>
      <c r="X313">
        <v>4.6399999999999997</v>
      </c>
      <c r="Y313" t="s">
        <v>886</v>
      </c>
      <c r="Z313" t="s">
        <v>2833</v>
      </c>
      <c r="AA313" t="s">
        <v>625</v>
      </c>
      <c r="AB313">
        <v>4.7</v>
      </c>
      <c r="AC313" t="s">
        <v>2834</v>
      </c>
      <c r="AD313">
        <v>59.51</v>
      </c>
      <c r="AE313" t="s">
        <v>426</v>
      </c>
      <c r="AF313">
        <v>0.74</v>
      </c>
      <c r="AG313">
        <v>0</v>
      </c>
      <c r="AH313">
        <v>0</v>
      </c>
      <c r="AI313" s="4">
        <v>40983</v>
      </c>
    </row>
    <row r="314" spans="1:35">
      <c r="A314">
        <v>313</v>
      </c>
      <c r="B314" t="str">
        <f>"002867"</f>
        <v>002867</v>
      </c>
      <c r="C314" t="s">
        <v>2835</v>
      </c>
      <c r="D314" s="4">
        <v>43190</v>
      </c>
      <c r="E314" t="s">
        <v>347</v>
      </c>
      <c r="F314" t="s">
        <v>552</v>
      </c>
      <c r="G314">
        <v>2981</v>
      </c>
      <c r="H314">
        <v>0.33</v>
      </c>
      <c r="I314">
        <v>6.7</v>
      </c>
      <c r="J314">
        <v>4.6399999999999997</v>
      </c>
      <c r="K314" t="s">
        <v>2836</v>
      </c>
      <c r="L314">
        <v>16.91</v>
      </c>
      <c r="M314" t="s">
        <v>1011</v>
      </c>
      <c r="N314" t="s">
        <v>2837</v>
      </c>
      <c r="O314" t="s">
        <v>1417</v>
      </c>
      <c r="P314" t="s">
        <v>136</v>
      </c>
      <c r="Q314">
        <v>28.74</v>
      </c>
      <c r="R314" t="s">
        <v>192</v>
      </c>
      <c r="S314">
        <v>1.8</v>
      </c>
      <c r="T314">
        <v>34.92</v>
      </c>
      <c r="U314" t="s">
        <v>886</v>
      </c>
      <c r="V314" t="s">
        <v>2643</v>
      </c>
      <c r="W314" t="s">
        <v>2838</v>
      </c>
      <c r="X314">
        <v>4.6399999999999997</v>
      </c>
      <c r="Y314" t="s">
        <v>101</v>
      </c>
      <c r="Z314" t="s">
        <v>926</v>
      </c>
      <c r="AA314" t="s">
        <v>2839</v>
      </c>
      <c r="AB314">
        <v>4.67</v>
      </c>
      <c r="AC314" t="s">
        <v>816</v>
      </c>
      <c r="AD314">
        <v>73.31</v>
      </c>
      <c r="AE314" t="s">
        <v>1678</v>
      </c>
      <c r="AF314">
        <v>3.67</v>
      </c>
      <c r="AG314">
        <v>0</v>
      </c>
      <c r="AH314">
        <v>0</v>
      </c>
      <c r="AI314" s="4">
        <v>42852</v>
      </c>
    </row>
    <row r="315" spans="1:35">
      <c r="A315">
        <v>314</v>
      </c>
      <c r="B315" t="str">
        <f>"000661"</f>
        <v>000661</v>
      </c>
      <c r="C315" t="s">
        <v>2840</v>
      </c>
      <c r="D315" s="4">
        <v>43190</v>
      </c>
      <c r="E315" t="s">
        <v>2069</v>
      </c>
      <c r="F315" t="s">
        <v>2069</v>
      </c>
      <c r="G315" t="s">
        <v>779</v>
      </c>
      <c r="H315">
        <v>1.24</v>
      </c>
      <c r="I315">
        <v>25.65</v>
      </c>
      <c r="J315">
        <v>4.6399999999999997</v>
      </c>
      <c r="K315" t="s">
        <v>978</v>
      </c>
      <c r="L315">
        <v>39.270000000000003</v>
      </c>
      <c r="M315" t="s">
        <v>1324</v>
      </c>
      <c r="N315" t="s">
        <v>2841</v>
      </c>
      <c r="O315" t="s">
        <v>1461</v>
      </c>
      <c r="P315" t="s">
        <v>118</v>
      </c>
      <c r="Q315">
        <v>46.26</v>
      </c>
      <c r="R315" t="s">
        <v>418</v>
      </c>
      <c r="S315">
        <v>11.07</v>
      </c>
      <c r="T315">
        <v>89.37</v>
      </c>
      <c r="U315" t="s">
        <v>2842</v>
      </c>
      <c r="V315" t="s">
        <v>110</v>
      </c>
      <c r="W315" t="s">
        <v>323</v>
      </c>
      <c r="X315">
        <v>4.6399999999999997</v>
      </c>
      <c r="Y315" t="s">
        <v>1213</v>
      </c>
      <c r="Z315" t="s">
        <v>243</v>
      </c>
      <c r="AA315" t="s">
        <v>1597</v>
      </c>
      <c r="AB315">
        <v>7.99</v>
      </c>
      <c r="AC315" t="s">
        <v>1574</v>
      </c>
      <c r="AD315">
        <v>57.66</v>
      </c>
      <c r="AE315" t="s">
        <v>1284</v>
      </c>
      <c r="AF315">
        <v>11.56</v>
      </c>
      <c r="AG315">
        <v>0</v>
      </c>
      <c r="AH315">
        <v>0</v>
      </c>
      <c r="AI315" s="4">
        <v>35417</v>
      </c>
    </row>
    <row r="316" spans="1:35">
      <c r="A316">
        <v>315</v>
      </c>
      <c r="B316" t="str">
        <f>"300637"</f>
        <v>300637</v>
      </c>
      <c r="C316" t="s">
        <v>2843</v>
      </c>
      <c r="D316" s="4">
        <v>43190</v>
      </c>
      <c r="E316" t="s">
        <v>2360</v>
      </c>
      <c r="F316" t="s">
        <v>2844</v>
      </c>
      <c r="G316">
        <v>2641</v>
      </c>
      <c r="H316">
        <v>0.22</v>
      </c>
      <c r="I316">
        <v>4.6100000000000003</v>
      </c>
      <c r="J316">
        <v>4.63</v>
      </c>
      <c r="K316" t="s">
        <v>642</v>
      </c>
      <c r="L316">
        <v>29</v>
      </c>
      <c r="M316" t="s">
        <v>2845</v>
      </c>
      <c r="N316">
        <v>0</v>
      </c>
      <c r="O316" t="s">
        <v>2846</v>
      </c>
      <c r="P316" t="s">
        <v>2847</v>
      </c>
      <c r="Q316">
        <v>152.74</v>
      </c>
      <c r="R316" t="s">
        <v>93</v>
      </c>
      <c r="S316">
        <v>0.98</v>
      </c>
      <c r="T316">
        <v>43.72</v>
      </c>
      <c r="U316" t="s">
        <v>1730</v>
      </c>
      <c r="V316" t="s">
        <v>2625</v>
      </c>
      <c r="W316" t="s">
        <v>552</v>
      </c>
      <c r="X316">
        <v>4.63</v>
      </c>
      <c r="Y316" t="s">
        <v>2848</v>
      </c>
      <c r="Z316" t="s">
        <v>2849</v>
      </c>
      <c r="AA316" t="s">
        <v>2850</v>
      </c>
      <c r="AB316">
        <v>4.8099999999999996</v>
      </c>
      <c r="AC316" t="s">
        <v>2851</v>
      </c>
      <c r="AD316">
        <v>89.49</v>
      </c>
      <c r="AE316" t="s">
        <v>1967</v>
      </c>
      <c r="AF316">
        <v>2.71</v>
      </c>
      <c r="AG316">
        <v>0</v>
      </c>
      <c r="AH316">
        <v>0</v>
      </c>
      <c r="AI316" s="4">
        <v>42837</v>
      </c>
    </row>
    <row r="317" spans="1:35">
      <c r="A317">
        <v>316</v>
      </c>
      <c r="B317" t="str">
        <f>"002293"</f>
        <v>002293</v>
      </c>
      <c r="C317" t="s">
        <v>2852</v>
      </c>
      <c r="D317" s="4">
        <v>43190</v>
      </c>
      <c r="E317" t="s">
        <v>566</v>
      </c>
      <c r="F317" t="s">
        <v>2853</v>
      </c>
      <c r="G317" t="s">
        <v>2854</v>
      </c>
      <c r="H317">
        <v>0.21</v>
      </c>
      <c r="I317">
        <v>4.45</v>
      </c>
      <c r="J317">
        <v>4.62</v>
      </c>
      <c r="K317" t="s">
        <v>192</v>
      </c>
      <c r="L317">
        <v>10.75</v>
      </c>
      <c r="M317" t="s">
        <v>748</v>
      </c>
      <c r="N317" t="s">
        <v>2855</v>
      </c>
      <c r="O317" t="s">
        <v>1853</v>
      </c>
      <c r="P317" t="s">
        <v>610</v>
      </c>
      <c r="Q317">
        <v>33.94</v>
      </c>
      <c r="R317" t="s">
        <v>757</v>
      </c>
      <c r="S317">
        <v>2.06</v>
      </c>
      <c r="T317">
        <v>43.1</v>
      </c>
      <c r="U317" t="s">
        <v>2043</v>
      </c>
      <c r="V317" t="s">
        <v>1486</v>
      </c>
      <c r="W317" t="s">
        <v>1968</v>
      </c>
      <c r="X317">
        <v>4.62</v>
      </c>
      <c r="Y317" t="s">
        <v>1307</v>
      </c>
      <c r="Z317" t="s">
        <v>1033</v>
      </c>
      <c r="AA317" t="s">
        <v>2306</v>
      </c>
      <c r="AB317">
        <v>3.28</v>
      </c>
      <c r="AC317" t="s">
        <v>1601</v>
      </c>
      <c r="AD317">
        <v>70.790000000000006</v>
      </c>
      <c r="AE317" t="s">
        <v>1957</v>
      </c>
      <c r="AF317">
        <v>1.03</v>
      </c>
      <c r="AG317">
        <v>0</v>
      </c>
      <c r="AH317">
        <v>0</v>
      </c>
      <c r="AI317" s="4">
        <v>40066</v>
      </c>
    </row>
    <row r="318" spans="1:35">
      <c r="A318">
        <v>317</v>
      </c>
      <c r="B318" t="str">
        <f>"600487"</f>
        <v>600487</v>
      </c>
      <c r="C318" t="s">
        <v>2856</v>
      </c>
      <c r="D318" s="4">
        <v>43190</v>
      </c>
      <c r="E318" t="s">
        <v>350</v>
      </c>
      <c r="F318" t="s">
        <v>548</v>
      </c>
      <c r="G318" t="s">
        <v>2531</v>
      </c>
      <c r="H318">
        <v>0.35</v>
      </c>
      <c r="I318">
        <v>7.75</v>
      </c>
      <c r="J318">
        <v>4.6100000000000003</v>
      </c>
      <c r="K318" t="s">
        <v>1107</v>
      </c>
      <c r="L318">
        <v>38.24</v>
      </c>
      <c r="M318" t="s">
        <v>1450</v>
      </c>
      <c r="N318" t="s">
        <v>2857</v>
      </c>
      <c r="O318" t="s">
        <v>1121</v>
      </c>
      <c r="P318" t="s">
        <v>216</v>
      </c>
      <c r="Q318">
        <v>73.48</v>
      </c>
      <c r="R318" t="s">
        <v>1600</v>
      </c>
      <c r="S318">
        <v>4.28</v>
      </c>
      <c r="T318">
        <v>21.12</v>
      </c>
      <c r="U318" t="s">
        <v>2858</v>
      </c>
      <c r="V318" t="s">
        <v>761</v>
      </c>
      <c r="W318" t="s">
        <v>408</v>
      </c>
      <c r="X318">
        <v>4.6100000000000003</v>
      </c>
      <c r="Y318" t="s">
        <v>1278</v>
      </c>
      <c r="Z318" t="s">
        <v>2654</v>
      </c>
      <c r="AA318" t="s">
        <v>239</v>
      </c>
      <c r="AB318">
        <v>3.87</v>
      </c>
      <c r="AC318" t="s">
        <v>525</v>
      </c>
      <c r="AD318">
        <v>36.799999999999997</v>
      </c>
      <c r="AE318" t="s">
        <v>1054</v>
      </c>
      <c r="AF318">
        <v>2.36</v>
      </c>
      <c r="AG318">
        <v>0</v>
      </c>
      <c r="AH318">
        <v>0</v>
      </c>
      <c r="AI318" s="4">
        <v>37855</v>
      </c>
    </row>
    <row r="319" spans="1:35">
      <c r="A319">
        <v>318</v>
      </c>
      <c r="B319" t="str">
        <f>"002493"</f>
        <v>002493</v>
      </c>
      <c r="C319" t="s">
        <v>2859</v>
      </c>
      <c r="D319" s="4">
        <v>43190</v>
      </c>
      <c r="E319" t="s">
        <v>2300</v>
      </c>
      <c r="F319" t="s">
        <v>2860</v>
      </c>
      <c r="G319" t="s">
        <v>2861</v>
      </c>
      <c r="H319">
        <v>0.11</v>
      </c>
      <c r="I319">
        <v>2.52</v>
      </c>
      <c r="J319">
        <v>4.6100000000000003</v>
      </c>
      <c r="K319" t="s">
        <v>2271</v>
      </c>
      <c r="L319">
        <v>13.35</v>
      </c>
      <c r="M319" t="s">
        <v>1414</v>
      </c>
      <c r="N319" t="s">
        <v>1626</v>
      </c>
      <c r="O319" t="s">
        <v>1414</v>
      </c>
      <c r="P319" t="s">
        <v>2295</v>
      </c>
      <c r="Q319">
        <v>2.4500000000000002</v>
      </c>
      <c r="R319" t="s">
        <v>1302</v>
      </c>
      <c r="S319">
        <v>1.18</v>
      </c>
      <c r="T319">
        <v>5.84</v>
      </c>
      <c r="U319" t="s">
        <v>2862</v>
      </c>
      <c r="V319" t="s">
        <v>2863</v>
      </c>
      <c r="W319" t="s">
        <v>1098</v>
      </c>
      <c r="X319">
        <v>4.6100000000000003</v>
      </c>
      <c r="Y319" t="s">
        <v>2864</v>
      </c>
      <c r="Z319" t="s">
        <v>2865</v>
      </c>
      <c r="AA319" t="s">
        <v>739</v>
      </c>
      <c r="AB319">
        <v>3.89</v>
      </c>
      <c r="AC319" t="s">
        <v>1741</v>
      </c>
      <c r="AD319">
        <v>20.69</v>
      </c>
      <c r="AE319" t="s">
        <v>2866</v>
      </c>
      <c r="AF319">
        <v>0.31</v>
      </c>
      <c r="AG319">
        <v>0</v>
      </c>
      <c r="AH319">
        <v>0</v>
      </c>
      <c r="AI319" s="4">
        <v>40484</v>
      </c>
    </row>
    <row r="320" spans="1:35">
      <c r="A320">
        <v>319</v>
      </c>
      <c r="B320" t="str">
        <f>"600073"</f>
        <v>600073</v>
      </c>
      <c r="C320" t="s">
        <v>2867</v>
      </c>
      <c r="D320" s="4">
        <v>43190</v>
      </c>
      <c r="E320" t="s">
        <v>2836</v>
      </c>
      <c r="F320" t="s">
        <v>2836</v>
      </c>
      <c r="G320" t="s">
        <v>2554</v>
      </c>
      <c r="H320">
        <v>0.18</v>
      </c>
      <c r="I320">
        <v>3.94</v>
      </c>
      <c r="J320">
        <v>4.5999999999999996</v>
      </c>
      <c r="K320" t="s">
        <v>2868</v>
      </c>
      <c r="L320">
        <v>-0.79</v>
      </c>
      <c r="M320" t="s">
        <v>217</v>
      </c>
      <c r="N320" t="s">
        <v>2869</v>
      </c>
      <c r="O320" t="s">
        <v>507</v>
      </c>
      <c r="P320" t="s">
        <v>321</v>
      </c>
      <c r="Q320">
        <v>-9.8699999999999992</v>
      </c>
      <c r="R320" t="s">
        <v>1462</v>
      </c>
      <c r="S320">
        <v>0.9</v>
      </c>
      <c r="T320">
        <v>13.56</v>
      </c>
      <c r="U320" t="s">
        <v>466</v>
      </c>
      <c r="V320" t="s">
        <v>772</v>
      </c>
      <c r="W320" t="s">
        <v>243</v>
      </c>
      <c r="X320">
        <v>4.5999999999999996</v>
      </c>
      <c r="Y320" t="s">
        <v>1110</v>
      </c>
      <c r="Z320" t="s">
        <v>740</v>
      </c>
      <c r="AA320" t="s">
        <v>2870</v>
      </c>
      <c r="AB320">
        <v>1.77</v>
      </c>
      <c r="AC320" t="s">
        <v>2871</v>
      </c>
      <c r="AD320">
        <v>32.81</v>
      </c>
      <c r="AE320" t="s">
        <v>702</v>
      </c>
      <c r="AF320">
        <v>2.04</v>
      </c>
      <c r="AG320">
        <v>0</v>
      </c>
      <c r="AH320">
        <v>0</v>
      </c>
      <c r="AI320" s="4">
        <v>35615</v>
      </c>
    </row>
    <row r="321" spans="1:35">
      <c r="A321">
        <v>320</v>
      </c>
      <c r="B321" t="str">
        <f>"002677"</f>
        <v>002677</v>
      </c>
      <c r="C321" t="s">
        <v>2872</v>
      </c>
      <c r="D321" s="4">
        <v>43190</v>
      </c>
      <c r="E321" t="s">
        <v>359</v>
      </c>
      <c r="F321" t="s">
        <v>1067</v>
      </c>
      <c r="G321" t="s">
        <v>2597</v>
      </c>
      <c r="H321">
        <v>0.1</v>
      </c>
      <c r="I321">
        <v>1.66</v>
      </c>
      <c r="J321">
        <v>4.5999999999999996</v>
      </c>
      <c r="K321" t="s">
        <v>1004</v>
      </c>
      <c r="L321">
        <v>53.15</v>
      </c>
      <c r="M321" t="s">
        <v>2873</v>
      </c>
      <c r="N321" t="s">
        <v>2874</v>
      </c>
      <c r="O321" t="s">
        <v>2875</v>
      </c>
      <c r="P321" t="s">
        <v>2876</v>
      </c>
      <c r="Q321">
        <v>49.74</v>
      </c>
      <c r="R321" t="s">
        <v>2178</v>
      </c>
      <c r="S321">
        <v>0.35</v>
      </c>
      <c r="T321">
        <v>54.57</v>
      </c>
      <c r="U321" t="s">
        <v>646</v>
      </c>
      <c r="V321" t="s">
        <v>978</v>
      </c>
      <c r="W321" t="s">
        <v>1594</v>
      </c>
      <c r="X321">
        <v>4.5999999999999996</v>
      </c>
      <c r="Y321" t="s">
        <v>52</v>
      </c>
      <c r="Z321" t="s">
        <v>1672</v>
      </c>
      <c r="AA321" t="s">
        <v>2877</v>
      </c>
      <c r="AB321">
        <v>10.8</v>
      </c>
      <c r="AC321" t="s">
        <v>971</v>
      </c>
      <c r="AD321">
        <v>80.33</v>
      </c>
      <c r="AE321" t="s">
        <v>2878</v>
      </c>
      <c r="AF321">
        <v>0.15</v>
      </c>
      <c r="AG321">
        <v>0</v>
      </c>
      <c r="AH321">
        <v>0</v>
      </c>
      <c r="AI321" s="4">
        <v>41054</v>
      </c>
    </row>
    <row r="322" spans="1:35">
      <c r="A322">
        <v>321</v>
      </c>
      <c r="B322" t="str">
        <f>"601127"</f>
        <v>601127</v>
      </c>
      <c r="C322" t="s">
        <v>2879</v>
      </c>
      <c r="D322" s="4">
        <v>43190</v>
      </c>
      <c r="E322" t="s">
        <v>1998</v>
      </c>
      <c r="F322" t="s">
        <v>1839</v>
      </c>
      <c r="G322">
        <v>4067</v>
      </c>
      <c r="H322">
        <v>0.24</v>
      </c>
      <c r="I322">
        <v>4.96</v>
      </c>
      <c r="J322">
        <v>4.58</v>
      </c>
      <c r="K322" t="s">
        <v>2868</v>
      </c>
      <c r="L322">
        <v>6.51</v>
      </c>
      <c r="M322" t="s">
        <v>1243</v>
      </c>
      <c r="N322" t="s">
        <v>2880</v>
      </c>
      <c r="O322" t="s">
        <v>269</v>
      </c>
      <c r="P322" t="s">
        <v>682</v>
      </c>
      <c r="Q322">
        <v>9.4</v>
      </c>
      <c r="R322" t="s">
        <v>2273</v>
      </c>
      <c r="S322">
        <v>2.6</v>
      </c>
      <c r="T322">
        <v>22.65</v>
      </c>
      <c r="U322" t="s">
        <v>1290</v>
      </c>
      <c r="V322" t="s">
        <v>788</v>
      </c>
      <c r="W322" t="s">
        <v>305</v>
      </c>
      <c r="X322">
        <v>4.58</v>
      </c>
      <c r="Y322" t="s">
        <v>1194</v>
      </c>
      <c r="Z322" t="s">
        <v>1885</v>
      </c>
      <c r="AA322" t="s">
        <v>1225</v>
      </c>
      <c r="AB322">
        <v>3.56</v>
      </c>
      <c r="AC322" t="s">
        <v>2881</v>
      </c>
      <c r="AD322">
        <v>19.46</v>
      </c>
      <c r="AE322" t="s">
        <v>1082</v>
      </c>
      <c r="AF322">
        <v>1.4</v>
      </c>
      <c r="AG322">
        <v>0</v>
      </c>
      <c r="AH322">
        <v>0</v>
      </c>
      <c r="AI322" s="4">
        <v>42536</v>
      </c>
    </row>
    <row r="323" spans="1:35">
      <c r="A323">
        <v>322</v>
      </c>
      <c r="B323" t="str">
        <f>"300462"</f>
        <v>300462</v>
      </c>
      <c r="C323" t="s">
        <v>2882</v>
      </c>
      <c r="D323" s="4">
        <v>43190</v>
      </c>
      <c r="E323" t="s">
        <v>711</v>
      </c>
      <c r="F323" t="s">
        <v>2883</v>
      </c>
      <c r="G323">
        <v>3551</v>
      </c>
      <c r="H323">
        <v>0.2</v>
      </c>
      <c r="I323">
        <v>4.37</v>
      </c>
      <c r="J323">
        <v>4.58</v>
      </c>
      <c r="K323" t="s">
        <v>2884</v>
      </c>
      <c r="L323">
        <v>15.97</v>
      </c>
      <c r="M323" t="s">
        <v>2885</v>
      </c>
      <c r="N323" t="s">
        <v>2886</v>
      </c>
      <c r="O323" t="s">
        <v>2887</v>
      </c>
      <c r="P323" t="s">
        <v>2888</v>
      </c>
      <c r="Q323">
        <v>475.38</v>
      </c>
      <c r="R323" t="s">
        <v>2889</v>
      </c>
      <c r="S323">
        <v>1.7</v>
      </c>
      <c r="T323">
        <v>44.56</v>
      </c>
      <c r="U323" t="s">
        <v>909</v>
      </c>
      <c r="V323" t="s">
        <v>918</v>
      </c>
      <c r="W323" t="s">
        <v>2890</v>
      </c>
      <c r="X323">
        <v>4.58</v>
      </c>
      <c r="Y323" t="s">
        <v>415</v>
      </c>
      <c r="Z323" t="s">
        <v>1860</v>
      </c>
      <c r="AA323" t="s">
        <v>2891</v>
      </c>
      <c r="AB323">
        <v>5.33</v>
      </c>
      <c r="AC323" t="s">
        <v>417</v>
      </c>
      <c r="AD323">
        <v>74.7</v>
      </c>
      <c r="AE323" t="s">
        <v>148</v>
      </c>
      <c r="AF323">
        <v>1.44</v>
      </c>
      <c r="AG323">
        <v>0</v>
      </c>
      <c r="AH323">
        <v>0</v>
      </c>
      <c r="AI323" s="4">
        <v>42151</v>
      </c>
    </row>
    <row r="324" spans="1:35">
      <c r="A324">
        <v>323</v>
      </c>
      <c r="B324" t="str">
        <f>"601997"</f>
        <v>601997</v>
      </c>
      <c r="C324" t="s">
        <v>2892</v>
      </c>
      <c r="D324" s="4">
        <v>43190</v>
      </c>
      <c r="E324" t="s">
        <v>316</v>
      </c>
      <c r="F324" t="s">
        <v>548</v>
      </c>
      <c r="G324" t="s">
        <v>1763</v>
      </c>
      <c r="H324">
        <v>0.5</v>
      </c>
      <c r="I324">
        <v>11.32</v>
      </c>
      <c r="J324">
        <v>4.57</v>
      </c>
      <c r="K324" t="s">
        <v>236</v>
      </c>
      <c r="L324">
        <v>11.72</v>
      </c>
      <c r="M324" t="s">
        <v>924</v>
      </c>
      <c r="N324" t="s">
        <v>2893</v>
      </c>
      <c r="O324" t="s">
        <v>924</v>
      </c>
      <c r="P324" t="s">
        <v>613</v>
      </c>
      <c r="Q324">
        <v>19.95</v>
      </c>
      <c r="R324" t="s">
        <v>1929</v>
      </c>
      <c r="S324">
        <v>5.63</v>
      </c>
      <c r="T324">
        <v>0</v>
      </c>
      <c r="U324" t="s">
        <v>2894</v>
      </c>
      <c r="V324">
        <v>0</v>
      </c>
      <c r="W324" t="s">
        <v>1294</v>
      </c>
      <c r="X324">
        <v>4.57</v>
      </c>
      <c r="Y324" t="s">
        <v>2895</v>
      </c>
      <c r="Z324">
        <v>0</v>
      </c>
      <c r="AA324">
        <v>0</v>
      </c>
      <c r="AB324">
        <v>1.1499999999999999</v>
      </c>
      <c r="AC324" t="s">
        <v>2896</v>
      </c>
      <c r="AD324">
        <v>5.65</v>
      </c>
      <c r="AE324" t="s">
        <v>1748</v>
      </c>
      <c r="AF324">
        <v>2.12</v>
      </c>
      <c r="AG324">
        <v>0</v>
      </c>
      <c r="AH324">
        <v>0</v>
      </c>
      <c r="AI324" s="4">
        <v>42598</v>
      </c>
    </row>
    <row r="325" spans="1:35">
      <c r="A325">
        <v>324</v>
      </c>
      <c r="B325" t="str">
        <f>"600572"</f>
        <v>600572</v>
      </c>
      <c r="C325" t="s">
        <v>2897</v>
      </c>
      <c r="D325" s="4">
        <v>43190</v>
      </c>
      <c r="E325" t="s">
        <v>260</v>
      </c>
      <c r="F325" t="s">
        <v>981</v>
      </c>
      <c r="G325" t="s">
        <v>2898</v>
      </c>
      <c r="H325">
        <v>0.1</v>
      </c>
      <c r="I325">
        <v>2.25</v>
      </c>
      <c r="J325">
        <v>4.57</v>
      </c>
      <c r="K325" t="s">
        <v>1678</v>
      </c>
      <c r="L325">
        <v>62.51</v>
      </c>
      <c r="M325" t="s">
        <v>1964</v>
      </c>
      <c r="N325" t="s">
        <v>2899</v>
      </c>
      <c r="O325" t="s">
        <v>1530</v>
      </c>
      <c r="P325" t="s">
        <v>1666</v>
      </c>
      <c r="Q325">
        <v>41.75</v>
      </c>
      <c r="R325" t="s">
        <v>1693</v>
      </c>
      <c r="S325">
        <v>0.79</v>
      </c>
      <c r="T325">
        <v>75.260000000000005</v>
      </c>
      <c r="U325" t="s">
        <v>2900</v>
      </c>
      <c r="V325" t="s">
        <v>2092</v>
      </c>
      <c r="W325" t="s">
        <v>243</v>
      </c>
      <c r="X325">
        <v>4.57</v>
      </c>
      <c r="Y325" t="s">
        <v>2901</v>
      </c>
      <c r="Z325" t="s">
        <v>728</v>
      </c>
      <c r="AA325" t="s">
        <v>548</v>
      </c>
      <c r="AB325">
        <v>3.13</v>
      </c>
      <c r="AC325" t="s">
        <v>1947</v>
      </c>
      <c r="AD325">
        <v>62.62</v>
      </c>
      <c r="AE325" t="s">
        <v>2383</v>
      </c>
      <c r="AF325">
        <v>0.35</v>
      </c>
      <c r="AG325">
        <v>0</v>
      </c>
      <c r="AH325">
        <v>0</v>
      </c>
      <c r="AI325" s="4">
        <v>38089</v>
      </c>
    </row>
    <row r="326" spans="1:35">
      <c r="A326">
        <v>325</v>
      </c>
      <c r="B326" t="str">
        <f>"300519"</f>
        <v>300519</v>
      </c>
      <c r="C326" t="s">
        <v>2902</v>
      </c>
      <c r="D326" s="4">
        <v>43190</v>
      </c>
      <c r="E326" t="s">
        <v>1203</v>
      </c>
      <c r="F326" t="s">
        <v>2903</v>
      </c>
      <c r="G326">
        <v>5934</v>
      </c>
      <c r="H326">
        <v>0.21</v>
      </c>
      <c r="I326">
        <v>4.37</v>
      </c>
      <c r="J326">
        <v>4.5599999999999996</v>
      </c>
      <c r="K326" t="s">
        <v>2904</v>
      </c>
      <c r="L326">
        <v>-1.56</v>
      </c>
      <c r="M326" t="s">
        <v>2905</v>
      </c>
      <c r="N326" t="s">
        <v>2906</v>
      </c>
      <c r="O326" t="s">
        <v>2905</v>
      </c>
      <c r="P326" t="s">
        <v>2907</v>
      </c>
      <c r="Q326">
        <v>-1.67</v>
      </c>
      <c r="R326" t="s">
        <v>1359</v>
      </c>
      <c r="S326">
        <v>2</v>
      </c>
      <c r="T326">
        <v>57.69</v>
      </c>
      <c r="U326" t="s">
        <v>2908</v>
      </c>
      <c r="V326" t="s">
        <v>448</v>
      </c>
      <c r="W326" t="s">
        <v>2909</v>
      </c>
      <c r="X326">
        <v>4.5599999999999996</v>
      </c>
      <c r="Y326" t="s">
        <v>2910</v>
      </c>
      <c r="Z326" t="s">
        <v>2911</v>
      </c>
      <c r="AA326" t="s">
        <v>2912</v>
      </c>
      <c r="AB326">
        <v>5.22</v>
      </c>
      <c r="AC326" t="s">
        <v>2913</v>
      </c>
      <c r="AD326">
        <v>92.59</v>
      </c>
      <c r="AE326" t="s">
        <v>136</v>
      </c>
      <c r="AF326">
        <v>1.01</v>
      </c>
      <c r="AG326">
        <v>0</v>
      </c>
      <c r="AH326">
        <v>0</v>
      </c>
      <c r="AI326" s="4">
        <v>42545</v>
      </c>
    </row>
    <row r="327" spans="1:35">
      <c r="A327">
        <v>326</v>
      </c>
      <c r="B327" t="str">
        <f>"300003"</f>
        <v>300003</v>
      </c>
      <c r="C327" t="s">
        <v>2914</v>
      </c>
      <c r="D327" s="4">
        <v>43190</v>
      </c>
      <c r="E327" t="s">
        <v>1678</v>
      </c>
      <c r="F327" t="s">
        <v>1384</v>
      </c>
      <c r="G327" t="s">
        <v>2636</v>
      </c>
      <c r="H327">
        <v>0.17</v>
      </c>
      <c r="I327">
        <v>3.47</v>
      </c>
      <c r="J327">
        <v>4.55</v>
      </c>
      <c r="K327" t="s">
        <v>161</v>
      </c>
      <c r="L327">
        <v>39.18</v>
      </c>
      <c r="M327" t="s">
        <v>2915</v>
      </c>
      <c r="N327" t="s">
        <v>2916</v>
      </c>
      <c r="O327" t="s">
        <v>241</v>
      </c>
      <c r="P327" t="s">
        <v>1791</v>
      </c>
      <c r="Q327">
        <v>30.7</v>
      </c>
      <c r="R327" t="s">
        <v>693</v>
      </c>
      <c r="S327">
        <v>1.81</v>
      </c>
      <c r="T327">
        <v>72.55</v>
      </c>
      <c r="U327" t="s">
        <v>311</v>
      </c>
      <c r="V327" t="s">
        <v>2917</v>
      </c>
      <c r="W327" t="s">
        <v>613</v>
      </c>
      <c r="X327">
        <v>4.55</v>
      </c>
      <c r="Y327" t="s">
        <v>2286</v>
      </c>
      <c r="Z327" t="s">
        <v>785</v>
      </c>
      <c r="AA327" t="s">
        <v>260</v>
      </c>
      <c r="AB327">
        <v>9.76</v>
      </c>
      <c r="AC327" t="s">
        <v>2918</v>
      </c>
      <c r="AD327">
        <v>48.25</v>
      </c>
      <c r="AE327" t="s">
        <v>1209</v>
      </c>
      <c r="AF327">
        <v>0.24</v>
      </c>
      <c r="AG327">
        <v>0</v>
      </c>
      <c r="AH327">
        <v>0</v>
      </c>
      <c r="AI327" s="4">
        <v>40116</v>
      </c>
    </row>
    <row r="328" spans="1:35">
      <c r="A328">
        <v>327</v>
      </c>
      <c r="B328" t="str">
        <f>"002739"</f>
        <v>002739</v>
      </c>
      <c r="C328" t="s">
        <v>2919</v>
      </c>
      <c r="D328" s="4">
        <v>43190</v>
      </c>
      <c r="E328" t="s">
        <v>192</v>
      </c>
      <c r="F328" t="s">
        <v>354</v>
      </c>
      <c r="G328" t="s">
        <v>1228</v>
      </c>
      <c r="H328">
        <v>0.46</v>
      </c>
      <c r="I328">
        <v>10.28</v>
      </c>
      <c r="J328">
        <v>4.55</v>
      </c>
      <c r="K328" t="s">
        <v>2600</v>
      </c>
      <c r="L328">
        <v>27.57</v>
      </c>
      <c r="M328" t="s">
        <v>1444</v>
      </c>
      <c r="N328" t="s">
        <v>2920</v>
      </c>
      <c r="O328" t="s">
        <v>2921</v>
      </c>
      <c r="P328" t="s">
        <v>2922</v>
      </c>
      <c r="Q328">
        <v>14.07</v>
      </c>
      <c r="R328" t="s">
        <v>2923</v>
      </c>
      <c r="S328">
        <v>4.84</v>
      </c>
      <c r="T328">
        <v>32.42</v>
      </c>
      <c r="U328" t="s">
        <v>2924</v>
      </c>
      <c r="V328" t="s">
        <v>2749</v>
      </c>
      <c r="W328" t="s">
        <v>774</v>
      </c>
      <c r="X328">
        <v>4.55</v>
      </c>
      <c r="Y328" t="s">
        <v>2066</v>
      </c>
      <c r="Z328" t="s">
        <v>2925</v>
      </c>
      <c r="AA328" t="s">
        <v>728</v>
      </c>
      <c r="AB328">
        <v>5.0599999999999996</v>
      </c>
      <c r="AC328" t="s">
        <v>1465</v>
      </c>
      <c r="AD328">
        <v>52.15</v>
      </c>
      <c r="AE328" t="s">
        <v>2005</v>
      </c>
      <c r="AF328">
        <v>3.91</v>
      </c>
      <c r="AG328">
        <v>0</v>
      </c>
      <c r="AH328">
        <v>0</v>
      </c>
      <c r="AI328" s="4">
        <v>42026</v>
      </c>
    </row>
    <row r="329" spans="1:35">
      <c r="A329">
        <v>328</v>
      </c>
      <c r="B329" t="str">
        <f>"601678"</f>
        <v>601678</v>
      </c>
      <c r="C329" t="s">
        <v>2926</v>
      </c>
      <c r="D329" s="4">
        <v>43190</v>
      </c>
      <c r="E329" t="s">
        <v>833</v>
      </c>
      <c r="F329" t="s">
        <v>833</v>
      </c>
      <c r="G329" t="s">
        <v>2927</v>
      </c>
      <c r="H329">
        <v>0.17</v>
      </c>
      <c r="I329">
        <v>3.53</v>
      </c>
      <c r="J329">
        <v>4.54</v>
      </c>
      <c r="K329" t="s">
        <v>303</v>
      </c>
      <c r="L329">
        <v>11.96</v>
      </c>
      <c r="M329" t="s">
        <v>1918</v>
      </c>
      <c r="N329" t="s">
        <v>2928</v>
      </c>
      <c r="O329" t="s">
        <v>314</v>
      </c>
      <c r="P329" t="s">
        <v>81</v>
      </c>
      <c r="Q329">
        <v>50.73</v>
      </c>
      <c r="R329" t="s">
        <v>426</v>
      </c>
      <c r="S329">
        <v>1.6</v>
      </c>
      <c r="T329">
        <v>29.46</v>
      </c>
      <c r="U329" t="s">
        <v>900</v>
      </c>
      <c r="V329" t="s">
        <v>223</v>
      </c>
      <c r="W329" t="s">
        <v>524</v>
      </c>
      <c r="X329">
        <v>4.54</v>
      </c>
      <c r="Y329" t="s">
        <v>2092</v>
      </c>
      <c r="Z329" t="s">
        <v>1908</v>
      </c>
      <c r="AA329" t="s">
        <v>876</v>
      </c>
      <c r="AB329">
        <v>1.71</v>
      </c>
      <c r="AC329" t="s">
        <v>2300</v>
      </c>
      <c r="AD329">
        <v>54.1</v>
      </c>
      <c r="AE329" t="s">
        <v>1082</v>
      </c>
      <c r="AF329">
        <v>0.59</v>
      </c>
      <c r="AG329">
        <v>0</v>
      </c>
      <c r="AH329">
        <v>0</v>
      </c>
      <c r="AI329" s="4">
        <v>40232</v>
      </c>
    </row>
    <row r="330" spans="1:35">
      <c r="A330">
        <v>329</v>
      </c>
      <c r="B330" t="str">
        <f>"600789"</f>
        <v>600789</v>
      </c>
      <c r="C330" t="s">
        <v>2929</v>
      </c>
      <c r="D330" s="4">
        <v>43190</v>
      </c>
      <c r="E330" t="s">
        <v>883</v>
      </c>
      <c r="F330" t="s">
        <v>1965</v>
      </c>
      <c r="G330">
        <v>5628</v>
      </c>
      <c r="H330">
        <v>0.13</v>
      </c>
      <c r="I330">
        <v>4.32</v>
      </c>
      <c r="J330">
        <v>4.53</v>
      </c>
      <c r="K330" t="s">
        <v>2930</v>
      </c>
      <c r="L330">
        <v>38.46</v>
      </c>
      <c r="M330" t="s">
        <v>2931</v>
      </c>
      <c r="N330" t="s">
        <v>2932</v>
      </c>
      <c r="O330" t="s">
        <v>2933</v>
      </c>
      <c r="P330" t="s">
        <v>2934</v>
      </c>
      <c r="Q330">
        <v>589.15</v>
      </c>
      <c r="R330" t="s">
        <v>682</v>
      </c>
      <c r="S330">
        <v>0.33</v>
      </c>
      <c r="T330">
        <v>31.97</v>
      </c>
      <c r="U330" t="s">
        <v>2935</v>
      </c>
      <c r="V330" t="s">
        <v>2700</v>
      </c>
      <c r="W330" t="s">
        <v>646</v>
      </c>
      <c r="X330">
        <v>4.53</v>
      </c>
      <c r="Y330" t="s">
        <v>1488</v>
      </c>
      <c r="Z330" t="s">
        <v>308</v>
      </c>
      <c r="AA330" t="s">
        <v>161</v>
      </c>
      <c r="AB330">
        <v>2.0299999999999998</v>
      </c>
      <c r="AC330" t="s">
        <v>1158</v>
      </c>
      <c r="AD330">
        <v>45.71</v>
      </c>
      <c r="AE330" t="s">
        <v>187</v>
      </c>
      <c r="AF330">
        <v>2.77</v>
      </c>
      <c r="AG330">
        <v>0</v>
      </c>
      <c r="AH330">
        <v>0</v>
      </c>
      <c r="AI330" s="4">
        <v>35487</v>
      </c>
    </row>
    <row r="331" spans="1:35">
      <c r="A331">
        <v>330</v>
      </c>
      <c r="B331" t="str">
        <f>"002601"</f>
        <v>002601</v>
      </c>
      <c r="C331" t="s">
        <v>2936</v>
      </c>
      <c r="D331" s="4">
        <v>43190</v>
      </c>
      <c r="E331" t="s">
        <v>712</v>
      </c>
      <c r="F331" t="s">
        <v>475</v>
      </c>
      <c r="G331" t="s">
        <v>2449</v>
      </c>
      <c r="H331">
        <v>0.28999999999999998</v>
      </c>
      <c r="I331">
        <v>6.31</v>
      </c>
      <c r="J331">
        <v>4.53</v>
      </c>
      <c r="K331" t="s">
        <v>512</v>
      </c>
      <c r="L331">
        <v>9.5399999999999991</v>
      </c>
      <c r="M331" t="s">
        <v>2010</v>
      </c>
      <c r="N331" t="s">
        <v>2937</v>
      </c>
      <c r="O331" t="s">
        <v>1249</v>
      </c>
      <c r="P331" t="s">
        <v>2938</v>
      </c>
      <c r="Q331">
        <v>2.17</v>
      </c>
      <c r="R331" t="s">
        <v>1000</v>
      </c>
      <c r="S331">
        <v>0.43</v>
      </c>
      <c r="T331">
        <v>41.31</v>
      </c>
      <c r="U331" t="s">
        <v>1337</v>
      </c>
      <c r="V331" t="s">
        <v>709</v>
      </c>
      <c r="W331" t="s">
        <v>1104</v>
      </c>
      <c r="X331">
        <v>4.53</v>
      </c>
      <c r="Y331" t="s">
        <v>1024</v>
      </c>
      <c r="Z331" t="s">
        <v>2300</v>
      </c>
      <c r="AA331" t="s">
        <v>1025</v>
      </c>
      <c r="AB331">
        <v>1.93</v>
      </c>
      <c r="AC331" t="s">
        <v>229</v>
      </c>
      <c r="AD331">
        <v>65.349999999999994</v>
      </c>
      <c r="AE331" t="s">
        <v>411</v>
      </c>
      <c r="AF331">
        <v>4.7</v>
      </c>
      <c r="AG331">
        <v>0</v>
      </c>
      <c r="AH331">
        <v>0</v>
      </c>
      <c r="AI331" s="4">
        <v>40739</v>
      </c>
    </row>
    <row r="332" spans="1:35">
      <c r="A332">
        <v>331</v>
      </c>
      <c r="B332" t="str">
        <f>"603259"</f>
        <v>603259</v>
      </c>
      <c r="C332" t="s">
        <v>2939</v>
      </c>
      <c r="D332" s="4">
        <v>43190</v>
      </c>
      <c r="E332" t="s">
        <v>919</v>
      </c>
      <c r="F332" t="s">
        <v>1119</v>
      </c>
      <c r="G332">
        <v>0</v>
      </c>
      <c r="H332">
        <v>0.28000000000000003</v>
      </c>
      <c r="I332">
        <v>8.43</v>
      </c>
      <c r="J332">
        <v>4.51</v>
      </c>
      <c r="K332" t="s">
        <v>420</v>
      </c>
      <c r="L332">
        <v>21.13</v>
      </c>
      <c r="M332" t="s">
        <v>340</v>
      </c>
      <c r="N332" t="s">
        <v>2940</v>
      </c>
      <c r="O332" t="s">
        <v>160</v>
      </c>
      <c r="P332" t="s">
        <v>1699</v>
      </c>
      <c r="Q332">
        <v>-13.72</v>
      </c>
      <c r="R332" t="s">
        <v>2280</v>
      </c>
      <c r="S332">
        <v>2.41</v>
      </c>
      <c r="T332">
        <v>39.1</v>
      </c>
      <c r="U332" t="s">
        <v>465</v>
      </c>
      <c r="V332" t="s">
        <v>572</v>
      </c>
      <c r="W332" t="s">
        <v>2941</v>
      </c>
      <c r="X332">
        <v>4.51</v>
      </c>
      <c r="Y332" t="s">
        <v>110</v>
      </c>
      <c r="Z332" t="s">
        <v>737</v>
      </c>
      <c r="AA332" t="s">
        <v>162</v>
      </c>
      <c r="AB332">
        <v>11.73</v>
      </c>
      <c r="AC332" t="s">
        <v>2942</v>
      </c>
      <c r="AD332">
        <v>52.37</v>
      </c>
      <c r="AE332" t="s">
        <v>1161</v>
      </c>
      <c r="AF332">
        <v>4.8600000000000003</v>
      </c>
      <c r="AG332">
        <v>0</v>
      </c>
      <c r="AH332">
        <v>0</v>
      </c>
      <c r="AI332" s="4">
        <v>43228</v>
      </c>
    </row>
    <row r="333" spans="1:35">
      <c r="A333">
        <v>332</v>
      </c>
      <c r="B333" t="str">
        <f>"300415"</f>
        <v>300415</v>
      </c>
      <c r="C333" t="s">
        <v>2943</v>
      </c>
      <c r="D333" s="4">
        <v>43190</v>
      </c>
      <c r="E333" t="s">
        <v>1295</v>
      </c>
      <c r="F333" t="s">
        <v>296</v>
      </c>
      <c r="G333" t="s">
        <v>1691</v>
      </c>
      <c r="H333">
        <v>0.11</v>
      </c>
      <c r="I333">
        <v>2.59</v>
      </c>
      <c r="J333">
        <v>4.51</v>
      </c>
      <c r="K333" t="s">
        <v>1695</v>
      </c>
      <c r="L333">
        <v>14.56</v>
      </c>
      <c r="M333" t="s">
        <v>2944</v>
      </c>
      <c r="N333" t="s">
        <v>2945</v>
      </c>
      <c r="O333" t="s">
        <v>2946</v>
      </c>
      <c r="P333" t="s">
        <v>2947</v>
      </c>
      <c r="Q333">
        <v>-5.17</v>
      </c>
      <c r="R333" t="s">
        <v>2739</v>
      </c>
      <c r="S333">
        <v>1.35</v>
      </c>
      <c r="T333">
        <v>36.409999999999997</v>
      </c>
      <c r="U333" t="s">
        <v>710</v>
      </c>
      <c r="V333" t="s">
        <v>983</v>
      </c>
      <c r="W333" t="s">
        <v>1706</v>
      </c>
      <c r="X333">
        <v>4.51</v>
      </c>
      <c r="Y333" t="s">
        <v>162</v>
      </c>
      <c r="Z333" t="s">
        <v>164</v>
      </c>
      <c r="AA333" t="s">
        <v>603</v>
      </c>
      <c r="AB333">
        <v>3.45</v>
      </c>
      <c r="AC333" t="s">
        <v>147</v>
      </c>
      <c r="AD333">
        <v>43.42</v>
      </c>
      <c r="AE333" t="s">
        <v>2948</v>
      </c>
      <c r="AF333">
        <v>0.08</v>
      </c>
      <c r="AG333">
        <v>0</v>
      </c>
      <c r="AH333">
        <v>0</v>
      </c>
      <c r="AI333" s="4">
        <v>42027</v>
      </c>
    </row>
    <row r="334" spans="1:35">
      <c r="A334">
        <v>333</v>
      </c>
      <c r="B334" t="str">
        <f>"300506"</f>
        <v>300506</v>
      </c>
      <c r="C334" t="s">
        <v>2949</v>
      </c>
      <c r="D334" s="4">
        <v>43190</v>
      </c>
      <c r="E334" t="s">
        <v>1594</v>
      </c>
      <c r="F334" t="s">
        <v>595</v>
      </c>
      <c r="G334">
        <v>3534</v>
      </c>
      <c r="H334">
        <v>0.1</v>
      </c>
      <c r="I334">
        <v>4.7300000000000004</v>
      </c>
      <c r="J334">
        <v>4.5</v>
      </c>
      <c r="K334" t="s">
        <v>452</v>
      </c>
      <c r="L334">
        <v>62.44</v>
      </c>
      <c r="M334" t="s">
        <v>2950</v>
      </c>
      <c r="N334">
        <v>0</v>
      </c>
      <c r="O334" t="s">
        <v>2951</v>
      </c>
      <c r="P334" t="s">
        <v>2952</v>
      </c>
      <c r="Q334">
        <v>69.680000000000007</v>
      </c>
      <c r="R334" t="s">
        <v>2953</v>
      </c>
      <c r="S334">
        <v>1.1499999999999999</v>
      </c>
      <c r="T334">
        <v>50.13</v>
      </c>
      <c r="U334" t="s">
        <v>867</v>
      </c>
      <c r="V334" t="s">
        <v>1223</v>
      </c>
      <c r="W334" t="s">
        <v>2954</v>
      </c>
      <c r="X334">
        <v>4.5</v>
      </c>
      <c r="Y334" t="s">
        <v>1084</v>
      </c>
      <c r="Z334" t="s">
        <v>2955</v>
      </c>
      <c r="AA334" t="s">
        <v>2956</v>
      </c>
      <c r="AB334">
        <v>4.07</v>
      </c>
      <c r="AC334" t="s">
        <v>2693</v>
      </c>
      <c r="AD334">
        <v>44.29</v>
      </c>
      <c r="AE334" t="s">
        <v>2957</v>
      </c>
      <c r="AF334">
        <v>2.4500000000000002</v>
      </c>
      <c r="AG334">
        <v>0</v>
      </c>
      <c r="AH334">
        <v>0</v>
      </c>
      <c r="AI334" s="4">
        <v>42453</v>
      </c>
    </row>
    <row r="335" spans="1:35">
      <c r="A335">
        <v>334</v>
      </c>
      <c r="B335" t="str">
        <f>"000965"</f>
        <v>000965</v>
      </c>
      <c r="C335" t="s">
        <v>2958</v>
      </c>
      <c r="D335" s="4">
        <v>43190</v>
      </c>
      <c r="E335" t="s">
        <v>323</v>
      </c>
      <c r="F335" t="s">
        <v>323</v>
      </c>
      <c r="G335" t="s">
        <v>2572</v>
      </c>
      <c r="H335">
        <v>0.21</v>
      </c>
      <c r="I335">
        <v>4.82</v>
      </c>
      <c r="J335">
        <v>4.4800000000000004</v>
      </c>
      <c r="K335" t="s">
        <v>2959</v>
      </c>
      <c r="L335">
        <v>101.27</v>
      </c>
      <c r="M335" t="s">
        <v>824</v>
      </c>
      <c r="N335" t="s">
        <v>2960</v>
      </c>
      <c r="O335" t="s">
        <v>824</v>
      </c>
      <c r="P335" t="s">
        <v>1999</v>
      </c>
      <c r="Q335">
        <v>32.94</v>
      </c>
      <c r="R335" t="s">
        <v>2291</v>
      </c>
      <c r="S335">
        <v>2.0499999999999998</v>
      </c>
      <c r="T335">
        <v>57.61</v>
      </c>
      <c r="U335" t="s">
        <v>1254</v>
      </c>
      <c r="V335" t="s">
        <v>2495</v>
      </c>
      <c r="W335" t="s">
        <v>1119</v>
      </c>
      <c r="X335">
        <v>4.4800000000000004</v>
      </c>
      <c r="Y335" t="s">
        <v>1231</v>
      </c>
      <c r="Z335" t="s">
        <v>223</v>
      </c>
      <c r="AA335" t="s">
        <v>243</v>
      </c>
      <c r="AB335">
        <v>0.91</v>
      </c>
      <c r="AC335" t="s">
        <v>2961</v>
      </c>
      <c r="AD335">
        <v>53.46</v>
      </c>
      <c r="AE335" t="s">
        <v>1752</v>
      </c>
      <c r="AF335">
        <v>1.65</v>
      </c>
      <c r="AG335">
        <v>0</v>
      </c>
      <c r="AH335">
        <v>0</v>
      </c>
      <c r="AI335" s="4">
        <v>36622</v>
      </c>
    </row>
    <row r="336" spans="1:35">
      <c r="A336">
        <v>335</v>
      </c>
      <c r="B336" t="str">
        <f>"603997"</f>
        <v>603997</v>
      </c>
      <c r="C336" t="s">
        <v>2962</v>
      </c>
      <c r="D336" s="4">
        <v>43190</v>
      </c>
      <c r="E336" t="s">
        <v>448</v>
      </c>
      <c r="F336" t="s">
        <v>569</v>
      </c>
      <c r="G336" t="s">
        <v>2963</v>
      </c>
      <c r="H336">
        <v>0.12</v>
      </c>
      <c r="I336">
        <v>2.5499999999999998</v>
      </c>
      <c r="J336">
        <v>4.46</v>
      </c>
      <c r="K336" t="s">
        <v>44</v>
      </c>
      <c r="L336">
        <v>26.18</v>
      </c>
      <c r="M336" t="s">
        <v>2964</v>
      </c>
      <c r="N336">
        <v>9667</v>
      </c>
      <c r="O336" t="s">
        <v>2965</v>
      </c>
      <c r="P336" t="s">
        <v>2966</v>
      </c>
      <c r="Q336">
        <v>6.53</v>
      </c>
      <c r="R336" t="s">
        <v>1173</v>
      </c>
      <c r="S336">
        <v>1.05</v>
      </c>
      <c r="T336">
        <v>33.76</v>
      </c>
      <c r="U336" t="s">
        <v>242</v>
      </c>
      <c r="V336" t="s">
        <v>820</v>
      </c>
      <c r="W336" t="s">
        <v>348</v>
      </c>
      <c r="X336">
        <v>4.46</v>
      </c>
      <c r="Y336" t="s">
        <v>542</v>
      </c>
      <c r="Z336" t="s">
        <v>347</v>
      </c>
      <c r="AA336" t="s">
        <v>2967</v>
      </c>
      <c r="AB336">
        <v>4.26</v>
      </c>
      <c r="AC336" t="s">
        <v>1455</v>
      </c>
      <c r="AD336">
        <v>77.150000000000006</v>
      </c>
      <c r="AE336" t="s">
        <v>668</v>
      </c>
      <c r="AF336">
        <v>0.38</v>
      </c>
      <c r="AG336">
        <v>0</v>
      </c>
      <c r="AH336">
        <v>0</v>
      </c>
      <c r="AI336" s="4">
        <v>42065</v>
      </c>
    </row>
    <row r="337" spans="1:35">
      <c r="A337">
        <v>336</v>
      </c>
      <c r="B337" t="str">
        <f>"600273"</f>
        <v>600273</v>
      </c>
      <c r="C337" t="s">
        <v>2968</v>
      </c>
      <c r="D337" s="4">
        <v>43190</v>
      </c>
      <c r="E337" t="s">
        <v>141</v>
      </c>
      <c r="F337" t="s">
        <v>1025</v>
      </c>
      <c r="G337" t="s">
        <v>2969</v>
      </c>
      <c r="H337">
        <v>0.2</v>
      </c>
      <c r="I337">
        <v>4.32</v>
      </c>
      <c r="J337">
        <v>4.45</v>
      </c>
      <c r="K337" t="s">
        <v>971</v>
      </c>
      <c r="L337">
        <v>3.82</v>
      </c>
      <c r="M337" t="s">
        <v>1594</v>
      </c>
      <c r="N337" t="s">
        <v>2970</v>
      </c>
      <c r="O337" t="s">
        <v>1378</v>
      </c>
      <c r="P337" t="s">
        <v>205</v>
      </c>
      <c r="Q337">
        <v>23.47</v>
      </c>
      <c r="R337" t="s">
        <v>418</v>
      </c>
      <c r="S337">
        <v>1.1599999999999999</v>
      </c>
      <c r="T337">
        <v>31.44</v>
      </c>
      <c r="U337" t="s">
        <v>2406</v>
      </c>
      <c r="V337" t="s">
        <v>249</v>
      </c>
      <c r="W337" t="s">
        <v>113</v>
      </c>
      <c r="X337">
        <v>4.45</v>
      </c>
      <c r="Y337" t="s">
        <v>516</v>
      </c>
      <c r="Z337" t="s">
        <v>833</v>
      </c>
      <c r="AA337" t="s">
        <v>1967</v>
      </c>
      <c r="AB337">
        <v>1.91</v>
      </c>
      <c r="AC337" t="s">
        <v>247</v>
      </c>
      <c r="AD337">
        <v>78.05</v>
      </c>
      <c r="AE337" t="s">
        <v>238</v>
      </c>
      <c r="AF337">
        <v>1.97</v>
      </c>
      <c r="AG337">
        <v>0</v>
      </c>
      <c r="AH337">
        <v>0</v>
      </c>
      <c r="AI337" s="4">
        <v>37799</v>
      </c>
    </row>
    <row r="338" spans="1:35">
      <c r="A338">
        <v>337</v>
      </c>
      <c r="B338" t="str">
        <f>"002875"</f>
        <v>002875</v>
      </c>
      <c r="C338" t="s">
        <v>2971</v>
      </c>
      <c r="D338" s="4">
        <v>43190</v>
      </c>
      <c r="E338" t="s">
        <v>2306</v>
      </c>
      <c r="F338" t="s">
        <v>2972</v>
      </c>
      <c r="G338">
        <v>2153</v>
      </c>
      <c r="H338">
        <v>0.27</v>
      </c>
      <c r="I338">
        <v>5.99</v>
      </c>
      <c r="J338">
        <v>4.45</v>
      </c>
      <c r="K338" t="s">
        <v>145</v>
      </c>
      <c r="L338">
        <v>21.72</v>
      </c>
      <c r="M338" t="s">
        <v>2973</v>
      </c>
      <c r="N338" t="s">
        <v>2974</v>
      </c>
      <c r="O338" t="s">
        <v>2975</v>
      </c>
      <c r="P338" t="s">
        <v>2976</v>
      </c>
      <c r="Q338">
        <v>6.31</v>
      </c>
      <c r="R338" t="s">
        <v>134</v>
      </c>
      <c r="S338">
        <v>1.79</v>
      </c>
      <c r="T338">
        <v>58.98</v>
      </c>
      <c r="U338" t="s">
        <v>521</v>
      </c>
      <c r="V338" t="s">
        <v>2977</v>
      </c>
      <c r="W338" t="s">
        <v>863</v>
      </c>
      <c r="X338">
        <v>4.45</v>
      </c>
      <c r="Y338" t="s">
        <v>203</v>
      </c>
      <c r="Z338" t="s">
        <v>203</v>
      </c>
      <c r="AA338" t="s">
        <v>2978</v>
      </c>
      <c r="AB338">
        <v>2.5</v>
      </c>
      <c r="AC338" t="s">
        <v>1644</v>
      </c>
      <c r="AD338">
        <v>76.8</v>
      </c>
      <c r="AE338" t="s">
        <v>1059</v>
      </c>
      <c r="AF338">
        <v>3.17</v>
      </c>
      <c r="AG338">
        <v>0</v>
      </c>
      <c r="AH338">
        <v>0</v>
      </c>
      <c r="AI338" s="4">
        <v>42887</v>
      </c>
    </row>
    <row r="339" spans="1:35">
      <c r="A339">
        <v>338</v>
      </c>
      <c r="B339" t="str">
        <f>"601636"</f>
        <v>601636</v>
      </c>
      <c r="C339" t="s">
        <v>2979</v>
      </c>
      <c r="D339" s="4">
        <v>43190</v>
      </c>
      <c r="E339" t="s">
        <v>1908</v>
      </c>
      <c r="F339" t="s">
        <v>1504</v>
      </c>
      <c r="G339" t="s">
        <v>2980</v>
      </c>
      <c r="H339">
        <v>0.12</v>
      </c>
      <c r="I339">
        <v>2.4700000000000002</v>
      </c>
      <c r="J339">
        <v>4.4400000000000004</v>
      </c>
      <c r="K339" t="s">
        <v>298</v>
      </c>
      <c r="L339">
        <v>1.44</v>
      </c>
      <c r="M339" t="s">
        <v>1028</v>
      </c>
      <c r="N339" t="s">
        <v>2981</v>
      </c>
      <c r="O339" t="s">
        <v>138</v>
      </c>
      <c r="P339" t="s">
        <v>1320</v>
      </c>
      <c r="Q339">
        <v>31.26</v>
      </c>
      <c r="R339" t="s">
        <v>1546</v>
      </c>
      <c r="S339">
        <v>0.78</v>
      </c>
      <c r="T339">
        <v>33.86</v>
      </c>
      <c r="U339" t="s">
        <v>2504</v>
      </c>
      <c r="V339" t="s">
        <v>1516</v>
      </c>
      <c r="W339" t="s">
        <v>2801</v>
      </c>
      <c r="X339">
        <v>4.4400000000000004</v>
      </c>
      <c r="Y339" t="s">
        <v>2982</v>
      </c>
      <c r="Z339" t="s">
        <v>306</v>
      </c>
      <c r="AA339" t="s">
        <v>2028</v>
      </c>
      <c r="AB339">
        <v>1.93</v>
      </c>
      <c r="AC339" t="s">
        <v>1986</v>
      </c>
      <c r="AD339">
        <v>56.45</v>
      </c>
      <c r="AE339" t="s">
        <v>1101</v>
      </c>
      <c r="AF339">
        <v>0.68</v>
      </c>
      <c r="AG339">
        <v>0</v>
      </c>
      <c r="AH339">
        <v>0</v>
      </c>
      <c r="AI339" s="4">
        <v>40767</v>
      </c>
    </row>
    <row r="340" spans="1:35">
      <c r="A340">
        <v>339</v>
      </c>
      <c r="B340" t="str">
        <f>"002233"</f>
        <v>002233</v>
      </c>
      <c r="C340" t="s">
        <v>2983</v>
      </c>
      <c r="D340" s="4">
        <v>43190</v>
      </c>
      <c r="E340" t="s">
        <v>1033</v>
      </c>
      <c r="F340" t="s">
        <v>2984</v>
      </c>
      <c r="G340" t="s">
        <v>2985</v>
      </c>
      <c r="H340">
        <v>0.31</v>
      </c>
      <c r="I340">
        <v>6.87</v>
      </c>
      <c r="J340">
        <v>4.4400000000000004</v>
      </c>
      <c r="K340" t="s">
        <v>405</v>
      </c>
      <c r="L340">
        <v>34.9</v>
      </c>
      <c r="M340" t="s">
        <v>999</v>
      </c>
      <c r="N340" t="s">
        <v>2986</v>
      </c>
      <c r="O340" t="s">
        <v>1358</v>
      </c>
      <c r="P340" t="s">
        <v>1035</v>
      </c>
      <c r="Q340">
        <v>173.69</v>
      </c>
      <c r="R340" t="s">
        <v>2535</v>
      </c>
      <c r="S340">
        <v>2.4</v>
      </c>
      <c r="T340">
        <v>43.89</v>
      </c>
      <c r="U340" t="s">
        <v>2987</v>
      </c>
      <c r="V340" t="s">
        <v>430</v>
      </c>
      <c r="W340" t="s">
        <v>1832</v>
      </c>
      <c r="X340">
        <v>4.4400000000000004</v>
      </c>
      <c r="Y340" t="s">
        <v>924</v>
      </c>
      <c r="Z340" t="s">
        <v>1082</v>
      </c>
      <c r="AA340" t="s">
        <v>2988</v>
      </c>
      <c r="AB340">
        <v>1.6</v>
      </c>
      <c r="AC340" t="s">
        <v>873</v>
      </c>
      <c r="AD340">
        <v>86.37</v>
      </c>
      <c r="AE340" t="s">
        <v>2989</v>
      </c>
      <c r="AF340">
        <v>3.13</v>
      </c>
      <c r="AG340">
        <v>0</v>
      </c>
      <c r="AH340">
        <v>0</v>
      </c>
      <c r="AI340" s="4">
        <v>39584</v>
      </c>
    </row>
    <row r="341" spans="1:35">
      <c r="A341">
        <v>340</v>
      </c>
      <c r="B341" t="str">
        <f>"603663"</f>
        <v>603663</v>
      </c>
      <c r="C341" t="s">
        <v>2990</v>
      </c>
      <c r="D341" s="4">
        <v>43190</v>
      </c>
      <c r="E341" t="s">
        <v>372</v>
      </c>
      <c r="F341" t="s">
        <v>2991</v>
      </c>
      <c r="G341">
        <v>3162</v>
      </c>
      <c r="H341">
        <v>0.16</v>
      </c>
      <c r="I341">
        <v>3.46</v>
      </c>
      <c r="J341">
        <v>4.43</v>
      </c>
      <c r="K341" t="s">
        <v>1724</v>
      </c>
      <c r="L341">
        <v>66.650000000000006</v>
      </c>
      <c r="M341" t="s">
        <v>2992</v>
      </c>
      <c r="N341" t="s">
        <v>2993</v>
      </c>
      <c r="O341" t="s">
        <v>2994</v>
      </c>
      <c r="P341" t="s">
        <v>2995</v>
      </c>
      <c r="Q341">
        <v>109.93</v>
      </c>
      <c r="R341" t="s">
        <v>368</v>
      </c>
      <c r="S341">
        <v>1.1100000000000001</v>
      </c>
      <c r="T341">
        <v>28.71</v>
      </c>
      <c r="U341" t="s">
        <v>2996</v>
      </c>
      <c r="V341" t="s">
        <v>1968</v>
      </c>
      <c r="W341" t="s">
        <v>2997</v>
      </c>
      <c r="X341">
        <v>4.43</v>
      </c>
      <c r="Y341" t="s">
        <v>86</v>
      </c>
      <c r="Z341" t="s">
        <v>209</v>
      </c>
      <c r="AA341" t="s">
        <v>2998</v>
      </c>
      <c r="AB341">
        <v>4.82</v>
      </c>
      <c r="AC341" t="s">
        <v>2036</v>
      </c>
      <c r="AD341">
        <v>79.239999999999995</v>
      </c>
      <c r="AE341" t="s">
        <v>368</v>
      </c>
      <c r="AF341">
        <v>1.26</v>
      </c>
      <c r="AG341">
        <v>0</v>
      </c>
      <c r="AH341">
        <v>0</v>
      </c>
      <c r="AI341" s="4">
        <v>42583</v>
      </c>
    </row>
    <row r="342" spans="1:35">
      <c r="A342">
        <v>341</v>
      </c>
      <c r="B342" t="str">
        <f>"300653"</f>
        <v>300653</v>
      </c>
      <c r="C342" t="s">
        <v>2999</v>
      </c>
      <c r="D342" s="4">
        <v>43190</v>
      </c>
      <c r="E342" t="s">
        <v>2575</v>
      </c>
      <c r="F342" t="s">
        <v>3000</v>
      </c>
      <c r="G342">
        <v>2213</v>
      </c>
      <c r="H342">
        <v>0.27</v>
      </c>
      <c r="I342">
        <v>5.81</v>
      </c>
      <c r="J342">
        <v>4.43</v>
      </c>
      <c r="K342" t="s">
        <v>3001</v>
      </c>
      <c r="L342">
        <v>28.79</v>
      </c>
      <c r="M342" t="s">
        <v>3002</v>
      </c>
      <c r="N342" t="s">
        <v>3003</v>
      </c>
      <c r="O342" t="s">
        <v>3004</v>
      </c>
      <c r="P342" t="s">
        <v>3005</v>
      </c>
      <c r="Q342">
        <v>181.29</v>
      </c>
      <c r="R342" t="s">
        <v>920</v>
      </c>
      <c r="S342">
        <v>1.28</v>
      </c>
      <c r="T342">
        <v>92.7</v>
      </c>
      <c r="U342" t="s">
        <v>1972</v>
      </c>
      <c r="V342" t="s">
        <v>3006</v>
      </c>
      <c r="W342" t="s">
        <v>3007</v>
      </c>
      <c r="X342">
        <v>4.43</v>
      </c>
      <c r="Y342" t="s">
        <v>3008</v>
      </c>
      <c r="Z342" t="s">
        <v>3009</v>
      </c>
      <c r="AA342" t="s">
        <v>3010</v>
      </c>
      <c r="AB342">
        <v>11.68</v>
      </c>
      <c r="AC342" t="s">
        <v>1128</v>
      </c>
      <c r="AD342">
        <v>91.42</v>
      </c>
      <c r="AE342" t="s">
        <v>3011</v>
      </c>
      <c r="AF342">
        <v>3.37</v>
      </c>
      <c r="AG342">
        <v>0</v>
      </c>
      <c r="AH342">
        <v>0</v>
      </c>
      <c r="AI342" s="4">
        <v>42871</v>
      </c>
    </row>
    <row r="343" spans="1:35">
      <c r="A343">
        <v>342</v>
      </c>
      <c r="B343" t="str">
        <f>"002624"</f>
        <v>002624</v>
      </c>
      <c r="C343" t="s">
        <v>3012</v>
      </c>
      <c r="D343" s="4">
        <v>43190</v>
      </c>
      <c r="E343" t="s">
        <v>840</v>
      </c>
      <c r="F343" t="s">
        <v>381</v>
      </c>
      <c r="G343" t="s">
        <v>3013</v>
      </c>
      <c r="H343">
        <v>0.27</v>
      </c>
      <c r="I343">
        <v>6.14</v>
      </c>
      <c r="J343">
        <v>4.43</v>
      </c>
      <c r="K343" t="s">
        <v>757</v>
      </c>
      <c r="L343">
        <v>-5.63</v>
      </c>
      <c r="M343" t="s">
        <v>2468</v>
      </c>
      <c r="N343" t="s">
        <v>3014</v>
      </c>
      <c r="O343" t="s">
        <v>324</v>
      </c>
      <c r="P343" t="s">
        <v>204</v>
      </c>
      <c r="Q343">
        <v>10.65</v>
      </c>
      <c r="R343" t="s">
        <v>2283</v>
      </c>
      <c r="S343">
        <v>2.37</v>
      </c>
      <c r="T343">
        <v>61.32</v>
      </c>
      <c r="U343" t="s">
        <v>1540</v>
      </c>
      <c r="V343" t="s">
        <v>466</v>
      </c>
      <c r="W343" t="s">
        <v>1918</v>
      </c>
      <c r="X343">
        <v>4.43</v>
      </c>
      <c r="Y343" t="s">
        <v>3015</v>
      </c>
      <c r="Z343" t="s">
        <v>3016</v>
      </c>
      <c r="AA343" t="s">
        <v>774</v>
      </c>
      <c r="AB343">
        <v>5.0599999999999996</v>
      </c>
      <c r="AC343" t="s">
        <v>1030</v>
      </c>
      <c r="AD343">
        <v>51.5</v>
      </c>
      <c r="AE343" t="s">
        <v>2093</v>
      </c>
      <c r="AF343">
        <v>2.71</v>
      </c>
      <c r="AG343">
        <v>0</v>
      </c>
      <c r="AH343">
        <v>0</v>
      </c>
      <c r="AI343" s="4">
        <v>40844</v>
      </c>
    </row>
    <row r="344" spans="1:35">
      <c r="A344">
        <v>343</v>
      </c>
      <c r="B344" t="str">
        <f>"000520"</f>
        <v>000520</v>
      </c>
      <c r="C344" t="s">
        <v>3017</v>
      </c>
      <c r="D344" s="4">
        <v>43190</v>
      </c>
      <c r="E344" t="s">
        <v>1094</v>
      </c>
      <c r="F344" t="s">
        <v>1094</v>
      </c>
      <c r="G344">
        <v>8497</v>
      </c>
      <c r="H344">
        <v>0.01</v>
      </c>
      <c r="I344">
        <v>0.33</v>
      </c>
      <c r="J344">
        <v>4.43</v>
      </c>
      <c r="K344" t="s">
        <v>1011</v>
      </c>
      <c r="L344">
        <v>17.579999999999998</v>
      </c>
      <c r="M344" t="s">
        <v>3018</v>
      </c>
      <c r="N344" t="s">
        <v>3019</v>
      </c>
      <c r="O344" t="s">
        <v>3020</v>
      </c>
      <c r="P344" t="s">
        <v>3021</v>
      </c>
      <c r="Q344">
        <v>241.91</v>
      </c>
      <c r="R344" t="s">
        <v>3022</v>
      </c>
      <c r="S344">
        <v>-2.86</v>
      </c>
      <c r="T344">
        <v>18.66</v>
      </c>
      <c r="U344" t="s">
        <v>858</v>
      </c>
      <c r="V344" t="s">
        <v>1768</v>
      </c>
      <c r="W344" t="s">
        <v>3023</v>
      </c>
      <c r="X344">
        <v>4.43</v>
      </c>
      <c r="Y344" t="s">
        <v>618</v>
      </c>
      <c r="Z344" t="s">
        <v>64</v>
      </c>
      <c r="AA344" t="s">
        <v>3024</v>
      </c>
      <c r="AB344">
        <v>8.33</v>
      </c>
      <c r="AC344" t="s">
        <v>976</v>
      </c>
      <c r="AD344">
        <v>61.7</v>
      </c>
      <c r="AE344" t="s">
        <v>419</v>
      </c>
      <c r="AF344">
        <v>1.94</v>
      </c>
      <c r="AG344">
        <v>0</v>
      </c>
      <c r="AH344">
        <v>0</v>
      </c>
      <c r="AI344" s="4">
        <v>34267</v>
      </c>
    </row>
    <row r="345" spans="1:35">
      <c r="A345">
        <v>344</v>
      </c>
      <c r="B345" t="str">
        <f>"601990"</f>
        <v>601990</v>
      </c>
      <c r="C345" t="s">
        <v>3025</v>
      </c>
      <c r="D345" s="4">
        <v>43100</v>
      </c>
      <c r="E345" t="s">
        <v>239</v>
      </c>
      <c r="F345" t="s">
        <v>1732</v>
      </c>
      <c r="G345" t="s">
        <v>3026</v>
      </c>
      <c r="H345">
        <v>0.15</v>
      </c>
      <c r="I345">
        <v>3.41</v>
      </c>
      <c r="J345">
        <v>4.42</v>
      </c>
      <c r="K345" t="s">
        <v>176</v>
      </c>
      <c r="L345">
        <v>-7.67</v>
      </c>
      <c r="M345" t="s">
        <v>858</v>
      </c>
      <c r="N345" t="s">
        <v>126</v>
      </c>
      <c r="O345" t="s">
        <v>318</v>
      </c>
      <c r="P345" t="s">
        <v>3027</v>
      </c>
      <c r="Q345">
        <v>-16.809999999999999</v>
      </c>
      <c r="R345" t="s">
        <v>300</v>
      </c>
      <c r="S345">
        <v>0.45</v>
      </c>
      <c r="T345">
        <v>0</v>
      </c>
      <c r="U345" t="s">
        <v>1468</v>
      </c>
      <c r="V345">
        <v>0</v>
      </c>
      <c r="W345" t="s">
        <v>2721</v>
      </c>
      <c r="X345">
        <v>4.42</v>
      </c>
      <c r="Y345" t="s">
        <v>398</v>
      </c>
      <c r="Z345">
        <v>0</v>
      </c>
      <c r="AA345">
        <v>0</v>
      </c>
      <c r="AB345">
        <v>2.13</v>
      </c>
      <c r="AC345" t="s">
        <v>3028</v>
      </c>
      <c r="AD345">
        <v>39.86</v>
      </c>
      <c r="AE345" t="s">
        <v>369</v>
      </c>
      <c r="AF345">
        <v>1.72</v>
      </c>
      <c r="AG345">
        <v>0</v>
      </c>
      <c r="AH345">
        <v>0</v>
      </c>
      <c r="AI345" s="4">
        <v>43264</v>
      </c>
    </row>
    <row r="346" spans="1:35">
      <c r="A346">
        <v>345</v>
      </c>
      <c r="B346" t="str">
        <f>"601166"</f>
        <v>601166</v>
      </c>
      <c r="C346" t="s">
        <v>3029</v>
      </c>
      <c r="D346" s="4">
        <v>43190</v>
      </c>
      <c r="E346" t="s">
        <v>2599</v>
      </c>
      <c r="F346" t="s">
        <v>1194</v>
      </c>
      <c r="G346" t="s">
        <v>3030</v>
      </c>
      <c r="H346">
        <v>0.85</v>
      </c>
      <c r="I346">
        <v>19.09</v>
      </c>
      <c r="J346">
        <v>4.41</v>
      </c>
      <c r="K346" t="s">
        <v>3031</v>
      </c>
      <c r="L346">
        <v>2.15</v>
      </c>
      <c r="M346" t="s">
        <v>1495</v>
      </c>
      <c r="N346" t="s">
        <v>451</v>
      </c>
      <c r="O346" t="s">
        <v>1495</v>
      </c>
      <c r="P346" t="s">
        <v>2271</v>
      </c>
      <c r="Q346">
        <v>4.9400000000000004</v>
      </c>
      <c r="R346" t="s">
        <v>3032</v>
      </c>
      <c r="S346">
        <v>10.55</v>
      </c>
      <c r="T346">
        <v>0</v>
      </c>
      <c r="U346" t="s">
        <v>3033</v>
      </c>
      <c r="V346">
        <v>0</v>
      </c>
      <c r="W346" t="s">
        <v>899</v>
      </c>
      <c r="X346">
        <v>4.41</v>
      </c>
      <c r="Y346" t="s">
        <v>3034</v>
      </c>
      <c r="Z346">
        <v>0</v>
      </c>
      <c r="AA346">
        <v>0</v>
      </c>
      <c r="AB346">
        <v>0.81</v>
      </c>
      <c r="AC346" t="s">
        <v>3035</v>
      </c>
      <c r="AD346">
        <v>6.77</v>
      </c>
      <c r="AE346" t="s">
        <v>3036</v>
      </c>
      <c r="AF346">
        <v>3.61</v>
      </c>
      <c r="AG346">
        <v>0</v>
      </c>
      <c r="AH346">
        <v>0</v>
      </c>
      <c r="AI346" s="4">
        <v>39118</v>
      </c>
    </row>
    <row r="347" spans="1:35">
      <c r="A347">
        <v>346</v>
      </c>
      <c r="B347" t="str">
        <f>"002931"</f>
        <v>002931</v>
      </c>
      <c r="C347" t="s">
        <v>3037</v>
      </c>
      <c r="D347" s="4">
        <v>43190</v>
      </c>
      <c r="E347" t="s">
        <v>3038</v>
      </c>
      <c r="F347" t="s">
        <v>3039</v>
      </c>
      <c r="G347">
        <v>483</v>
      </c>
      <c r="H347">
        <v>0.11</v>
      </c>
      <c r="I347">
        <v>5.18</v>
      </c>
      <c r="J347">
        <v>4.41</v>
      </c>
      <c r="K347" t="s">
        <v>3040</v>
      </c>
      <c r="L347">
        <v>12.46</v>
      </c>
      <c r="M347" t="s">
        <v>3041</v>
      </c>
      <c r="N347">
        <v>0</v>
      </c>
      <c r="O347" t="s">
        <v>3042</v>
      </c>
      <c r="P347" t="s">
        <v>3043</v>
      </c>
      <c r="Q347">
        <v>-6.33</v>
      </c>
      <c r="R347" t="s">
        <v>197</v>
      </c>
      <c r="S347">
        <v>1.1599999999999999</v>
      </c>
      <c r="T347">
        <v>31.79</v>
      </c>
      <c r="U347" t="s">
        <v>2310</v>
      </c>
      <c r="V347" t="s">
        <v>3044</v>
      </c>
      <c r="W347" t="s">
        <v>1459</v>
      </c>
      <c r="X347">
        <v>4.41</v>
      </c>
      <c r="Y347" t="s">
        <v>282</v>
      </c>
      <c r="Z347" t="s">
        <v>282</v>
      </c>
      <c r="AA347" t="s">
        <v>2229</v>
      </c>
      <c r="AB347">
        <v>7.89</v>
      </c>
      <c r="AC347" t="s">
        <v>157</v>
      </c>
      <c r="AD347">
        <v>79.89</v>
      </c>
      <c r="AE347" t="s">
        <v>492</v>
      </c>
      <c r="AF347">
        <v>5.26</v>
      </c>
      <c r="AG347">
        <v>0</v>
      </c>
      <c r="AH347">
        <v>0</v>
      </c>
      <c r="AI347" s="4">
        <v>43193</v>
      </c>
    </row>
    <row r="348" spans="1:35">
      <c r="A348">
        <v>347</v>
      </c>
      <c r="B348" t="str">
        <f>"002847"</f>
        <v>002847</v>
      </c>
      <c r="C348" t="s">
        <v>3045</v>
      </c>
      <c r="D348" s="4">
        <v>43190</v>
      </c>
      <c r="E348" t="s">
        <v>1365</v>
      </c>
      <c r="F348" t="s">
        <v>3046</v>
      </c>
      <c r="G348">
        <v>1815</v>
      </c>
      <c r="H348">
        <v>0.22</v>
      </c>
      <c r="I348">
        <v>4.82</v>
      </c>
      <c r="J348">
        <v>4.41</v>
      </c>
      <c r="K348" t="s">
        <v>676</v>
      </c>
      <c r="L348">
        <v>15.41</v>
      </c>
      <c r="M348" t="s">
        <v>3047</v>
      </c>
      <c r="N348" t="s">
        <v>3048</v>
      </c>
      <c r="O348" t="s">
        <v>3049</v>
      </c>
      <c r="P348" t="s">
        <v>3050</v>
      </c>
      <c r="Q348">
        <v>6.39</v>
      </c>
      <c r="R348" t="s">
        <v>698</v>
      </c>
      <c r="S348">
        <v>1.31</v>
      </c>
      <c r="T348">
        <v>46.1</v>
      </c>
      <c r="U348" t="s">
        <v>978</v>
      </c>
      <c r="V348" t="s">
        <v>2625</v>
      </c>
      <c r="W348" t="s">
        <v>2581</v>
      </c>
      <c r="X348">
        <v>4.41</v>
      </c>
      <c r="Y348" t="s">
        <v>623</v>
      </c>
      <c r="Z348" t="s">
        <v>2590</v>
      </c>
      <c r="AA348" t="s">
        <v>3051</v>
      </c>
      <c r="AB348">
        <v>6.51</v>
      </c>
      <c r="AC348" t="s">
        <v>1869</v>
      </c>
      <c r="AD348">
        <v>60.12</v>
      </c>
      <c r="AE348" t="s">
        <v>286</v>
      </c>
      <c r="AF348">
        <v>2.34</v>
      </c>
      <c r="AG348">
        <v>0</v>
      </c>
      <c r="AH348">
        <v>0</v>
      </c>
      <c r="AI348" s="4">
        <v>42774</v>
      </c>
    </row>
    <row r="349" spans="1:35">
      <c r="A349">
        <v>348</v>
      </c>
      <c r="B349" t="str">
        <f>"603040"</f>
        <v>603040</v>
      </c>
      <c r="C349" t="s">
        <v>3052</v>
      </c>
      <c r="D349" s="4">
        <v>43190</v>
      </c>
      <c r="E349" t="s">
        <v>3053</v>
      </c>
      <c r="F349" t="s">
        <v>3054</v>
      </c>
      <c r="G349">
        <v>4154</v>
      </c>
      <c r="H349">
        <v>0.33</v>
      </c>
      <c r="I349">
        <v>7.3</v>
      </c>
      <c r="J349">
        <v>4.4000000000000004</v>
      </c>
      <c r="K349" t="s">
        <v>3055</v>
      </c>
      <c r="L349">
        <v>60.79</v>
      </c>
      <c r="M349" t="s">
        <v>3056</v>
      </c>
      <c r="N349" t="s">
        <v>3057</v>
      </c>
      <c r="O349" t="s">
        <v>3058</v>
      </c>
      <c r="P349" t="s">
        <v>3059</v>
      </c>
      <c r="Q349">
        <v>73.33</v>
      </c>
      <c r="R349" t="s">
        <v>234</v>
      </c>
      <c r="S349">
        <v>3.1</v>
      </c>
      <c r="T349">
        <v>64.44</v>
      </c>
      <c r="U349" t="s">
        <v>1394</v>
      </c>
      <c r="V349" t="s">
        <v>1806</v>
      </c>
      <c r="W349" t="s">
        <v>552</v>
      </c>
      <c r="X349">
        <v>4.4000000000000004</v>
      </c>
      <c r="Y349" t="s">
        <v>3060</v>
      </c>
      <c r="Z349" t="s">
        <v>3061</v>
      </c>
      <c r="AA349" t="s">
        <v>3062</v>
      </c>
      <c r="AB349">
        <v>5.07</v>
      </c>
      <c r="AC349" t="s">
        <v>2431</v>
      </c>
      <c r="AD349">
        <v>87.73</v>
      </c>
      <c r="AE349" t="s">
        <v>1732</v>
      </c>
      <c r="AF349">
        <v>3.23</v>
      </c>
      <c r="AG349">
        <v>0</v>
      </c>
      <c r="AH349">
        <v>0</v>
      </c>
      <c r="AI349" s="4">
        <v>42775</v>
      </c>
    </row>
    <row r="350" spans="1:35">
      <c r="A350">
        <v>349</v>
      </c>
      <c r="B350" t="str">
        <f>"600859"</f>
        <v>600859</v>
      </c>
      <c r="C350" t="s">
        <v>3063</v>
      </c>
      <c r="D350" s="4">
        <v>43190</v>
      </c>
      <c r="E350" t="s">
        <v>1979</v>
      </c>
      <c r="F350" t="s">
        <v>342</v>
      </c>
      <c r="G350" t="s">
        <v>3064</v>
      </c>
      <c r="H350">
        <v>0.59</v>
      </c>
      <c r="I350">
        <v>13.15</v>
      </c>
      <c r="J350">
        <v>4.4000000000000004</v>
      </c>
      <c r="K350" t="s">
        <v>3065</v>
      </c>
      <c r="L350">
        <v>6.11</v>
      </c>
      <c r="M350" t="s">
        <v>1618</v>
      </c>
      <c r="N350" t="s">
        <v>3066</v>
      </c>
      <c r="O350" t="s">
        <v>607</v>
      </c>
      <c r="P350" t="s">
        <v>3067</v>
      </c>
      <c r="Q350">
        <v>107.81</v>
      </c>
      <c r="R350" t="s">
        <v>1404</v>
      </c>
      <c r="S350">
        <v>3.72</v>
      </c>
      <c r="T350">
        <v>20.89</v>
      </c>
      <c r="U350" t="s">
        <v>957</v>
      </c>
      <c r="V350" t="s">
        <v>3068</v>
      </c>
      <c r="W350" t="s">
        <v>2005</v>
      </c>
      <c r="X350">
        <v>4.4000000000000004</v>
      </c>
      <c r="Y350" t="s">
        <v>3069</v>
      </c>
      <c r="Z350" t="s">
        <v>2243</v>
      </c>
      <c r="AA350" t="s">
        <v>449</v>
      </c>
      <c r="AB350">
        <v>1.59</v>
      </c>
      <c r="AC350" t="s">
        <v>525</v>
      </c>
      <c r="AD350">
        <v>52.85</v>
      </c>
      <c r="AE350" t="s">
        <v>1387</v>
      </c>
      <c r="AF350">
        <v>6.39</v>
      </c>
      <c r="AG350">
        <v>0</v>
      </c>
      <c r="AH350">
        <v>0</v>
      </c>
      <c r="AI350" s="4">
        <v>34460</v>
      </c>
    </row>
    <row r="351" spans="1:35">
      <c r="A351">
        <v>350</v>
      </c>
      <c r="B351" t="str">
        <f>"603157"</f>
        <v>603157</v>
      </c>
      <c r="C351" t="s">
        <v>3070</v>
      </c>
      <c r="D351" s="4">
        <v>43190</v>
      </c>
      <c r="E351" t="s">
        <v>1438</v>
      </c>
      <c r="F351" t="s">
        <v>3071</v>
      </c>
      <c r="G351">
        <v>0</v>
      </c>
      <c r="H351">
        <v>0.32</v>
      </c>
      <c r="I351">
        <v>7.17</v>
      </c>
      <c r="J351">
        <v>4.3899999999999997</v>
      </c>
      <c r="K351" t="s">
        <v>774</v>
      </c>
      <c r="L351">
        <v>9.8800000000000008</v>
      </c>
      <c r="M351" t="s">
        <v>1489</v>
      </c>
      <c r="N351" t="s">
        <v>3072</v>
      </c>
      <c r="O351" t="s">
        <v>916</v>
      </c>
      <c r="P351" t="s">
        <v>1200</v>
      </c>
      <c r="Q351">
        <v>33.68</v>
      </c>
      <c r="R351" t="s">
        <v>176</v>
      </c>
      <c r="S351">
        <v>2.2999999999999998</v>
      </c>
      <c r="T351">
        <v>60.36</v>
      </c>
      <c r="U351" t="s">
        <v>1023</v>
      </c>
      <c r="V351" t="s">
        <v>1925</v>
      </c>
      <c r="W351" t="s">
        <v>914</v>
      </c>
      <c r="X351">
        <v>4.3899999999999997</v>
      </c>
      <c r="Y351" t="s">
        <v>1263</v>
      </c>
      <c r="Z351" t="s">
        <v>3073</v>
      </c>
      <c r="AA351" t="s">
        <v>3074</v>
      </c>
      <c r="AB351">
        <v>2.2400000000000002</v>
      </c>
      <c r="AC351" t="s">
        <v>1545</v>
      </c>
      <c r="AD351">
        <v>52.84</v>
      </c>
      <c r="AE351" t="s">
        <v>308</v>
      </c>
      <c r="AF351">
        <v>3.46</v>
      </c>
      <c r="AG351">
        <v>0</v>
      </c>
      <c r="AH351" t="s">
        <v>1364</v>
      </c>
      <c r="AI351" s="4">
        <v>43003</v>
      </c>
    </row>
    <row r="352" spans="1:35">
      <c r="A352">
        <v>351</v>
      </c>
      <c r="B352" t="str">
        <f>"300621"</f>
        <v>300621</v>
      </c>
      <c r="C352" t="s">
        <v>3075</v>
      </c>
      <c r="D352" s="4">
        <v>43190</v>
      </c>
      <c r="E352" t="s">
        <v>415</v>
      </c>
      <c r="F352" t="s">
        <v>3076</v>
      </c>
      <c r="G352">
        <v>2854</v>
      </c>
      <c r="H352">
        <v>0.17</v>
      </c>
      <c r="I352">
        <v>3.91</v>
      </c>
      <c r="J352">
        <v>4.3899999999999997</v>
      </c>
      <c r="K352" t="s">
        <v>44</v>
      </c>
      <c r="L352">
        <v>48.97</v>
      </c>
      <c r="M352" t="s">
        <v>3077</v>
      </c>
      <c r="N352" t="s">
        <v>3078</v>
      </c>
      <c r="O352" t="s">
        <v>3079</v>
      </c>
      <c r="P352" t="s">
        <v>3080</v>
      </c>
      <c r="Q352">
        <v>267.86</v>
      </c>
      <c r="R352" t="s">
        <v>186</v>
      </c>
      <c r="S352">
        <v>1.45</v>
      </c>
      <c r="T352">
        <v>11.76</v>
      </c>
      <c r="U352" t="s">
        <v>510</v>
      </c>
      <c r="V352" t="s">
        <v>747</v>
      </c>
      <c r="W352" t="s">
        <v>3081</v>
      </c>
      <c r="X352">
        <v>4.3899999999999997</v>
      </c>
      <c r="Y352" t="s">
        <v>978</v>
      </c>
      <c r="Z352" t="s">
        <v>1496</v>
      </c>
      <c r="AA352" t="s">
        <v>3082</v>
      </c>
      <c r="AB352">
        <v>4.83</v>
      </c>
      <c r="AC352" t="s">
        <v>3083</v>
      </c>
      <c r="AD352">
        <v>44.65</v>
      </c>
      <c r="AE352" t="s">
        <v>218</v>
      </c>
      <c r="AF352">
        <v>1.35</v>
      </c>
      <c r="AG352">
        <v>0</v>
      </c>
      <c r="AH352">
        <v>0</v>
      </c>
      <c r="AI352" s="4">
        <v>42810</v>
      </c>
    </row>
    <row r="353" spans="1:35">
      <c r="A353">
        <v>352</v>
      </c>
      <c r="B353" t="str">
        <f>"002221"</f>
        <v>002221</v>
      </c>
      <c r="C353" t="s">
        <v>3084</v>
      </c>
      <c r="D353" s="4">
        <v>43190</v>
      </c>
      <c r="E353" t="s">
        <v>1052</v>
      </c>
      <c r="F353" t="s">
        <v>855</v>
      </c>
      <c r="G353" t="s">
        <v>3085</v>
      </c>
      <c r="H353">
        <v>0.21</v>
      </c>
      <c r="I353">
        <v>4.76</v>
      </c>
      <c r="J353">
        <v>4.3899999999999997</v>
      </c>
      <c r="K353" t="s">
        <v>3086</v>
      </c>
      <c r="L353">
        <v>55.45</v>
      </c>
      <c r="M353" t="s">
        <v>771</v>
      </c>
      <c r="N353" t="s">
        <v>3087</v>
      </c>
      <c r="O353" t="s">
        <v>735</v>
      </c>
      <c r="P353" t="s">
        <v>143</v>
      </c>
      <c r="Q353">
        <v>58.44</v>
      </c>
      <c r="R353" t="s">
        <v>1348</v>
      </c>
      <c r="S353">
        <v>1.4</v>
      </c>
      <c r="T353">
        <v>6.93</v>
      </c>
      <c r="U353" t="s">
        <v>3088</v>
      </c>
      <c r="V353" t="s">
        <v>412</v>
      </c>
      <c r="W353" t="s">
        <v>2765</v>
      </c>
      <c r="X353">
        <v>4.3899999999999997</v>
      </c>
      <c r="Y353" t="s">
        <v>1751</v>
      </c>
      <c r="Z353" t="s">
        <v>1820</v>
      </c>
      <c r="AA353" t="s">
        <v>3089</v>
      </c>
      <c r="AB353">
        <v>2.12</v>
      </c>
      <c r="AC353" t="s">
        <v>2627</v>
      </c>
      <c r="AD353">
        <v>32.700000000000003</v>
      </c>
      <c r="AE353" t="s">
        <v>1581</v>
      </c>
      <c r="AF353">
        <v>2.39</v>
      </c>
      <c r="AG353">
        <v>0</v>
      </c>
      <c r="AH353">
        <v>0</v>
      </c>
      <c r="AI353" s="4">
        <v>39513</v>
      </c>
    </row>
    <row r="354" spans="1:35">
      <c r="A354">
        <v>353</v>
      </c>
      <c r="B354" t="str">
        <f>"002464"</f>
        <v>002464</v>
      </c>
      <c r="C354" t="s">
        <v>3090</v>
      </c>
      <c r="D354" s="4">
        <v>43190</v>
      </c>
      <c r="E354" t="s">
        <v>1245</v>
      </c>
      <c r="F354" t="s">
        <v>1853</v>
      </c>
      <c r="G354" t="s">
        <v>3091</v>
      </c>
      <c r="H354">
        <v>0.26</v>
      </c>
      <c r="I354">
        <v>6.15</v>
      </c>
      <c r="J354">
        <v>4.38</v>
      </c>
      <c r="K354" t="s">
        <v>1200</v>
      </c>
      <c r="L354">
        <v>101.89</v>
      </c>
      <c r="M354" t="s">
        <v>3092</v>
      </c>
      <c r="N354" t="s">
        <v>3093</v>
      </c>
      <c r="O354" t="s">
        <v>3094</v>
      </c>
      <c r="P354" t="s">
        <v>3095</v>
      </c>
      <c r="Q354">
        <v>21.2</v>
      </c>
      <c r="R354" t="s">
        <v>977</v>
      </c>
      <c r="S354">
        <v>1.42</v>
      </c>
      <c r="T354">
        <v>67.760000000000005</v>
      </c>
      <c r="U354" t="s">
        <v>2238</v>
      </c>
      <c r="V354" t="s">
        <v>2693</v>
      </c>
      <c r="W354" t="s">
        <v>3096</v>
      </c>
      <c r="X354">
        <v>4.38</v>
      </c>
      <c r="Y354" t="s">
        <v>510</v>
      </c>
      <c r="Z354" t="s">
        <v>1307</v>
      </c>
      <c r="AA354" t="s">
        <v>2111</v>
      </c>
      <c r="AB354">
        <v>4.83</v>
      </c>
      <c r="AC354" t="s">
        <v>162</v>
      </c>
      <c r="AD354">
        <v>43.56</v>
      </c>
      <c r="AE354" t="s">
        <v>2908</v>
      </c>
      <c r="AF354">
        <v>3.42</v>
      </c>
      <c r="AG354">
        <v>0</v>
      </c>
      <c r="AH354">
        <v>0</v>
      </c>
      <c r="AI354" s="4">
        <v>40421</v>
      </c>
    </row>
    <row r="355" spans="1:35">
      <c r="A355">
        <v>354</v>
      </c>
      <c r="B355" t="str">
        <f>"603506"</f>
        <v>603506</v>
      </c>
      <c r="C355" t="s">
        <v>3097</v>
      </c>
      <c r="D355" s="4">
        <v>43190</v>
      </c>
      <c r="E355" t="s">
        <v>3098</v>
      </c>
      <c r="F355" t="s">
        <v>3099</v>
      </c>
      <c r="G355">
        <v>1263</v>
      </c>
      <c r="H355">
        <v>0.27</v>
      </c>
      <c r="I355">
        <v>7.46</v>
      </c>
      <c r="J355">
        <v>4.37</v>
      </c>
      <c r="K355" t="s">
        <v>470</v>
      </c>
      <c r="L355">
        <v>33.46</v>
      </c>
      <c r="M355" t="s">
        <v>3100</v>
      </c>
      <c r="N355">
        <v>0</v>
      </c>
      <c r="O355" t="s">
        <v>3101</v>
      </c>
      <c r="P355" t="s">
        <v>3102</v>
      </c>
      <c r="Q355">
        <v>25.96</v>
      </c>
      <c r="R355" t="s">
        <v>1038</v>
      </c>
      <c r="S355">
        <v>1.63</v>
      </c>
      <c r="T355">
        <v>23.42</v>
      </c>
      <c r="U355" t="s">
        <v>835</v>
      </c>
      <c r="V355" t="s">
        <v>2721</v>
      </c>
      <c r="W355" t="s">
        <v>3103</v>
      </c>
      <c r="X355">
        <v>4.37</v>
      </c>
      <c r="Y355" t="s">
        <v>174</v>
      </c>
      <c r="Z355" t="s">
        <v>174</v>
      </c>
      <c r="AA355">
        <v>0</v>
      </c>
      <c r="AB355">
        <v>5.73</v>
      </c>
      <c r="AC355" t="s">
        <v>2851</v>
      </c>
      <c r="AD355">
        <v>52.42</v>
      </c>
      <c r="AE355" t="s">
        <v>1461</v>
      </c>
      <c r="AF355">
        <v>4.63</v>
      </c>
      <c r="AG355">
        <v>0</v>
      </c>
      <c r="AH355">
        <v>0</v>
      </c>
      <c r="AI355" s="4">
        <v>43132</v>
      </c>
    </row>
    <row r="356" spans="1:35">
      <c r="A356">
        <v>355</v>
      </c>
      <c r="B356" t="str">
        <f>"300668"</f>
        <v>300668</v>
      </c>
      <c r="C356" t="s">
        <v>3104</v>
      </c>
      <c r="D356" s="4">
        <v>43190</v>
      </c>
      <c r="E356" t="s">
        <v>3105</v>
      </c>
      <c r="F356" t="s">
        <v>3106</v>
      </c>
      <c r="G356">
        <v>1227</v>
      </c>
      <c r="H356">
        <v>0.41</v>
      </c>
      <c r="I356">
        <v>9.5299999999999994</v>
      </c>
      <c r="J356">
        <v>4.37</v>
      </c>
      <c r="K356" t="s">
        <v>3107</v>
      </c>
      <c r="L356">
        <v>27.42</v>
      </c>
      <c r="M356" t="s">
        <v>3108</v>
      </c>
      <c r="N356" t="s">
        <v>3109</v>
      </c>
      <c r="O356" t="s">
        <v>3110</v>
      </c>
      <c r="P356" t="s">
        <v>887</v>
      </c>
      <c r="Q356">
        <v>65.39</v>
      </c>
      <c r="R356" t="s">
        <v>3111</v>
      </c>
      <c r="S356">
        <v>3.51</v>
      </c>
      <c r="T356">
        <v>52.9</v>
      </c>
      <c r="U356" t="s">
        <v>335</v>
      </c>
      <c r="V356" t="s">
        <v>344</v>
      </c>
      <c r="W356" t="s">
        <v>3112</v>
      </c>
      <c r="X356">
        <v>4.37</v>
      </c>
      <c r="Y356" t="s">
        <v>3113</v>
      </c>
      <c r="Z356" t="s">
        <v>3114</v>
      </c>
      <c r="AA356" t="s">
        <v>3115</v>
      </c>
      <c r="AB356">
        <v>7.54</v>
      </c>
      <c r="AC356" t="s">
        <v>498</v>
      </c>
      <c r="AD356">
        <v>91.16</v>
      </c>
      <c r="AE356" t="s">
        <v>292</v>
      </c>
      <c r="AF356">
        <v>4.8499999999999996</v>
      </c>
      <c r="AG356">
        <v>0</v>
      </c>
      <c r="AH356">
        <v>0</v>
      </c>
      <c r="AI356" s="4">
        <v>42905</v>
      </c>
    </row>
    <row r="357" spans="1:35">
      <c r="A357">
        <v>356</v>
      </c>
      <c r="B357" t="str">
        <f>"000921"</f>
        <v>000921</v>
      </c>
      <c r="C357" t="s">
        <v>3116</v>
      </c>
      <c r="D357" s="4">
        <v>43190</v>
      </c>
      <c r="E357" t="s">
        <v>350</v>
      </c>
      <c r="F357" t="s">
        <v>3117</v>
      </c>
      <c r="G357">
        <v>0</v>
      </c>
      <c r="H357">
        <v>0.21</v>
      </c>
      <c r="I357">
        <v>4.9400000000000004</v>
      </c>
      <c r="J357">
        <v>4.37</v>
      </c>
      <c r="K357" t="s">
        <v>1331</v>
      </c>
      <c r="L357">
        <v>16.41</v>
      </c>
      <c r="M357" t="s">
        <v>1359</v>
      </c>
      <c r="N357" t="s">
        <v>382</v>
      </c>
      <c r="O357" t="s">
        <v>204</v>
      </c>
      <c r="P357" t="s">
        <v>188</v>
      </c>
      <c r="Q357">
        <v>12.38</v>
      </c>
      <c r="R357" t="s">
        <v>1313</v>
      </c>
      <c r="S357">
        <v>2.06</v>
      </c>
      <c r="T357">
        <v>17.89</v>
      </c>
      <c r="U357" t="s">
        <v>715</v>
      </c>
      <c r="V357" t="s">
        <v>788</v>
      </c>
      <c r="W357" t="s">
        <v>2339</v>
      </c>
      <c r="X357">
        <v>4.37</v>
      </c>
      <c r="Y357" t="s">
        <v>3118</v>
      </c>
      <c r="Z357" t="s">
        <v>2654</v>
      </c>
      <c r="AA357" t="s">
        <v>3119</v>
      </c>
      <c r="AB357">
        <v>2.2200000000000002</v>
      </c>
      <c r="AC357" t="s">
        <v>3120</v>
      </c>
      <c r="AD357">
        <v>30.19</v>
      </c>
      <c r="AE357" t="s">
        <v>159</v>
      </c>
      <c r="AF357">
        <v>1.53</v>
      </c>
      <c r="AG357">
        <v>0</v>
      </c>
      <c r="AH357" t="s">
        <v>157</v>
      </c>
      <c r="AI357" s="4">
        <v>36354</v>
      </c>
    </row>
    <row r="358" spans="1:35">
      <c r="A358">
        <v>357</v>
      </c>
      <c r="B358" t="str">
        <f>"603883"</f>
        <v>603883</v>
      </c>
      <c r="C358" t="s">
        <v>3121</v>
      </c>
      <c r="D358" s="4">
        <v>43190</v>
      </c>
      <c r="E358" t="s">
        <v>2729</v>
      </c>
      <c r="F358" t="s">
        <v>122</v>
      </c>
      <c r="G358">
        <v>6789</v>
      </c>
      <c r="H358">
        <v>0.46</v>
      </c>
      <c r="I358">
        <v>9.6199999999999992</v>
      </c>
      <c r="J358">
        <v>4.3600000000000003</v>
      </c>
      <c r="K358" t="s">
        <v>1390</v>
      </c>
      <c r="L358">
        <v>27.9</v>
      </c>
      <c r="M358" t="s">
        <v>1366</v>
      </c>
      <c r="N358">
        <v>0</v>
      </c>
      <c r="O358" t="s">
        <v>905</v>
      </c>
      <c r="P358" t="s">
        <v>1376</v>
      </c>
      <c r="Q358">
        <v>15.19</v>
      </c>
      <c r="R358" t="s">
        <v>1214</v>
      </c>
      <c r="S358">
        <v>3.73</v>
      </c>
      <c r="T358">
        <v>36.25</v>
      </c>
      <c r="U358" t="s">
        <v>2138</v>
      </c>
      <c r="V358" t="s">
        <v>2452</v>
      </c>
      <c r="W358" t="s">
        <v>798</v>
      </c>
      <c r="X358">
        <v>4.3600000000000003</v>
      </c>
      <c r="Y358" t="s">
        <v>3122</v>
      </c>
      <c r="Z358" t="s">
        <v>1242</v>
      </c>
      <c r="AA358" t="s">
        <v>2959</v>
      </c>
      <c r="AB358">
        <v>7.46</v>
      </c>
      <c r="AC358" t="s">
        <v>570</v>
      </c>
      <c r="AD358">
        <v>42.39</v>
      </c>
      <c r="AE358" t="s">
        <v>1025</v>
      </c>
      <c r="AF358">
        <v>4.5599999999999996</v>
      </c>
      <c r="AG358">
        <v>0</v>
      </c>
      <c r="AH358">
        <v>0</v>
      </c>
      <c r="AI358" s="4">
        <v>42117</v>
      </c>
    </row>
    <row r="359" spans="1:35">
      <c r="A359">
        <v>358</v>
      </c>
      <c r="B359" t="str">
        <f>"600801"</f>
        <v>600801</v>
      </c>
      <c r="C359" t="s">
        <v>3123</v>
      </c>
      <c r="D359" s="4">
        <v>43190</v>
      </c>
      <c r="E359" t="s">
        <v>855</v>
      </c>
      <c r="F359" t="s">
        <v>3124</v>
      </c>
      <c r="G359">
        <v>0</v>
      </c>
      <c r="H359">
        <v>0.35</v>
      </c>
      <c r="I359">
        <v>8.01</v>
      </c>
      <c r="J359">
        <v>4.3600000000000003</v>
      </c>
      <c r="K359" t="s">
        <v>3125</v>
      </c>
      <c r="L359">
        <v>16.32</v>
      </c>
      <c r="M359" t="s">
        <v>1837</v>
      </c>
      <c r="N359" t="s">
        <v>3126</v>
      </c>
      <c r="O359" t="s">
        <v>500</v>
      </c>
      <c r="P359" t="s">
        <v>2178</v>
      </c>
      <c r="Q359">
        <v>458.73</v>
      </c>
      <c r="R359" t="s">
        <v>526</v>
      </c>
      <c r="S359">
        <v>4.8499999999999996</v>
      </c>
      <c r="T359">
        <v>33.15</v>
      </c>
      <c r="U359" t="s">
        <v>3127</v>
      </c>
      <c r="V359" t="s">
        <v>3128</v>
      </c>
      <c r="W359" t="s">
        <v>1894</v>
      </c>
      <c r="X359">
        <v>4.3600000000000003</v>
      </c>
      <c r="Y359" t="s">
        <v>3129</v>
      </c>
      <c r="Z359" t="s">
        <v>1030</v>
      </c>
      <c r="AA359" t="s">
        <v>2013</v>
      </c>
      <c r="AB359">
        <v>1.83</v>
      </c>
      <c r="AC359" t="s">
        <v>410</v>
      </c>
      <c r="AD359">
        <v>41.79</v>
      </c>
      <c r="AE359" t="s">
        <v>2280</v>
      </c>
      <c r="AF359">
        <v>1.68</v>
      </c>
      <c r="AG359" t="s">
        <v>1565</v>
      </c>
      <c r="AH359">
        <v>0</v>
      </c>
      <c r="AI359" s="4">
        <v>34337</v>
      </c>
    </row>
    <row r="360" spans="1:35">
      <c r="A360">
        <v>359</v>
      </c>
      <c r="B360" t="str">
        <f>"603908"</f>
        <v>603908</v>
      </c>
      <c r="C360" t="s">
        <v>3130</v>
      </c>
      <c r="D360" s="4">
        <v>43190</v>
      </c>
      <c r="E360" t="s">
        <v>2662</v>
      </c>
      <c r="F360" t="s">
        <v>3131</v>
      </c>
      <c r="G360">
        <v>2260</v>
      </c>
      <c r="H360">
        <v>0.3</v>
      </c>
      <c r="I360">
        <v>6.48</v>
      </c>
      <c r="J360">
        <v>4.3499999999999996</v>
      </c>
      <c r="K360" t="s">
        <v>452</v>
      </c>
      <c r="L360">
        <v>12.6</v>
      </c>
      <c r="M360" t="s">
        <v>3132</v>
      </c>
      <c r="N360" t="s">
        <v>3133</v>
      </c>
      <c r="O360" t="s">
        <v>1298</v>
      </c>
      <c r="P360" t="s">
        <v>3134</v>
      </c>
      <c r="Q360">
        <v>-18.79</v>
      </c>
      <c r="R360" t="s">
        <v>920</v>
      </c>
      <c r="S360">
        <v>1.63</v>
      </c>
      <c r="T360">
        <v>28.64</v>
      </c>
      <c r="U360" t="s">
        <v>690</v>
      </c>
      <c r="V360" t="s">
        <v>107</v>
      </c>
      <c r="W360" t="s">
        <v>3135</v>
      </c>
      <c r="X360">
        <v>4.3499999999999996</v>
      </c>
      <c r="Y360" t="s">
        <v>1077</v>
      </c>
      <c r="Z360" t="s">
        <v>1366</v>
      </c>
      <c r="AA360" t="s">
        <v>3136</v>
      </c>
      <c r="AB360">
        <v>4.03</v>
      </c>
      <c r="AC360" t="s">
        <v>1659</v>
      </c>
      <c r="AD360">
        <v>71.790000000000006</v>
      </c>
      <c r="AE360" t="s">
        <v>807</v>
      </c>
      <c r="AF360">
        <v>3.44</v>
      </c>
      <c r="AG360">
        <v>0</v>
      </c>
      <c r="AH360">
        <v>0</v>
      </c>
      <c r="AI360" s="4">
        <v>42801</v>
      </c>
    </row>
    <row r="361" spans="1:35">
      <c r="A361">
        <v>360</v>
      </c>
      <c r="B361" t="str">
        <f>"603788"</f>
        <v>603788</v>
      </c>
      <c r="C361" t="s">
        <v>3137</v>
      </c>
      <c r="D361" s="4">
        <v>43190</v>
      </c>
      <c r="E361" t="s">
        <v>985</v>
      </c>
      <c r="F361" t="s">
        <v>1624</v>
      </c>
      <c r="G361" t="s">
        <v>3138</v>
      </c>
      <c r="H361">
        <v>0.36</v>
      </c>
      <c r="I361">
        <v>7.67</v>
      </c>
      <c r="J361">
        <v>4.3499999999999996</v>
      </c>
      <c r="K361" t="s">
        <v>165</v>
      </c>
      <c r="L361">
        <v>28.54</v>
      </c>
      <c r="M361" t="s">
        <v>3139</v>
      </c>
      <c r="N361" t="s">
        <v>3140</v>
      </c>
      <c r="O361" t="s">
        <v>3141</v>
      </c>
      <c r="P361" t="s">
        <v>3142</v>
      </c>
      <c r="Q361">
        <v>35.880000000000003</v>
      </c>
      <c r="R361" t="s">
        <v>364</v>
      </c>
      <c r="S361">
        <v>1.35</v>
      </c>
      <c r="T361">
        <v>33.78</v>
      </c>
      <c r="U361" t="s">
        <v>1029</v>
      </c>
      <c r="V361" t="s">
        <v>712</v>
      </c>
      <c r="W361" t="s">
        <v>452</v>
      </c>
      <c r="X361">
        <v>4.3499999999999996</v>
      </c>
      <c r="Y361" t="s">
        <v>1359</v>
      </c>
      <c r="Z361" t="s">
        <v>1028</v>
      </c>
      <c r="AA361" t="s">
        <v>3143</v>
      </c>
      <c r="AB361">
        <v>3.09</v>
      </c>
      <c r="AC361" t="s">
        <v>1752</v>
      </c>
      <c r="AD361">
        <v>83.37</v>
      </c>
      <c r="AE361" t="s">
        <v>405</v>
      </c>
      <c r="AF361">
        <v>5.05</v>
      </c>
      <c r="AG361">
        <v>0</v>
      </c>
      <c r="AH361">
        <v>0</v>
      </c>
      <c r="AI361" s="4">
        <v>42024</v>
      </c>
    </row>
    <row r="362" spans="1:35">
      <c r="A362">
        <v>361</v>
      </c>
      <c r="B362" t="str">
        <f>"600477"</f>
        <v>600477</v>
      </c>
      <c r="C362" t="s">
        <v>3144</v>
      </c>
      <c r="D362" s="4">
        <v>43190</v>
      </c>
      <c r="E362" t="s">
        <v>303</v>
      </c>
      <c r="F362" t="s">
        <v>76</v>
      </c>
      <c r="G362" t="s">
        <v>1639</v>
      </c>
      <c r="H362">
        <v>7.0000000000000007E-2</v>
      </c>
      <c r="I362">
        <v>1.56</v>
      </c>
      <c r="J362">
        <v>4.3499999999999996</v>
      </c>
      <c r="K362" t="s">
        <v>3145</v>
      </c>
      <c r="L362">
        <v>9.4499999999999993</v>
      </c>
      <c r="M362" t="s">
        <v>610</v>
      </c>
      <c r="N362" t="s">
        <v>3146</v>
      </c>
      <c r="O362" t="s">
        <v>610</v>
      </c>
      <c r="P362" t="s">
        <v>1038</v>
      </c>
      <c r="Q362">
        <v>6.76</v>
      </c>
      <c r="R362" t="s">
        <v>840</v>
      </c>
      <c r="S362">
        <v>0.6</v>
      </c>
      <c r="T362">
        <v>30.62</v>
      </c>
      <c r="U362" t="s">
        <v>3147</v>
      </c>
      <c r="V362" t="s">
        <v>2396</v>
      </c>
      <c r="W362" t="s">
        <v>1849</v>
      </c>
      <c r="X362">
        <v>4.3499999999999996</v>
      </c>
      <c r="Y362" t="s">
        <v>2642</v>
      </c>
      <c r="Z362" t="s">
        <v>1322</v>
      </c>
      <c r="AA362" t="s">
        <v>3148</v>
      </c>
      <c r="AB362">
        <v>2.87</v>
      </c>
      <c r="AC362" t="s">
        <v>570</v>
      </c>
      <c r="AD362">
        <v>41.46</v>
      </c>
      <c r="AE362" t="s">
        <v>355</v>
      </c>
      <c r="AF362">
        <v>0.06</v>
      </c>
      <c r="AG362">
        <v>0</v>
      </c>
      <c r="AH362">
        <v>0</v>
      </c>
      <c r="AI362" s="4">
        <v>37935</v>
      </c>
    </row>
    <row r="363" spans="1:35">
      <c r="A363">
        <v>362</v>
      </c>
      <c r="B363" t="str">
        <f>"300327"</f>
        <v>300327</v>
      </c>
      <c r="C363" t="s">
        <v>3149</v>
      </c>
      <c r="D363" s="4">
        <v>43190</v>
      </c>
      <c r="E363" t="s">
        <v>118</v>
      </c>
      <c r="F363" t="s">
        <v>415</v>
      </c>
      <c r="G363">
        <v>7386</v>
      </c>
      <c r="H363">
        <v>0.17</v>
      </c>
      <c r="I363">
        <v>3.89</v>
      </c>
      <c r="J363">
        <v>4.3499999999999996</v>
      </c>
      <c r="K363" t="s">
        <v>200</v>
      </c>
      <c r="L363">
        <v>24.14</v>
      </c>
      <c r="M363" t="s">
        <v>3150</v>
      </c>
      <c r="N363" t="s">
        <v>3151</v>
      </c>
      <c r="O363" t="s">
        <v>3152</v>
      </c>
      <c r="P363" t="s">
        <v>3153</v>
      </c>
      <c r="Q363">
        <v>30.27</v>
      </c>
      <c r="R363" t="s">
        <v>509</v>
      </c>
      <c r="S363">
        <v>1.07</v>
      </c>
      <c r="T363">
        <v>41.98</v>
      </c>
      <c r="U363" t="s">
        <v>3154</v>
      </c>
      <c r="V363" t="s">
        <v>2383</v>
      </c>
      <c r="W363" t="s">
        <v>3155</v>
      </c>
      <c r="X363">
        <v>4.3499999999999996</v>
      </c>
      <c r="Y363" t="s">
        <v>505</v>
      </c>
      <c r="Z363" t="s">
        <v>863</v>
      </c>
      <c r="AA363" t="s">
        <v>2920</v>
      </c>
      <c r="AB363">
        <v>6.37</v>
      </c>
      <c r="AC363" t="s">
        <v>1477</v>
      </c>
      <c r="AD363">
        <v>82.79</v>
      </c>
      <c r="AE363" t="s">
        <v>2807</v>
      </c>
      <c r="AF363">
        <v>1.68</v>
      </c>
      <c r="AG363">
        <v>0</v>
      </c>
      <c r="AH363">
        <v>0</v>
      </c>
      <c r="AI363" s="4">
        <v>41073</v>
      </c>
    </row>
    <row r="364" spans="1:35">
      <c r="A364">
        <v>363</v>
      </c>
      <c r="B364" t="str">
        <f>"002007"</f>
        <v>002007</v>
      </c>
      <c r="C364" t="s">
        <v>3156</v>
      </c>
      <c r="D364" s="4">
        <v>43190</v>
      </c>
      <c r="E364" t="s">
        <v>687</v>
      </c>
      <c r="F364" t="s">
        <v>3157</v>
      </c>
      <c r="G364" t="s">
        <v>1381</v>
      </c>
      <c r="H364">
        <v>0.22</v>
      </c>
      <c r="I364">
        <v>5.24</v>
      </c>
      <c r="J364">
        <v>4.3499999999999996</v>
      </c>
      <c r="K364" t="s">
        <v>1088</v>
      </c>
      <c r="L364">
        <v>4.4400000000000004</v>
      </c>
      <c r="M364" t="s">
        <v>2142</v>
      </c>
      <c r="N364" t="s">
        <v>3158</v>
      </c>
      <c r="O364" t="s">
        <v>474</v>
      </c>
      <c r="P364" t="s">
        <v>618</v>
      </c>
      <c r="Q364">
        <v>-18.8</v>
      </c>
      <c r="R364" t="s">
        <v>2071</v>
      </c>
      <c r="S364">
        <v>3.33</v>
      </c>
      <c r="T364">
        <v>61.36</v>
      </c>
      <c r="U364" t="s">
        <v>3159</v>
      </c>
      <c r="V364" t="s">
        <v>3160</v>
      </c>
      <c r="W364" t="s">
        <v>3161</v>
      </c>
      <c r="X364">
        <v>4.3499999999999996</v>
      </c>
      <c r="Y364" t="s">
        <v>1074</v>
      </c>
      <c r="Z364" t="s">
        <v>1074</v>
      </c>
      <c r="AA364">
        <v>0</v>
      </c>
      <c r="AB364">
        <v>6.14</v>
      </c>
      <c r="AC364" t="s">
        <v>777</v>
      </c>
      <c r="AD364">
        <v>90.46</v>
      </c>
      <c r="AE364" t="s">
        <v>2468</v>
      </c>
      <c r="AF364">
        <v>0.42</v>
      </c>
      <c r="AG364">
        <v>0</v>
      </c>
      <c r="AH364">
        <v>0</v>
      </c>
      <c r="AI364" s="4">
        <v>38163</v>
      </c>
    </row>
    <row r="365" spans="1:35">
      <c r="A365">
        <v>364</v>
      </c>
      <c r="B365" t="str">
        <f>"000538"</f>
        <v>000538</v>
      </c>
      <c r="C365" t="s">
        <v>3162</v>
      </c>
      <c r="D365" s="4">
        <v>43190</v>
      </c>
      <c r="E365" t="s">
        <v>919</v>
      </c>
      <c r="F365" t="s">
        <v>919</v>
      </c>
      <c r="G365" t="s">
        <v>3163</v>
      </c>
      <c r="H365">
        <v>0.77</v>
      </c>
      <c r="I365">
        <v>18.09</v>
      </c>
      <c r="J365">
        <v>4.3499999999999996</v>
      </c>
      <c r="K365" t="s">
        <v>3164</v>
      </c>
      <c r="L365">
        <v>7.26</v>
      </c>
      <c r="M365" t="s">
        <v>3161</v>
      </c>
      <c r="N365" t="s">
        <v>3165</v>
      </c>
      <c r="O365" t="s">
        <v>3161</v>
      </c>
      <c r="P365" t="s">
        <v>353</v>
      </c>
      <c r="Q365">
        <v>11.18</v>
      </c>
      <c r="R365" t="s">
        <v>1885</v>
      </c>
      <c r="S365">
        <v>14.99</v>
      </c>
      <c r="T365">
        <v>30.46</v>
      </c>
      <c r="U365" t="s">
        <v>2858</v>
      </c>
      <c r="V365" t="s">
        <v>2896</v>
      </c>
      <c r="W365" t="s">
        <v>304</v>
      </c>
      <c r="X365">
        <v>4.3499999999999996</v>
      </c>
      <c r="Y365" t="s">
        <v>3166</v>
      </c>
      <c r="Z365" t="s">
        <v>3167</v>
      </c>
      <c r="AA365" t="s">
        <v>712</v>
      </c>
      <c r="AB365">
        <v>5.71</v>
      </c>
      <c r="AC365" t="s">
        <v>432</v>
      </c>
      <c r="AD365">
        <v>65.87</v>
      </c>
      <c r="AE365" t="s">
        <v>300</v>
      </c>
      <c r="AF365">
        <v>1.2</v>
      </c>
      <c r="AG365">
        <v>0</v>
      </c>
      <c r="AH365">
        <v>0</v>
      </c>
      <c r="AI365" s="4">
        <v>34318</v>
      </c>
    </row>
    <row r="366" spans="1:35">
      <c r="A366">
        <v>365</v>
      </c>
      <c r="B366" t="str">
        <f>"603938"</f>
        <v>603938</v>
      </c>
      <c r="C366" t="s">
        <v>3168</v>
      </c>
      <c r="D366" s="4">
        <v>43190</v>
      </c>
      <c r="E366" t="s">
        <v>609</v>
      </c>
      <c r="F366" t="s">
        <v>3169</v>
      </c>
      <c r="G366">
        <v>3241</v>
      </c>
      <c r="H366">
        <v>0.28999999999999998</v>
      </c>
      <c r="I366">
        <v>6.6</v>
      </c>
      <c r="J366">
        <v>4.33</v>
      </c>
      <c r="K366" t="s">
        <v>1609</v>
      </c>
      <c r="L366">
        <v>6.93</v>
      </c>
      <c r="M366" t="s">
        <v>3170</v>
      </c>
      <c r="N366" t="s">
        <v>2877</v>
      </c>
      <c r="O366" t="s">
        <v>3171</v>
      </c>
      <c r="P366" t="s">
        <v>3172</v>
      </c>
      <c r="Q366">
        <v>21.29</v>
      </c>
      <c r="R366" t="s">
        <v>749</v>
      </c>
      <c r="S366">
        <v>2.57</v>
      </c>
      <c r="T366">
        <v>31.89</v>
      </c>
      <c r="U366" t="s">
        <v>323</v>
      </c>
      <c r="V366" t="s">
        <v>175</v>
      </c>
      <c r="W366" t="s">
        <v>286</v>
      </c>
      <c r="X366">
        <v>4.33</v>
      </c>
      <c r="Y366" t="s">
        <v>3173</v>
      </c>
      <c r="Z366" t="s">
        <v>3174</v>
      </c>
      <c r="AA366" t="s">
        <v>3175</v>
      </c>
      <c r="AB366">
        <v>3.51</v>
      </c>
      <c r="AC366" t="s">
        <v>1496</v>
      </c>
      <c r="AD366">
        <v>92.34</v>
      </c>
      <c r="AE366" t="s">
        <v>2098</v>
      </c>
      <c r="AF366">
        <v>2.59</v>
      </c>
      <c r="AG366">
        <v>0</v>
      </c>
      <c r="AH366">
        <v>0</v>
      </c>
      <c r="AI366" s="4">
        <v>42914</v>
      </c>
    </row>
    <row r="367" spans="1:35">
      <c r="A367">
        <v>366</v>
      </c>
      <c r="B367" t="str">
        <f>"300320"</f>
        <v>300320</v>
      </c>
      <c r="C367" t="s">
        <v>3176</v>
      </c>
      <c r="D367" s="4">
        <v>43190</v>
      </c>
      <c r="E367" t="s">
        <v>483</v>
      </c>
      <c r="F367" t="s">
        <v>645</v>
      </c>
      <c r="G367" t="s">
        <v>1155</v>
      </c>
      <c r="H367">
        <v>0.08</v>
      </c>
      <c r="I367">
        <v>2.13</v>
      </c>
      <c r="J367">
        <v>4.32</v>
      </c>
      <c r="K367" t="s">
        <v>3006</v>
      </c>
      <c r="L367">
        <v>104.65</v>
      </c>
      <c r="M367" t="s">
        <v>3177</v>
      </c>
      <c r="N367" t="s">
        <v>3178</v>
      </c>
      <c r="O367" t="s">
        <v>2119</v>
      </c>
      <c r="P367" t="s">
        <v>3179</v>
      </c>
      <c r="Q367">
        <v>97.97</v>
      </c>
      <c r="R367" t="s">
        <v>139</v>
      </c>
      <c r="S367">
        <v>0.64</v>
      </c>
      <c r="T367">
        <v>28.96</v>
      </c>
      <c r="U367" t="s">
        <v>1875</v>
      </c>
      <c r="V367" t="s">
        <v>584</v>
      </c>
      <c r="W367" t="s">
        <v>707</v>
      </c>
      <c r="X367">
        <v>4.32</v>
      </c>
      <c r="Y367" t="s">
        <v>1079</v>
      </c>
      <c r="Z367" t="s">
        <v>2131</v>
      </c>
      <c r="AA367" t="s">
        <v>642</v>
      </c>
      <c r="AB367">
        <v>2.5</v>
      </c>
      <c r="AC367" t="s">
        <v>250</v>
      </c>
      <c r="AD367">
        <v>53.5</v>
      </c>
      <c r="AE367" t="s">
        <v>292</v>
      </c>
      <c r="AF367">
        <v>0.37</v>
      </c>
      <c r="AG367">
        <v>0</v>
      </c>
      <c r="AH367">
        <v>0</v>
      </c>
      <c r="AI367" s="4">
        <v>41061</v>
      </c>
    </row>
    <row r="368" spans="1:35">
      <c r="A368">
        <v>367</v>
      </c>
      <c r="B368" t="str">
        <f>"002768"</f>
        <v>002768</v>
      </c>
      <c r="C368" t="s">
        <v>3180</v>
      </c>
      <c r="D368" s="4">
        <v>43190</v>
      </c>
      <c r="E368" t="s">
        <v>798</v>
      </c>
      <c r="F368" t="s">
        <v>3181</v>
      </c>
      <c r="G368">
        <v>6405</v>
      </c>
      <c r="H368">
        <v>0.2</v>
      </c>
      <c r="I368">
        <v>6.49</v>
      </c>
      <c r="J368">
        <v>4.32</v>
      </c>
      <c r="K368" t="s">
        <v>2094</v>
      </c>
      <c r="L368">
        <v>75.37</v>
      </c>
      <c r="M368" t="s">
        <v>3182</v>
      </c>
      <c r="N368">
        <v>0</v>
      </c>
      <c r="O368" t="s">
        <v>2453</v>
      </c>
      <c r="P368" t="s">
        <v>3183</v>
      </c>
      <c r="Q368">
        <v>63.38</v>
      </c>
      <c r="R368" t="s">
        <v>2922</v>
      </c>
      <c r="S368">
        <v>1.86</v>
      </c>
      <c r="T368">
        <v>19.23</v>
      </c>
      <c r="U368" t="s">
        <v>1313</v>
      </c>
      <c r="V368" t="s">
        <v>1284</v>
      </c>
      <c r="W368" t="s">
        <v>569</v>
      </c>
      <c r="X368">
        <v>4.32</v>
      </c>
      <c r="Y368" t="s">
        <v>3184</v>
      </c>
      <c r="Z368" t="s">
        <v>3185</v>
      </c>
      <c r="AA368" t="s">
        <v>3186</v>
      </c>
      <c r="AB368">
        <v>4.3899999999999997</v>
      </c>
      <c r="AC368" t="s">
        <v>757</v>
      </c>
      <c r="AD368">
        <v>63.81</v>
      </c>
      <c r="AE368" t="s">
        <v>2383</v>
      </c>
      <c r="AF368">
        <v>3.42</v>
      </c>
      <c r="AG368">
        <v>0</v>
      </c>
      <c r="AH368">
        <v>0</v>
      </c>
      <c r="AI368" s="4">
        <v>42185</v>
      </c>
    </row>
    <row r="369" spans="1:35">
      <c r="A369">
        <v>368</v>
      </c>
      <c r="B369" t="str">
        <f>"300607"</f>
        <v>300607</v>
      </c>
      <c r="C369" t="s">
        <v>3187</v>
      </c>
      <c r="D369" s="4">
        <v>43190</v>
      </c>
      <c r="E369" t="s">
        <v>802</v>
      </c>
      <c r="F369" t="s">
        <v>3188</v>
      </c>
      <c r="G369">
        <v>6799</v>
      </c>
      <c r="H369">
        <v>0.26</v>
      </c>
      <c r="I369">
        <v>5.92</v>
      </c>
      <c r="J369">
        <v>4.3099999999999996</v>
      </c>
      <c r="K369" t="s">
        <v>345</v>
      </c>
      <c r="L369">
        <v>30.14</v>
      </c>
      <c r="M369" t="s">
        <v>2425</v>
      </c>
      <c r="N369" t="s">
        <v>3189</v>
      </c>
      <c r="O369" t="s">
        <v>3190</v>
      </c>
      <c r="P369" t="s">
        <v>3191</v>
      </c>
      <c r="Q369">
        <v>58.18</v>
      </c>
      <c r="R369" t="s">
        <v>828</v>
      </c>
      <c r="S369">
        <v>1.82</v>
      </c>
      <c r="T369">
        <v>40.03</v>
      </c>
      <c r="U369" t="s">
        <v>250</v>
      </c>
      <c r="V369" t="s">
        <v>1852</v>
      </c>
      <c r="W369" t="s">
        <v>993</v>
      </c>
      <c r="X369">
        <v>4.3099999999999996</v>
      </c>
      <c r="Y369" t="s">
        <v>375</v>
      </c>
      <c r="Z369" t="s">
        <v>678</v>
      </c>
      <c r="AA369" t="s">
        <v>3192</v>
      </c>
      <c r="AB369">
        <v>9.59</v>
      </c>
      <c r="AC369" t="s">
        <v>3193</v>
      </c>
      <c r="AD369">
        <v>67.52</v>
      </c>
      <c r="AE369" t="s">
        <v>1324</v>
      </c>
      <c r="AF369">
        <v>2.83</v>
      </c>
      <c r="AG369">
        <v>0</v>
      </c>
      <c r="AH369">
        <v>0</v>
      </c>
      <c r="AI369" s="4">
        <v>42775</v>
      </c>
    </row>
    <row r="370" spans="1:35">
      <c r="A370">
        <v>369</v>
      </c>
      <c r="B370" t="str">
        <f>"300144"</f>
        <v>300144</v>
      </c>
      <c r="C370" t="s">
        <v>3194</v>
      </c>
      <c r="D370" s="4">
        <v>43190</v>
      </c>
      <c r="E370" t="s">
        <v>263</v>
      </c>
      <c r="F370" t="s">
        <v>973</v>
      </c>
      <c r="G370" t="s">
        <v>3195</v>
      </c>
      <c r="H370">
        <v>0.22</v>
      </c>
      <c r="I370">
        <v>5.13</v>
      </c>
      <c r="J370">
        <v>4.3099999999999996</v>
      </c>
      <c r="K370" t="s">
        <v>3196</v>
      </c>
      <c r="L370">
        <v>6</v>
      </c>
      <c r="M370" t="s">
        <v>3197</v>
      </c>
      <c r="N370" t="s">
        <v>3198</v>
      </c>
      <c r="O370" t="s">
        <v>165</v>
      </c>
      <c r="P370" t="s">
        <v>1320</v>
      </c>
      <c r="Q370">
        <v>31.48</v>
      </c>
      <c r="R370" t="s">
        <v>1175</v>
      </c>
      <c r="S370">
        <v>2.27</v>
      </c>
      <c r="T370">
        <v>67.97</v>
      </c>
      <c r="U370" t="s">
        <v>3199</v>
      </c>
      <c r="V370" t="s">
        <v>1386</v>
      </c>
      <c r="W370" t="s">
        <v>50</v>
      </c>
      <c r="X370">
        <v>4.3099999999999996</v>
      </c>
      <c r="Y370" t="s">
        <v>924</v>
      </c>
      <c r="Z370" t="s">
        <v>1307</v>
      </c>
      <c r="AA370" t="s">
        <v>3200</v>
      </c>
      <c r="AB370">
        <v>4.3499999999999996</v>
      </c>
      <c r="AC370" t="s">
        <v>3167</v>
      </c>
      <c r="AD370">
        <v>83.76</v>
      </c>
      <c r="AE370" t="s">
        <v>253</v>
      </c>
      <c r="AF370">
        <v>1.7</v>
      </c>
      <c r="AG370">
        <v>0</v>
      </c>
      <c r="AH370">
        <v>0</v>
      </c>
      <c r="AI370" s="4">
        <v>40521</v>
      </c>
    </row>
    <row r="371" spans="1:35">
      <c r="A371">
        <v>370</v>
      </c>
      <c r="B371" t="str">
        <f>"601288"</f>
        <v>601288</v>
      </c>
      <c r="C371" t="s">
        <v>3201</v>
      </c>
      <c r="D371" s="4">
        <v>43190</v>
      </c>
      <c r="E371" t="s">
        <v>3202</v>
      </c>
      <c r="F371" t="s">
        <v>3203</v>
      </c>
      <c r="G371" t="s">
        <v>1482</v>
      </c>
      <c r="H371">
        <v>0.18</v>
      </c>
      <c r="I371">
        <v>4.07</v>
      </c>
      <c r="J371">
        <v>4.3</v>
      </c>
      <c r="K371" t="s">
        <v>3204</v>
      </c>
      <c r="L371">
        <v>5.04</v>
      </c>
      <c r="M371" t="s">
        <v>3205</v>
      </c>
      <c r="N371" t="s">
        <v>230</v>
      </c>
      <c r="O371" t="s">
        <v>2503</v>
      </c>
      <c r="P371" t="s">
        <v>3206</v>
      </c>
      <c r="Q371">
        <v>5.43</v>
      </c>
      <c r="R371" t="s">
        <v>3207</v>
      </c>
      <c r="S371">
        <v>1.66</v>
      </c>
      <c r="T371">
        <v>0</v>
      </c>
      <c r="U371" t="s">
        <v>3208</v>
      </c>
      <c r="V371">
        <v>0</v>
      </c>
      <c r="W371" t="s">
        <v>3209</v>
      </c>
      <c r="X371">
        <v>4.3</v>
      </c>
      <c r="Y371" t="s">
        <v>3210</v>
      </c>
      <c r="Z371">
        <v>0</v>
      </c>
      <c r="AA371">
        <v>0</v>
      </c>
      <c r="AB371">
        <v>0.89</v>
      </c>
      <c r="AC371" t="s">
        <v>3211</v>
      </c>
      <c r="AD371">
        <v>6.75</v>
      </c>
      <c r="AE371" t="s">
        <v>3212</v>
      </c>
      <c r="AF371">
        <v>0.3</v>
      </c>
      <c r="AG371">
        <v>0</v>
      </c>
      <c r="AH371" t="s">
        <v>3213</v>
      </c>
      <c r="AI371" s="4">
        <v>40374</v>
      </c>
    </row>
    <row r="372" spans="1:35">
      <c r="A372">
        <v>371</v>
      </c>
      <c r="B372" t="str">
        <f>"600327"</f>
        <v>600327</v>
      </c>
      <c r="C372" t="s">
        <v>3214</v>
      </c>
      <c r="D372" s="4">
        <v>43190</v>
      </c>
      <c r="E372" t="s">
        <v>46</v>
      </c>
      <c r="F372" t="s">
        <v>46</v>
      </c>
      <c r="G372" t="s">
        <v>3215</v>
      </c>
      <c r="H372">
        <v>0.17</v>
      </c>
      <c r="I372">
        <v>3.82</v>
      </c>
      <c r="J372">
        <v>4.3</v>
      </c>
      <c r="K372" t="s">
        <v>1516</v>
      </c>
      <c r="L372">
        <v>9.15</v>
      </c>
      <c r="M372" t="s">
        <v>337</v>
      </c>
      <c r="N372" t="s">
        <v>3216</v>
      </c>
      <c r="O372" t="s">
        <v>2069</v>
      </c>
      <c r="P372" t="s">
        <v>1365</v>
      </c>
      <c r="Q372">
        <v>23.63</v>
      </c>
      <c r="R372" t="s">
        <v>1082</v>
      </c>
      <c r="S372">
        <v>1.6</v>
      </c>
      <c r="T372">
        <v>15.47</v>
      </c>
      <c r="U372" t="s">
        <v>3217</v>
      </c>
      <c r="V372" t="s">
        <v>440</v>
      </c>
      <c r="W372" t="s">
        <v>2959</v>
      </c>
      <c r="X372">
        <v>4.3</v>
      </c>
      <c r="Y372" t="s">
        <v>159</v>
      </c>
      <c r="Z372" t="s">
        <v>1126</v>
      </c>
      <c r="AA372" t="s">
        <v>1530</v>
      </c>
      <c r="AB372">
        <v>1.23</v>
      </c>
      <c r="AC372" t="s">
        <v>589</v>
      </c>
      <c r="AD372">
        <v>56.75</v>
      </c>
      <c r="AE372" t="s">
        <v>3197</v>
      </c>
      <c r="AF372">
        <v>0.35</v>
      </c>
      <c r="AG372">
        <v>0</v>
      </c>
      <c r="AH372">
        <v>0</v>
      </c>
      <c r="AI372" s="4">
        <v>37432</v>
      </c>
    </row>
    <row r="373" spans="1:35">
      <c r="A373">
        <v>372</v>
      </c>
      <c r="B373" t="str">
        <f>"300595"</f>
        <v>300595</v>
      </c>
      <c r="C373" t="s">
        <v>3218</v>
      </c>
      <c r="D373" s="4">
        <v>43190</v>
      </c>
      <c r="E373" t="s">
        <v>509</v>
      </c>
      <c r="F373" t="s">
        <v>993</v>
      </c>
      <c r="G373" t="s">
        <v>3219</v>
      </c>
      <c r="H373">
        <v>0.16</v>
      </c>
      <c r="I373">
        <v>3.67</v>
      </c>
      <c r="J373">
        <v>4.3</v>
      </c>
      <c r="K373" t="s">
        <v>3220</v>
      </c>
      <c r="L373">
        <v>33.25</v>
      </c>
      <c r="M373" t="s">
        <v>2467</v>
      </c>
      <c r="N373" t="s">
        <v>3221</v>
      </c>
      <c r="O373" t="s">
        <v>3222</v>
      </c>
      <c r="P373" t="s">
        <v>3223</v>
      </c>
      <c r="Q373">
        <v>32.08</v>
      </c>
      <c r="R373" t="s">
        <v>828</v>
      </c>
      <c r="S373">
        <v>1.06</v>
      </c>
      <c r="T373">
        <v>74.73</v>
      </c>
      <c r="U373" t="s">
        <v>2721</v>
      </c>
      <c r="V373" t="s">
        <v>909</v>
      </c>
      <c r="W373" t="s">
        <v>3224</v>
      </c>
      <c r="X373">
        <v>4.3</v>
      </c>
      <c r="Y373" t="s">
        <v>2360</v>
      </c>
      <c r="Z373" t="s">
        <v>642</v>
      </c>
      <c r="AA373" t="s">
        <v>3225</v>
      </c>
      <c r="AB373">
        <v>10.31</v>
      </c>
      <c r="AC373" t="s">
        <v>1173</v>
      </c>
      <c r="AD373">
        <v>85.13</v>
      </c>
      <c r="AE373" t="s">
        <v>157</v>
      </c>
      <c r="AF373">
        <v>1.61</v>
      </c>
      <c r="AG373">
        <v>0</v>
      </c>
      <c r="AH373">
        <v>0</v>
      </c>
      <c r="AI373" s="4">
        <v>42752</v>
      </c>
    </row>
    <row r="374" spans="1:35">
      <c r="A374">
        <v>373</v>
      </c>
      <c r="B374" t="str">
        <f>"603848"</f>
        <v>603848</v>
      </c>
      <c r="C374" t="s">
        <v>3226</v>
      </c>
      <c r="D374" s="4">
        <v>43190</v>
      </c>
      <c r="E374" t="s">
        <v>241</v>
      </c>
      <c r="F374" t="s">
        <v>3227</v>
      </c>
      <c r="G374">
        <v>2139</v>
      </c>
      <c r="H374">
        <v>0.12</v>
      </c>
      <c r="I374">
        <v>2.68</v>
      </c>
      <c r="J374">
        <v>4.29</v>
      </c>
      <c r="K374" t="s">
        <v>2387</v>
      </c>
      <c r="L374">
        <v>32.909999999999997</v>
      </c>
      <c r="M374" t="s">
        <v>3228</v>
      </c>
      <c r="N374" t="s">
        <v>3229</v>
      </c>
      <c r="O374" t="s">
        <v>3230</v>
      </c>
      <c r="P374" t="s">
        <v>3231</v>
      </c>
      <c r="Q374">
        <v>53.78</v>
      </c>
      <c r="R374" t="s">
        <v>265</v>
      </c>
      <c r="S374">
        <v>0.75</v>
      </c>
      <c r="T374">
        <v>39.520000000000003</v>
      </c>
      <c r="U374" t="s">
        <v>840</v>
      </c>
      <c r="V374" t="s">
        <v>973</v>
      </c>
      <c r="W374" t="s">
        <v>3232</v>
      </c>
      <c r="X374">
        <v>4.29</v>
      </c>
      <c r="Y374" t="s">
        <v>2069</v>
      </c>
      <c r="Z374" t="s">
        <v>2069</v>
      </c>
      <c r="AA374">
        <v>0</v>
      </c>
      <c r="AB374">
        <v>8.43</v>
      </c>
      <c r="AC374" t="s">
        <v>354</v>
      </c>
      <c r="AD374">
        <v>86.99</v>
      </c>
      <c r="AE374" t="s">
        <v>499</v>
      </c>
      <c r="AF374">
        <v>0.84</v>
      </c>
      <c r="AG374">
        <v>0</v>
      </c>
      <c r="AH374">
        <v>0</v>
      </c>
      <c r="AI374" s="4">
        <v>43070</v>
      </c>
    </row>
    <row r="375" spans="1:35">
      <c r="A375">
        <v>374</v>
      </c>
      <c r="B375" t="str">
        <f>"600559"</f>
        <v>600559</v>
      </c>
      <c r="C375" t="s">
        <v>3233</v>
      </c>
      <c r="D375" s="4">
        <v>43190</v>
      </c>
      <c r="E375" t="s">
        <v>43</v>
      </c>
      <c r="F375" t="s">
        <v>2036</v>
      </c>
      <c r="G375" t="s">
        <v>3219</v>
      </c>
      <c r="H375">
        <v>0.11</v>
      </c>
      <c r="I375">
        <v>3.71</v>
      </c>
      <c r="J375">
        <v>4.28</v>
      </c>
      <c r="K375" t="s">
        <v>3234</v>
      </c>
      <c r="L375">
        <v>6.14</v>
      </c>
      <c r="M375" t="s">
        <v>3235</v>
      </c>
      <c r="N375" t="s">
        <v>1765</v>
      </c>
      <c r="O375" t="s">
        <v>3236</v>
      </c>
      <c r="P375" t="s">
        <v>3237</v>
      </c>
      <c r="Q375">
        <v>80.97</v>
      </c>
      <c r="R375" t="s">
        <v>3238</v>
      </c>
      <c r="S375">
        <v>0.71</v>
      </c>
      <c r="T375">
        <v>61.9</v>
      </c>
      <c r="U375" t="s">
        <v>2238</v>
      </c>
      <c r="V375" t="s">
        <v>316</v>
      </c>
      <c r="W375" t="s">
        <v>1037</v>
      </c>
      <c r="X375">
        <v>4.28</v>
      </c>
      <c r="Y375" t="s">
        <v>855</v>
      </c>
      <c r="Z375" t="s">
        <v>759</v>
      </c>
      <c r="AA375" t="s">
        <v>870</v>
      </c>
      <c r="AB375">
        <v>5.37</v>
      </c>
      <c r="AC375" t="s">
        <v>303</v>
      </c>
      <c r="AD375">
        <v>54.35</v>
      </c>
      <c r="AE375" t="s">
        <v>2394</v>
      </c>
      <c r="AF375">
        <v>1.86</v>
      </c>
      <c r="AG375">
        <v>0</v>
      </c>
      <c r="AH375">
        <v>0</v>
      </c>
      <c r="AI375" s="4">
        <v>37558</v>
      </c>
    </row>
    <row r="376" spans="1:35">
      <c r="A376">
        <v>375</v>
      </c>
      <c r="B376" t="str">
        <f>"600409"</f>
        <v>600409</v>
      </c>
      <c r="C376" t="s">
        <v>3239</v>
      </c>
      <c r="D376" s="4">
        <v>43190</v>
      </c>
      <c r="E376" t="s">
        <v>251</v>
      </c>
      <c r="F376" t="s">
        <v>1843</v>
      </c>
      <c r="G376" t="s">
        <v>3240</v>
      </c>
      <c r="H376">
        <v>0.21</v>
      </c>
      <c r="I376">
        <v>4.79</v>
      </c>
      <c r="J376">
        <v>4.28</v>
      </c>
      <c r="K376" t="s">
        <v>3241</v>
      </c>
      <c r="L376">
        <v>-7.71</v>
      </c>
      <c r="M376" t="s">
        <v>1450</v>
      </c>
      <c r="N376">
        <v>5818</v>
      </c>
      <c r="O376" t="s">
        <v>1002</v>
      </c>
      <c r="P376" t="s">
        <v>3044</v>
      </c>
      <c r="Q376">
        <v>-14.18</v>
      </c>
      <c r="R376" t="s">
        <v>1574</v>
      </c>
      <c r="S376">
        <v>1.9</v>
      </c>
      <c r="T376">
        <v>25.28</v>
      </c>
      <c r="U376" t="s">
        <v>3242</v>
      </c>
      <c r="V376" t="s">
        <v>3243</v>
      </c>
      <c r="W376" t="s">
        <v>1524</v>
      </c>
      <c r="X376">
        <v>4.28</v>
      </c>
      <c r="Y376" t="s">
        <v>719</v>
      </c>
      <c r="Z376" t="s">
        <v>2219</v>
      </c>
      <c r="AA376" t="s">
        <v>1545</v>
      </c>
      <c r="AB376">
        <v>1.69</v>
      </c>
      <c r="AC376" t="s">
        <v>252</v>
      </c>
      <c r="AD376">
        <v>43.28</v>
      </c>
      <c r="AE376" t="s">
        <v>816</v>
      </c>
      <c r="AF376">
        <v>1.72</v>
      </c>
      <c r="AG376">
        <v>0</v>
      </c>
      <c r="AH376">
        <v>0</v>
      </c>
      <c r="AI376" s="4">
        <v>37790</v>
      </c>
    </row>
    <row r="377" spans="1:35">
      <c r="A377">
        <v>376</v>
      </c>
      <c r="B377" t="str">
        <f>"300531"</f>
        <v>300531</v>
      </c>
      <c r="C377" t="s">
        <v>3244</v>
      </c>
      <c r="D377" s="4">
        <v>43190</v>
      </c>
      <c r="E377" t="s">
        <v>1664</v>
      </c>
      <c r="F377" t="s">
        <v>209</v>
      </c>
      <c r="G377">
        <v>6234</v>
      </c>
      <c r="H377">
        <v>0.09</v>
      </c>
      <c r="I377">
        <v>2.2000000000000002</v>
      </c>
      <c r="J377">
        <v>4.28</v>
      </c>
      <c r="K377" t="s">
        <v>209</v>
      </c>
      <c r="L377">
        <v>57.46</v>
      </c>
      <c r="M377" t="s">
        <v>3245</v>
      </c>
      <c r="N377" t="s">
        <v>3246</v>
      </c>
      <c r="O377" t="s">
        <v>3245</v>
      </c>
      <c r="P377" t="s">
        <v>3247</v>
      </c>
      <c r="Q377">
        <v>72.91</v>
      </c>
      <c r="R377" t="s">
        <v>296</v>
      </c>
      <c r="S377">
        <v>1.06</v>
      </c>
      <c r="T377">
        <v>44.36</v>
      </c>
      <c r="U377" t="s">
        <v>1780</v>
      </c>
      <c r="V377" t="s">
        <v>489</v>
      </c>
      <c r="W377" t="s">
        <v>3248</v>
      </c>
      <c r="X377">
        <v>4.28</v>
      </c>
      <c r="Y377" t="s">
        <v>935</v>
      </c>
      <c r="Z377" t="s">
        <v>682</v>
      </c>
      <c r="AA377" t="s">
        <v>3249</v>
      </c>
      <c r="AB377">
        <v>6.03</v>
      </c>
      <c r="AC377" t="s">
        <v>3250</v>
      </c>
      <c r="AD377">
        <v>70.540000000000006</v>
      </c>
      <c r="AE377" t="s">
        <v>3155</v>
      </c>
      <c r="AF377">
        <v>0.1</v>
      </c>
      <c r="AG377">
        <v>0</v>
      </c>
      <c r="AH377">
        <v>0</v>
      </c>
      <c r="AI377" s="4">
        <v>42591</v>
      </c>
    </row>
    <row r="378" spans="1:35">
      <c r="A378">
        <v>377</v>
      </c>
      <c r="B378" t="str">
        <f>"300298"</f>
        <v>300298</v>
      </c>
      <c r="C378" t="s">
        <v>3251</v>
      </c>
      <c r="D378" s="4">
        <v>43190</v>
      </c>
      <c r="E378" t="s">
        <v>1006</v>
      </c>
      <c r="F378" t="s">
        <v>338</v>
      </c>
      <c r="G378" t="s">
        <v>1247</v>
      </c>
      <c r="H378">
        <v>0.18</v>
      </c>
      <c r="I378">
        <v>5.27</v>
      </c>
      <c r="J378">
        <v>4.28</v>
      </c>
      <c r="K378" t="s">
        <v>121</v>
      </c>
      <c r="L378">
        <v>33.96</v>
      </c>
      <c r="M378" t="s">
        <v>3252</v>
      </c>
      <c r="N378" t="s">
        <v>3253</v>
      </c>
      <c r="O378" t="s">
        <v>3254</v>
      </c>
      <c r="P378" t="s">
        <v>3255</v>
      </c>
      <c r="Q378">
        <v>85.39</v>
      </c>
      <c r="R378" t="s">
        <v>1450</v>
      </c>
      <c r="S378">
        <v>1.19</v>
      </c>
      <c r="T378">
        <v>62.98</v>
      </c>
      <c r="U378" t="s">
        <v>1329</v>
      </c>
      <c r="V378" t="s">
        <v>1367</v>
      </c>
      <c r="W378" t="s">
        <v>234</v>
      </c>
      <c r="X378">
        <v>4.28</v>
      </c>
      <c r="Y378" t="s">
        <v>265</v>
      </c>
      <c r="Z378" t="s">
        <v>1048</v>
      </c>
      <c r="AA378" t="s">
        <v>3256</v>
      </c>
      <c r="AB378">
        <v>3.98</v>
      </c>
      <c r="AC378" t="s">
        <v>253</v>
      </c>
      <c r="AD378">
        <v>87.31</v>
      </c>
      <c r="AE378" t="s">
        <v>101</v>
      </c>
      <c r="AF378">
        <v>2.75</v>
      </c>
      <c r="AG378">
        <v>0</v>
      </c>
      <c r="AH378">
        <v>0</v>
      </c>
      <c r="AI378" s="4">
        <v>40987</v>
      </c>
    </row>
    <row r="379" spans="1:35">
      <c r="A379">
        <v>378</v>
      </c>
      <c r="B379" t="str">
        <f>"002440"</f>
        <v>002440</v>
      </c>
      <c r="C379" t="s">
        <v>3257</v>
      </c>
      <c r="D379" s="4">
        <v>43190</v>
      </c>
      <c r="E379" t="s">
        <v>973</v>
      </c>
      <c r="F379" t="s">
        <v>2000</v>
      </c>
      <c r="G379" t="s">
        <v>3258</v>
      </c>
      <c r="H379">
        <v>0.27</v>
      </c>
      <c r="I379">
        <v>6.05</v>
      </c>
      <c r="J379">
        <v>4.28</v>
      </c>
      <c r="K379" t="s">
        <v>847</v>
      </c>
      <c r="L379">
        <v>9.7799999999999994</v>
      </c>
      <c r="M379" t="s">
        <v>3259</v>
      </c>
      <c r="N379" t="s">
        <v>3260</v>
      </c>
      <c r="O379" t="s">
        <v>137</v>
      </c>
      <c r="P379" t="s">
        <v>1152</v>
      </c>
      <c r="Q379">
        <v>91.63</v>
      </c>
      <c r="R379" t="s">
        <v>1090</v>
      </c>
      <c r="S379">
        <v>3.68</v>
      </c>
      <c r="T379">
        <v>38.31</v>
      </c>
      <c r="U379" t="s">
        <v>3261</v>
      </c>
      <c r="V379" t="s">
        <v>2225</v>
      </c>
      <c r="W379" t="s">
        <v>2339</v>
      </c>
      <c r="X379">
        <v>4.28</v>
      </c>
      <c r="Y379" t="s">
        <v>646</v>
      </c>
      <c r="Z379" t="s">
        <v>1367</v>
      </c>
      <c r="AA379" t="s">
        <v>2360</v>
      </c>
      <c r="AB379">
        <v>1.99</v>
      </c>
      <c r="AC379" t="s">
        <v>3262</v>
      </c>
      <c r="AD379">
        <v>78.88</v>
      </c>
      <c r="AE379" t="s">
        <v>908</v>
      </c>
      <c r="AF379">
        <v>0.99</v>
      </c>
      <c r="AG379">
        <v>0</v>
      </c>
      <c r="AH379">
        <v>0</v>
      </c>
      <c r="AI379" s="4">
        <v>40365</v>
      </c>
    </row>
    <row r="380" spans="1:35">
      <c r="A380">
        <v>379</v>
      </c>
      <c r="B380" t="str">
        <f>"601939"</f>
        <v>601939</v>
      </c>
      <c r="C380" t="s">
        <v>3263</v>
      </c>
      <c r="D380" s="4">
        <v>43190</v>
      </c>
      <c r="E380" t="s">
        <v>3264</v>
      </c>
      <c r="F380" t="s">
        <v>3265</v>
      </c>
      <c r="G380" t="s">
        <v>520</v>
      </c>
      <c r="H380">
        <v>0.3</v>
      </c>
      <c r="I380">
        <v>7.03</v>
      </c>
      <c r="J380">
        <v>4.26</v>
      </c>
      <c r="K380" t="s">
        <v>3266</v>
      </c>
      <c r="L380">
        <v>7.27</v>
      </c>
      <c r="M380" t="s">
        <v>3267</v>
      </c>
      <c r="N380" t="s">
        <v>449</v>
      </c>
      <c r="O380" t="s">
        <v>3268</v>
      </c>
      <c r="P380" t="s">
        <v>3269</v>
      </c>
      <c r="Q380">
        <v>5.43</v>
      </c>
      <c r="R380" t="s">
        <v>3270</v>
      </c>
      <c r="S380">
        <v>3.72</v>
      </c>
      <c r="T380">
        <v>0</v>
      </c>
      <c r="U380" t="s">
        <v>3271</v>
      </c>
      <c r="V380">
        <v>0</v>
      </c>
      <c r="W380" t="s">
        <v>3272</v>
      </c>
      <c r="X380">
        <v>4.26</v>
      </c>
      <c r="Y380" t="s">
        <v>3273</v>
      </c>
      <c r="Z380">
        <v>0</v>
      </c>
      <c r="AA380">
        <v>0</v>
      </c>
      <c r="AB380">
        <v>1.03</v>
      </c>
      <c r="AC380" t="s">
        <v>3274</v>
      </c>
      <c r="AD380">
        <v>8.0399999999999991</v>
      </c>
      <c r="AE380" t="s">
        <v>3275</v>
      </c>
      <c r="AF380">
        <v>0.54</v>
      </c>
      <c r="AG380">
        <v>0</v>
      </c>
      <c r="AH380" t="s">
        <v>3276</v>
      </c>
      <c r="AI380" s="4">
        <v>39350</v>
      </c>
    </row>
    <row r="381" spans="1:35">
      <c r="A381">
        <v>380</v>
      </c>
      <c r="B381" t="str">
        <f>"600256"</f>
        <v>600256</v>
      </c>
      <c r="C381" t="s">
        <v>3277</v>
      </c>
      <c r="D381" s="4">
        <v>43190</v>
      </c>
      <c r="E381" t="s">
        <v>3278</v>
      </c>
      <c r="F381" t="s">
        <v>3278</v>
      </c>
      <c r="G381" t="s">
        <v>3279</v>
      </c>
      <c r="H381">
        <v>0.08</v>
      </c>
      <c r="I381">
        <v>1.8</v>
      </c>
      <c r="J381">
        <v>4.26</v>
      </c>
      <c r="K381" t="s">
        <v>638</v>
      </c>
      <c r="L381">
        <v>196.05</v>
      </c>
      <c r="M381" t="s">
        <v>2569</v>
      </c>
      <c r="N381" t="s">
        <v>3280</v>
      </c>
      <c r="O381" t="s">
        <v>3281</v>
      </c>
      <c r="P381" t="s">
        <v>2178</v>
      </c>
      <c r="Q381">
        <v>1650.8</v>
      </c>
      <c r="R381" t="s">
        <v>428</v>
      </c>
      <c r="S381">
        <v>0.77</v>
      </c>
      <c r="T381">
        <v>36.68</v>
      </c>
      <c r="U381" t="s">
        <v>397</v>
      </c>
      <c r="V381" t="s">
        <v>3125</v>
      </c>
      <c r="W381" t="s">
        <v>1222</v>
      </c>
      <c r="X381">
        <v>4.26</v>
      </c>
      <c r="Y381" t="s">
        <v>3213</v>
      </c>
      <c r="Z381" t="s">
        <v>2634</v>
      </c>
      <c r="AA381" t="s">
        <v>1753</v>
      </c>
      <c r="AB381">
        <v>2.0299999999999998</v>
      </c>
      <c r="AC381" t="s">
        <v>1465</v>
      </c>
      <c r="AD381">
        <v>26.6</v>
      </c>
      <c r="AE381" t="s">
        <v>3196</v>
      </c>
      <c r="AF381">
        <v>0.11</v>
      </c>
      <c r="AG381">
        <v>0</v>
      </c>
      <c r="AH381">
        <v>0</v>
      </c>
      <c r="AI381" s="4">
        <v>36672</v>
      </c>
    </row>
    <row r="382" spans="1:35">
      <c r="A382">
        <v>381</v>
      </c>
      <c r="B382" t="str">
        <f>"300741"</f>
        <v>300741</v>
      </c>
      <c r="C382" t="s">
        <v>3282</v>
      </c>
      <c r="D382" s="4">
        <v>43190</v>
      </c>
      <c r="E382" t="s">
        <v>417</v>
      </c>
      <c r="F382" t="s">
        <v>3283</v>
      </c>
      <c r="G382">
        <v>952</v>
      </c>
      <c r="H382">
        <v>0.45</v>
      </c>
      <c r="I382">
        <v>13.29</v>
      </c>
      <c r="J382">
        <v>4.26</v>
      </c>
      <c r="K382" t="s">
        <v>1481</v>
      </c>
      <c r="L382">
        <v>8.32</v>
      </c>
      <c r="M382" t="s">
        <v>977</v>
      </c>
      <c r="N382" t="s">
        <v>3284</v>
      </c>
      <c r="O382" t="s">
        <v>977</v>
      </c>
      <c r="P382" t="s">
        <v>91</v>
      </c>
      <c r="Q382">
        <v>23.24</v>
      </c>
      <c r="R382" t="s">
        <v>1908</v>
      </c>
      <c r="S382">
        <v>4.3600000000000003</v>
      </c>
      <c r="T382">
        <v>78.819999999999993</v>
      </c>
      <c r="U382" t="s">
        <v>3285</v>
      </c>
      <c r="V382" t="s">
        <v>3286</v>
      </c>
      <c r="W382" t="s">
        <v>1666</v>
      </c>
      <c r="X382">
        <v>4.26</v>
      </c>
      <c r="Y382" t="s">
        <v>498</v>
      </c>
      <c r="Z382" t="s">
        <v>2953</v>
      </c>
      <c r="AA382" t="s">
        <v>332</v>
      </c>
      <c r="AB382">
        <v>2.87</v>
      </c>
      <c r="AC382" t="s">
        <v>3287</v>
      </c>
      <c r="AD382">
        <v>94.01</v>
      </c>
      <c r="AE382" t="s">
        <v>3288</v>
      </c>
      <c r="AF382">
        <v>7.48</v>
      </c>
      <c r="AG382">
        <v>0</v>
      </c>
      <c r="AH382">
        <v>0</v>
      </c>
      <c r="AI382" s="4">
        <v>43160</v>
      </c>
    </row>
    <row r="383" spans="1:35">
      <c r="A383">
        <v>382</v>
      </c>
      <c r="B383" t="str">
        <f>"002603"</f>
        <v>002603</v>
      </c>
      <c r="C383" t="s">
        <v>3289</v>
      </c>
      <c r="D383" s="4">
        <v>43190</v>
      </c>
      <c r="E383" t="s">
        <v>264</v>
      </c>
      <c r="F383" t="s">
        <v>3290</v>
      </c>
      <c r="G383" t="s">
        <v>1691</v>
      </c>
      <c r="H383">
        <v>0.26</v>
      </c>
      <c r="I383">
        <v>6.17</v>
      </c>
      <c r="J383">
        <v>4.26</v>
      </c>
      <c r="K383" t="s">
        <v>1367</v>
      </c>
      <c r="L383">
        <v>20.23</v>
      </c>
      <c r="M383" t="s">
        <v>139</v>
      </c>
      <c r="N383" t="s">
        <v>3291</v>
      </c>
      <c r="O383" t="s">
        <v>139</v>
      </c>
      <c r="P383" t="s">
        <v>679</v>
      </c>
      <c r="Q383">
        <v>41.55</v>
      </c>
      <c r="R383" t="s">
        <v>583</v>
      </c>
      <c r="S383">
        <v>2.4500000000000002</v>
      </c>
      <c r="T383">
        <v>68.23</v>
      </c>
      <c r="U383" t="s">
        <v>2003</v>
      </c>
      <c r="V383" t="s">
        <v>2917</v>
      </c>
      <c r="W383" t="s">
        <v>260</v>
      </c>
      <c r="X383">
        <v>4.26</v>
      </c>
      <c r="Y383" t="s">
        <v>2648</v>
      </c>
      <c r="Z383" t="s">
        <v>1652</v>
      </c>
      <c r="AA383" t="s">
        <v>64</v>
      </c>
      <c r="AB383">
        <v>2.23</v>
      </c>
      <c r="AC383" t="s">
        <v>2762</v>
      </c>
      <c r="AD383">
        <v>90.72</v>
      </c>
      <c r="AE383" t="s">
        <v>1242</v>
      </c>
      <c r="AF383">
        <v>2.4500000000000002</v>
      </c>
      <c r="AG383">
        <v>0</v>
      </c>
      <c r="AH383">
        <v>0</v>
      </c>
      <c r="AI383" s="4">
        <v>40752</v>
      </c>
    </row>
    <row r="384" spans="1:35">
      <c r="A384">
        <v>383</v>
      </c>
      <c r="B384" t="str">
        <f>"002424"</f>
        <v>002424</v>
      </c>
      <c r="C384" t="s">
        <v>3292</v>
      </c>
      <c r="D384" s="4">
        <v>43190</v>
      </c>
      <c r="E384" t="s">
        <v>1384</v>
      </c>
      <c r="F384" t="s">
        <v>2149</v>
      </c>
      <c r="G384">
        <v>8894</v>
      </c>
      <c r="H384">
        <v>0.11</v>
      </c>
      <c r="I384">
        <v>2.4500000000000002</v>
      </c>
      <c r="J384">
        <v>4.26</v>
      </c>
      <c r="K384" t="s">
        <v>3293</v>
      </c>
      <c r="L384">
        <v>11.67</v>
      </c>
      <c r="M384" t="s">
        <v>1202</v>
      </c>
      <c r="N384">
        <v>0</v>
      </c>
      <c r="O384" t="s">
        <v>1597</v>
      </c>
      <c r="P384" t="s">
        <v>2424</v>
      </c>
      <c r="Q384">
        <v>7.83</v>
      </c>
      <c r="R384" t="s">
        <v>1126</v>
      </c>
      <c r="S384">
        <v>1.17</v>
      </c>
      <c r="T384">
        <v>58.47</v>
      </c>
      <c r="U384" t="s">
        <v>2881</v>
      </c>
      <c r="V384" t="s">
        <v>1164</v>
      </c>
      <c r="W384" t="s">
        <v>1723</v>
      </c>
      <c r="X384">
        <v>4.26</v>
      </c>
      <c r="Y384" t="s">
        <v>1025</v>
      </c>
      <c r="Z384" t="s">
        <v>1082</v>
      </c>
      <c r="AA384" t="s">
        <v>3294</v>
      </c>
      <c r="AB384">
        <v>4.5599999999999996</v>
      </c>
      <c r="AC384" t="s">
        <v>1601</v>
      </c>
      <c r="AD384">
        <v>72.53</v>
      </c>
      <c r="AE384" t="s">
        <v>372</v>
      </c>
      <c r="AF384">
        <v>0.1</v>
      </c>
      <c r="AG384">
        <v>0</v>
      </c>
      <c r="AH384">
        <v>0</v>
      </c>
      <c r="AI384" s="4">
        <v>40332</v>
      </c>
    </row>
    <row r="385" spans="1:35">
      <c r="A385">
        <v>384</v>
      </c>
      <c r="B385" t="str">
        <f>"002002"</f>
        <v>002002</v>
      </c>
      <c r="C385" t="s">
        <v>3295</v>
      </c>
      <c r="D385" s="4">
        <v>43190</v>
      </c>
      <c r="E385" t="s">
        <v>1504</v>
      </c>
      <c r="F385" t="s">
        <v>877</v>
      </c>
      <c r="G385" t="s">
        <v>3296</v>
      </c>
      <c r="H385">
        <v>0.1</v>
      </c>
      <c r="I385">
        <v>2.23</v>
      </c>
      <c r="J385">
        <v>4.26</v>
      </c>
      <c r="K385" t="s">
        <v>1384</v>
      </c>
      <c r="L385">
        <v>-5.53</v>
      </c>
      <c r="M385" t="s">
        <v>3297</v>
      </c>
      <c r="N385" t="s">
        <v>3298</v>
      </c>
      <c r="O385" t="s">
        <v>3297</v>
      </c>
      <c r="P385" t="s">
        <v>641</v>
      </c>
      <c r="Q385">
        <v>-17.149999999999999</v>
      </c>
      <c r="R385" t="s">
        <v>789</v>
      </c>
      <c r="S385">
        <v>0.73</v>
      </c>
      <c r="T385">
        <v>34.97</v>
      </c>
      <c r="U385" t="s">
        <v>929</v>
      </c>
      <c r="V385" t="s">
        <v>1085</v>
      </c>
      <c r="W385" t="s">
        <v>797</v>
      </c>
      <c r="X385">
        <v>4.26</v>
      </c>
      <c r="Y385" t="s">
        <v>2388</v>
      </c>
      <c r="Z385" t="s">
        <v>2942</v>
      </c>
      <c r="AA385" t="s">
        <v>1190</v>
      </c>
      <c r="AB385">
        <v>2.8</v>
      </c>
      <c r="AC385" t="s">
        <v>3299</v>
      </c>
      <c r="AD385">
        <v>41.87</v>
      </c>
      <c r="AE385" t="s">
        <v>521</v>
      </c>
      <c r="AF385">
        <v>0.41</v>
      </c>
      <c r="AG385">
        <v>0</v>
      </c>
      <c r="AH385">
        <v>0</v>
      </c>
      <c r="AI385" s="4">
        <v>38163</v>
      </c>
    </row>
    <row r="386" spans="1:35">
      <c r="A386">
        <v>385</v>
      </c>
      <c r="B386" t="str">
        <f>"000540"</f>
        <v>000540</v>
      </c>
      <c r="C386" t="s">
        <v>3300</v>
      </c>
      <c r="D386" s="4">
        <v>43190</v>
      </c>
      <c r="E386" t="s">
        <v>3301</v>
      </c>
      <c r="F386" t="s">
        <v>3302</v>
      </c>
      <c r="G386" t="s">
        <v>522</v>
      </c>
      <c r="H386">
        <v>0.1</v>
      </c>
      <c r="I386">
        <v>2.35</v>
      </c>
      <c r="J386">
        <v>4.26</v>
      </c>
      <c r="K386" t="s">
        <v>3303</v>
      </c>
      <c r="L386">
        <v>-34.22</v>
      </c>
      <c r="M386" t="s">
        <v>1849</v>
      </c>
      <c r="N386" t="s">
        <v>1596</v>
      </c>
      <c r="O386" t="s">
        <v>448</v>
      </c>
      <c r="P386" t="s">
        <v>489</v>
      </c>
      <c r="Q386">
        <v>-25.64</v>
      </c>
      <c r="R386" t="s">
        <v>1163</v>
      </c>
      <c r="S386">
        <v>1.06</v>
      </c>
      <c r="T386">
        <v>35.29</v>
      </c>
      <c r="U386" t="s">
        <v>3304</v>
      </c>
      <c r="V386" t="s">
        <v>3305</v>
      </c>
      <c r="W386" t="s">
        <v>733</v>
      </c>
      <c r="X386">
        <v>4.26</v>
      </c>
      <c r="Y386" t="s">
        <v>3306</v>
      </c>
      <c r="Z386" t="s">
        <v>3307</v>
      </c>
      <c r="AA386" t="s">
        <v>3308</v>
      </c>
      <c r="AB386">
        <v>2.0699999999999998</v>
      </c>
      <c r="AC386" t="s">
        <v>1251</v>
      </c>
      <c r="AD386">
        <v>15.74</v>
      </c>
      <c r="AE386" t="s">
        <v>2093</v>
      </c>
      <c r="AF386">
        <v>0.17</v>
      </c>
      <c r="AG386">
        <v>0</v>
      </c>
      <c r="AH386">
        <v>0</v>
      </c>
      <c r="AI386" s="4">
        <v>34367</v>
      </c>
    </row>
    <row r="387" spans="1:35">
      <c r="A387">
        <v>386</v>
      </c>
      <c r="B387" t="str">
        <f>"600704"</f>
        <v>600704</v>
      </c>
      <c r="C387" t="s">
        <v>3309</v>
      </c>
      <c r="D387" s="4">
        <v>43190</v>
      </c>
      <c r="E387" t="s">
        <v>524</v>
      </c>
      <c r="F387" t="s">
        <v>924</v>
      </c>
      <c r="G387" t="s">
        <v>3310</v>
      </c>
      <c r="H387">
        <v>0.19</v>
      </c>
      <c r="I387">
        <v>4.0999999999999996</v>
      </c>
      <c r="J387">
        <v>4.2300000000000004</v>
      </c>
      <c r="K387" t="s">
        <v>3311</v>
      </c>
      <c r="L387">
        <v>-6.76</v>
      </c>
      <c r="M387" t="s">
        <v>350</v>
      </c>
      <c r="N387" t="s">
        <v>978</v>
      </c>
      <c r="O387" t="s">
        <v>350</v>
      </c>
      <c r="P387" t="s">
        <v>3312</v>
      </c>
      <c r="Q387">
        <v>111.23</v>
      </c>
      <c r="R387" t="s">
        <v>3313</v>
      </c>
      <c r="S387">
        <v>1.57</v>
      </c>
      <c r="T387">
        <v>3.25</v>
      </c>
      <c r="U387" t="s">
        <v>3314</v>
      </c>
      <c r="V387" t="s">
        <v>3315</v>
      </c>
      <c r="W387" t="s">
        <v>3316</v>
      </c>
      <c r="X387">
        <v>4.2300000000000004</v>
      </c>
      <c r="Y387" t="s">
        <v>3317</v>
      </c>
      <c r="Z387" t="s">
        <v>3318</v>
      </c>
      <c r="AA387" t="s">
        <v>1107</v>
      </c>
      <c r="AB387">
        <v>1.25</v>
      </c>
      <c r="AC387" t="s">
        <v>1265</v>
      </c>
      <c r="AD387">
        <v>23.3</v>
      </c>
      <c r="AE387" t="s">
        <v>2643</v>
      </c>
      <c r="AF387">
        <v>0.93</v>
      </c>
      <c r="AG387">
        <v>0</v>
      </c>
      <c r="AH387">
        <v>0</v>
      </c>
      <c r="AI387" s="4">
        <v>35222</v>
      </c>
    </row>
    <row r="388" spans="1:35">
      <c r="A388">
        <v>387</v>
      </c>
      <c r="B388" t="str">
        <f>"600581"</f>
        <v>600581</v>
      </c>
      <c r="C388" t="s">
        <v>3319</v>
      </c>
      <c r="D388" s="4">
        <v>43190</v>
      </c>
      <c r="E388" t="s">
        <v>391</v>
      </c>
      <c r="F388" t="s">
        <v>391</v>
      </c>
      <c r="G388" t="s">
        <v>2645</v>
      </c>
      <c r="H388">
        <v>0.09</v>
      </c>
      <c r="I388">
        <v>2.27</v>
      </c>
      <c r="J388">
        <v>4.2300000000000004</v>
      </c>
      <c r="K388" t="s">
        <v>817</v>
      </c>
      <c r="L388">
        <v>20.09</v>
      </c>
      <c r="M388" t="s">
        <v>1016</v>
      </c>
      <c r="N388">
        <v>-1059</v>
      </c>
      <c r="O388" t="s">
        <v>1016</v>
      </c>
      <c r="P388" t="s">
        <v>1016</v>
      </c>
      <c r="Q388">
        <v>-47.12</v>
      </c>
      <c r="R388" t="s">
        <v>3320</v>
      </c>
      <c r="S388">
        <v>-1.42</v>
      </c>
      <c r="T388">
        <v>11.92</v>
      </c>
      <c r="U388" t="s">
        <v>1893</v>
      </c>
      <c r="V388" t="s">
        <v>511</v>
      </c>
      <c r="W388" t="s">
        <v>929</v>
      </c>
      <c r="X388">
        <v>4.2300000000000004</v>
      </c>
      <c r="Y388" t="s">
        <v>764</v>
      </c>
      <c r="Z388" t="s">
        <v>3118</v>
      </c>
      <c r="AA388" t="s">
        <v>3321</v>
      </c>
      <c r="AB388">
        <v>2.06</v>
      </c>
      <c r="AC388" t="s">
        <v>312</v>
      </c>
      <c r="AD388">
        <v>18.43</v>
      </c>
      <c r="AE388" t="s">
        <v>763</v>
      </c>
      <c r="AF388">
        <v>2.17</v>
      </c>
      <c r="AG388">
        <v>0</v>
      </c>
      <c r="AH388">
        <v>0</v>
      </c>
      <c r="AI388" s="4">
        <v>37484</v>
      </c>
    </row>
    <row r="389" spans="1:35">
      <c r="A389">
        <v>388</v>
      </c>
      <c r="B389" t="str">
        <f>"000150"</f>
        <v>000150</v>
      </c>
      <c r="C389" t="s">
        <v>3322</v>
      </c>
      <c r="D389" s="4">
        <v>43190</v>
      </c>
      <c r="E389" t="s">
        <v>545</v>
      </c>
      <c r="F389" t="s">
        <v>138</v>
      </c>
      <c r="G389" t="s">
        <v>3323</v>
      </c>
      <c r="H389">
        <v>0.22</v>
      </c>
      <c r="I389">
        <v>5.31</v>
      </c>
      <c r="J389">
        <v>4.2300000000000004</v>
      </c>
      <c r="K389" t="s">
        <v>3324</v>
      </c>
      <c r="L389">
        <v>41.07</v>
      </c>
      <c r="M389" t="s">
        <v>2603</v>
      </c>
      <c r="N389" t="s">
        <v>3325</v>
      </c>
      <c r="O389" t="s">
        <v>2603</v>
      </c>
      <c r="P389" t="s">
        <v>651</v>
      </c>
      <c r="Q389">
        <v>112.75</v>
      </c>
      <c r="R389" t="s">
        <v>699</v>
      </c>
      <c r="S389">
        <v>2.42</v>
      </c>
      <c r="T389">
        <v>42.28</v>
      </c>
      <c r="U389" t="s">
        <v>3326</v>
      </c>
      <c r="V389" t="s">
        <v>1700</v>
      </c>
      <c r="W389" t="s">
        <v>1590</v>
      </c>
      <c r="X389">
        <v>4.2300000000000004</v>
      </c>
      <c r="Y389" t="s">
        <v>2860</v>
      </c>
      <c r="Z389" t="s">
        <v>1419</v>
      </c>
      <c r="AA389" t="s">
        <v>1307</v>
      </c>
      <c r="AB389">
        <v>5.27</v>
      </c>
      <c r="AC389" t="s">
        <v>1704</v>
      </c>
      <c r="AD389">
        <v>31.26</v>
      </c>
      <c r="AE389" t="s">
        <v>1590</v>
      </c>
      <c r="AF389">
        <v>1.67</v>
      </c>
      <c r="AG389">
        <v>0</v>
      </c>
      <c r="AH389">
        <v>0</v>
      </c>
      <c r="AI389" s="4">
        <v>36745</v>
      </c>
    </row>
    <row r="390" spans="1:35">
      <c r="A390">
        <v>389</v>
      </c>
      <c r="B390" t="str">
        <f>"603617"</f>
        <v>603617</v>
      </c>
      <c r="C390" t="s">
        <v>3327</v>
      </c>
      <c r="D390" s="4">
        <v>43190</v>
      </c>
      <c r="E390" t="s">
        <v>2307</v>
      </c>
      <c r="F390" t="s">
        <v>534</v>
      </c>
      <c r="G390">
        <v>2340</v>
      </c>
      <c r="H390">
        <v>0.2</v>
      </c>
      <c r="I390">
        <v>4.7</v>
      </c>
      <c r="J390">
        <v>4.22</v>
      </c>
      <c r="K390" t="s">
        <v>2123</v>
      </c>
      <c r="L390">
        <v>3.22</v>
      </c>
      <c r="M390" t="s">
        <v>3328</v>
      </c>
      <c r="N390" t="s">
        <v>875</v>
      </c>
      <c r="O390" t="s">
        <v>3329</v>
      </c>
      <c r="P390" t="s">
        <v>3330</v>
      </c>
      <c r="Q390">
        <v>-15.23</v>
      </c>
      <c r="R390" t="s">
        <v>284</v>
      </c>
      <c r="S390">
        <v>1.55</v>
      </c>
      <c r="T390">
        <v>24.25</v>
      </c>
      <c r="U390" t="s">
        <v>500</v>
      </c>
      <c r="V390" t="s">
        <v>1121</v>
      </c>
      <c r="W390" t="s">
        <v>209</v>
      </c>
      <c r="X390">
        <v>4.22</v>
      </c>
      <c r="Y390" t="s">
        <v>916</v>
      </c>
      <c r="Z390" t="s">
        <v>916</v>
      </c>
      <c r="AA390" t="s">
        <v>3331</v>
      </c>
      <c r="AB390">
        <v>3.95</v>
      </c>
      <c r="AC390" t="s">
        <v>2036</v>
      </c>
      <c r="AD390">
        <v>67.47</v>
      </c>
      <c r="AE390" t="s">
        <v>3332</v>
      </c>
      <c r="AF390">
        <v>1.94</v>
      </c>
      <c r="AG390">
        <v>0</v>
      </c>
      <c r="AH390">
        <v>0</v>
      </c>
      <c r="AI390" s="4">
        <v>42919</v>
      </c>
    </row>
    <row r="391" spans="1:35">
      <c r="A391">
        <v>390</v>
      </c>
      <c r="B391" t="str">
        <f>"600829"</f>
        <v>600829</v>
      </c>
      <c r="C391" t="s">
        <v>3333</v>
      </c>
      <c r="D391" s="4">
        <v>43190</v>
      </c>
      <c r="E391" t="s">
        <v>1502</v>
      </c>
      <c r="F391" t="s">
        <v>1502</v>
      </c>
      <c r="G391" t="s">
        <v>2738</v>
      </c>
      <c r="H391">
        <v>0.12</v>
      </c>
      <c r="I391">
        <v>2.4</v>
      </c>
      <c r="J391">
        <v>4.22</v>
      </c>
      <c r="K391" t="s">
        <v>646</v>
      </c>
      <c r="L391">
        <v>-17.89</v>
      </c>
      <c r="M391" t="s">
        <v>3334</v>
      </c>
      <c r="N391">
        <v>0</v>
      </c>
      <c r="O391" t="s">
        <v>3335</v>
      </c>
      <c r="P391" t="s">
        <v>3336</v>
      </c>
      <c r="Q391">
        <v>5.22</v>
      </c>
      <c r="R391" t="s">
        <v>407</v>
      </c>
      <c r="S391">
        <v>1.32</v>
      </c>
      <c r="T391">
        <v>13.45</v>
      </c>
      <c r="U391" t="s">
        <v>1841</v>
      </c>
      <c r="V391" t="s">
        <v>2709</v>
      </c>
      <c r="W391" t="s">
        <v>120</v>
      </c>
      <c r="X391">
        <v>4.22</v>
      </c>
      <c r="Y391" t="s">
        <v>2057</v>
      </c>
      <c r="Z391" t="s">
        <v>1242</v>
      </c>
      <c r="AA391" t="s">
        <v>609</v>
      </c>
      <c r="AB391">
        <v>3.21</v>
      </c>
      <c r="AC391" t="s">
        <v>1569</v>
      </c>
      <c r="AD391">
        <v>35.14</v>
      </c>
      <c r="AE391">
        <v>0</v>
      </c>
      <c r="AF391">
        <v>0</v>
      </c>
      <c r="AG391">
        <v>0</v>
      </c>
      <c r="AH391">
        <v>0</v>
      </c>
      <c r="AI391" s="4">
        <v>34389</v>
      </c>
    </row>
    <row r="392" spans="1:35">
      <c r="A392">
        <v>391</v>
      </c>
      <c r="B392" t="str">
        <f>"600236"</f>
        <v>600236</v>
      </c>
      <c r="C392" t="s">
        <v>3337</v>
      </c>
      <c r="D392" s="4">
        <v>43190</v>
      </c>
      <c r="E392" t="s">
        <v>2196</v>
      </c>
      <c r="F392" t="s">
        <v>464</v>
      </c>
      <c r="G392" t="s">
        <v>3338</v>
      </c>
      <c r="H392">
        <v>0.11</v>
      </c>
      <c r="I392">
        <v>2.56</v>
      </c>
      <c r="J392">
        <v>4.22</v>
      </c>
      <c r="K392" t="s">
        <v>2568</v>
      </c>
      <c r="L392">
        <v>21.36</v>
      </c>
      <c r="M392" t="s">
        <v>2512</v>
      </c>
      <c r="N392" t="s">
        <v>3339</v>
      </c>
      <c r="O392" t="s">
        <v>277</v>
      </c>
      <c r="P392" t="s">
        <v>424</v>
      </c>
      <c r="Q392">
        <v>100.58</v>
      </c>
      <c r="R392" t="s">
        <v>1878</v>
      </c>
      <c r="S392">
        <v>1.01</v>
      </c>
      <c r="T392">
        <v>57.81</v>
      </c>
      <c r="U392" t="s">
        <v>714</v>
      </c>
      <c r="V392" t="s">
        <v>239</v>
      </c>
      <c r="W392" t="s">
        <v>3308</v>
      </c>
      <c r="X392">
        <v>4.22</v>
      </c>
      <c r="Y392" t="s">
        <v>1265</v>
      </c>
      <c r="Z392" t="s">
        <v>3125</v>
      </c>
      <c r="AA392" t="s">
        <v>928</v>
      </c>
      <c r="AB392">
        <v>2.41</v>
      </c>
      <c r="AC392" t="s">
        <v>788</v>
      </c>
      <c r="AD392">
        <v>38.9</v>
      </c>
      <c r="AE392" t="s">
        <v>514</v>
      </c>
      <c r="AF392">
        <v>0.35</v>
      </c>
      <c r="AG392">
        <v>0</v>
      </c>
      <c r="AH392">
        <v>0</v>
      </c>
      <c r="AI392" s="4">
        <v>36608</v>
      </c>
    </row>
    <row r="393" spans="1:35">
      <c r="A393">
        <v>392</v>
      </c>
      <c r="B393" t="str">
        <f>"600104"</f>
        <v>600104</v>
      </c>
      <c r="C393" t="s">
        <v>3340</v>
      </c>
      <c r="D393" s="4">
        <v>43190</v>
      </c>
      <c r="E393" t="s">
        <v>315</v>
      </c>
      <c r="F393" t="s">
        <v>689</v>
      </c>
      <c r="G393" t="s">
        <v>3341</v>
      </c>
      <c r="H393">
        <v>0.83</v>
      </c>
      <c r="I393">
        <v>20.059999999999999</v>
      </c>
      <c r="J393">
        <v>4.22</v>
      </c>
      <c r="K393" t="s">
        <v>3342</v>
      </c>
      <c r="L393">
        <v>21.68</v>
      </c>
      <c r="M393" t="s">
        <v>1885</v>
      </c>
      <c r="N393" t="s">
        <v>3343</v>
      </c>
      <c r="O393" t="s">
        <v>1540</v>
      </c>
      <c r="P393" t="s">
        <v>3344</v>
      </c>
      <c r="Q393">
        <v>17.5</v>
      </c>
      <c r="R393" t="s">
        <v>3345</v>
      </c>
      <c r="S393">
        <v>9.7899999999999991</v>
      </c>
      <c r="T393">
        <v>13.07</v>
      </c>
      <c r="U393" t="s">
        <v>3346</v>
      </c>
      <c r="V393" t="s">
        <v>3347</v>
      </c>
      <c r="W393" t="s">
        <v>3348</v>
      </c>
      <c r="X393">
        <v>4.22</v>
      </c>
      <c r="Y393" t="s">
        <v>3349</v>
      </c>
      <c r="Z393" t="s">
        <v>3350</v>
      </c>
      <c r="AA393" t="s">
        <v>3351</v>
      </c>
      <c r="AB393">
        <v>1.83</v>
      </c>
      <c r="AC393" t="s">
        <v>3352</v>
      </c>
      <c r="AD393">
        <v>31.45</v>
      </c>
      <c r="AE393" t="s">
        <v>3353</v>
      </c>
      <c r="AF393">
        <v>4.6900000000000004</v>
      </c>
      <c r="AG393">
        <v>0</v>
      </c>
      <c r="AH393">
        <v>0</v>
      </c>
      <c r="AI393" s="4">
        <v>35759</v>
      </c>
    </row>
    <row r="394" spans="1:35">
      <c r="A394">
        <v>393</v>
      </c>
      <c r="B394" t="str">
        <f>"002920"</f>
        <v>002920</v>
      </c>
      <c r="C394" t="s">
        <v>3354</v>
      </c>
      <c r="D394" s="4">
        <v>43190</v>
      </c>
      <c r="E394" t="s">
        <v>701</v>
      </c>
      <c r="F394" t="s">
        <v>2307</v>
      </c>
      <c r="G394">
        <v>1924</v>
      </c>
      <c r="H394">
        <v>0.28999999999999998</v>
      </c>
      <c r="I394">
        <v>6.76</v>
      </c>
      <c r="J394">
        <v>4.22</v>
      </c>
      <c r="K394" t="s">
        <v>538</v>
      </c>
      <c r="L394">
        <v>-17.149999999999999</v>
      </c>
      <c r="M394" t="s">
        <v>905</v>
      </c>
      <c r="N394" t="s">
        <v>3355</v>
      </c>
      <c r="O394" t="s">
        <v>905</v>
      </c>
      <c r="P394" t="s">
        <v>1203</v>
      </c>
      <c r="Q394">
        <v>-25.58</v>
      </c>
      <c r="R394" t="s">
        <v>147</v>
      </c>
      <c r="S394">
        <v>1.73</v>
      </c>
      <c r="T394">
        <v>26.56</v>
      </c>
      <c r="U394" t="s">
        <v>1599</v>
      </c>
      <c r="V394" t="s">
        <v>732</v>
      </c>
      <c r="W394" t="s">
        <v>2922</v>
      </c>
      <c r="X394">
        <v>4.22</v>
      </c>
      <c r="Y394" t="s">
        <v>510</v>
      </c>
      <c r="Z394" t="s">
        <v>1792</v>
      </c>
      <c r="AA394" t="s">
        <v>1402</v>
      </c>
      <c r="AB394">
        <v>4.4000000000000004</v>
      </c>
      <c r="AC394" t="s">
        <v>948</v>
      </c>
      <c r="AD394">
        <v>67.760000000000005</v>
      </c>
      <c r="AE394" t="s">
        <v>3356</v>
      </c>
      <c r="AF394">
        <v>3.76</v>
      </c>
      <c r="AG394">
        <v>0</v>
      </c>
      <c r="AH394">
        <v>0</v>
      </c>
      <c r="AI394" s="4">
        <v>43095</v>
      </c>
    </row>
    <row r="395" spans="1:35">
      <c r="A395">
        <v>394</v>
      </c>
      <c r="B395" t="str">
        <f>"002136"</f>
        <v>002136</v>
      </c>
      <c r="C395" t="s">
        <v>3357</v>
      </c>
      <c r="D395" s="4">
        <v>43190</v>
      </c>
      <c r="E395" t="s">
        <v>1364</v>
      </c>
      <c r="F395" t="s">
        <v>454</v>
      </c>
      <c r="G395">
        <v>8065</v>
      </c>
      <c r="H395">
        <v>0.13</v>
      </c>
      <c r="I395">
        <v>3.14</v>
      </c>
      <c r="J395">
        <v>4.22</v>
      </c>
      <c r="K395" t="s">
        <v>1206</v>
      </c>
      <c r="L395">
        <v>20.11</v>
      </c>
      <c r="M395" t="s">
        <v>3358</v>
      </c>
      <c r="N395">
        <v>0</v>
      </c>
      <c r="O395" t="s">
        <v>3359</v>
      </c>
      <c r="P395" t="s">
        <v>3360</v>
      </c>
      <c r="Q395">
        <v>-9.93</v>
      </c>
      <c r="R395" t="s">
        <v>804</v>
      </c>
      <c r="S395">
        <v>0.41</v>
      </c>
      <c r="T395">
        <v>19.13</v>
      </c>
      <c r="U395" t="s">
        <v>919</v>
      </c>
      <c r="V395" t="s">
        <v>704</v>
      </c>
      <c r="W395" t="s">
        <v>1450</v>
      </c>
      <c r="X395">
        <v>4.22</v>
      </c>
      <c r="Y395" t="s">
        <v>89</v>
      </c>
      <c r="Z395" t="s">
        <v>2551</v>
      </c>
      <c r="AA395" t="s">
        <v>3361</v>
      </c>
      <c r="AB395">
        <v>2.81</v>
      </c>
      <c r="AC395" t="s">
        <v>259</v>
      </c>
      <c r="AD395">
        <v>66.77</v>
      </c>
      <c r="AE395" t="s">
        <v>218</v>
      </c>
      <c r="AF395">
        <v>1.63</v>
      </c>
      <c r="AG395">
        <v>0</v>
      </c>
      <c r="AH395">
        <v>0</v>
      </c>
      <c r="AI395" s="4">
        <v>39232</v>
      </c>
    </row>
    <row r="396" spans="1:35">
      <c r="A396">
        <v>395</v>
      </c>
      <c r="B396" t="str">
        <f>"000673"</f>
        <v>000673</v>
      </c>
      <c r="C396" t="s">
        <v>3362</v>
      </c>
      <c r="D396" s="4">
        <v>43190</v>
      </c>
      <c r="E396" t="s">
        <v>2621</v>
      </c>
      <c r="F396" t="s">
        <v>2284</v>
      </c>
      <c r="G396" t="s">
        <v>2550</v>
      </c>
      <c r="H396">
        <v>0.12</v>
      </c>
      <c r="I396">
        <v>2.85</v>
      </c>
      <c r="J396">
        <v>4.22</v>
      </c>
      <c r="K396" t="s">
        <v>1999</v>
      </c>
      <c r="L396">
        <v>190.68</v>
      </c>
      <c r="M396" t="s">
        <v>642</v>
      </c>
      <c r="N396" t="s">
        <v>3363</v>
      </c>
      <c r="O396" t="s">
        <v>1626</v>
      </c>
      <c r="P396" t="s">
        <v>3364</v>
      </c>
      <c r="Q396">
        <v>607.48</v>
      </c>
      <c r="R396" t="s">
        <v>3365</v>
      </c>
      <c r="S396">
        <v>-0.02</v>
      </c>
      <c r="T396">
        <v>44</v>
      </c>
      <c r="U396" t="s">
        <v>1133</v>
      </c>
      <c r="V396" t="s">
        <v>1347</v>
      </c>
      <c r="W396" t="s">
        <v>3366</v>
      </c>
      <c r="X396">
        <v>4.22</v>
      </c>
      <c r="Y396" t="s">
        <v>908</v>
      </c>
      <c r="Z396" t="s">
        <v>1214</v>
      </c>
      <c r="AA396" t="s">
        <v>1360</v>
      </c>
      <c r="AB396">
        <v>6.44</v>
      </c>
      <c r="AC396" t="s">
        <v>565</v>
      </c>
      <c r="AD396">
        <v>58.65</v>
      </c>
      <c r="AE396" t="s">
        <v>584</v>
      </c>
      <c r="AF396">
        <v>1.84</v>
      </c>
      <c r="AG396">
        <v>0</v>
      </c>
      <c r="AH396">
        <v>0</v>
      </c>
      <c r="AI396" s="4">
        <v>35454</v>
      </c>
    </row>
    <row r="397" spans="1:35">
      <c r="A397">
        <v>396</v>
      </c>
      <c r="B397" t="str">
        <f>"600901"</f>
        <v>600901</v>
      </c>
      <c r="C397" t="s">
        <v>3367</v>
      </c>
      <c r="D397" s="4">
        <v>43190</v>
      </c>
      <c r="E397" t="s">
        <v>864</v>
      </c>
      <c r="F397" t="s">
        <v>1849</v>
      </c>
      <c r="G397">
        <v>2583</v>
      </c>
      <c r="H397">
        <v>0.11</v>
      </c>
      <c r="I397">
        <v>3.38</v>
      </c>
      <c r="J397">
        <v>4.21</v>
      </c>
      <c r="K397" t="s">
        <v>3368</v>
      </c>
      <c r="L397">
        <v>4.78</v>
      </c>
      <c r="M397" t="s">
        <v>1827</v>
      </c>
      <c r="N397" t="s">
        <v>3369</v>
      </c>
      <c r="O397" t="s">
        <v>1827</v>
      </c>
      <c r="P397" t="s">
        <v>89</v>
      </c>
      <c r="Q397">
        <v>9.23</v>
      </c>
      <c r="R397" t="s">
        <v>576</v>
      </c>
      <c r="S397">
        <v>0.59</v>
      </c>
      <c r="T397">
        <v>0</v>
      </c>
      <c r="U397" t="s">
        <v>3370</v>
      </c>
      <c r="V397">
        <v>0</v>
      </c>
      <c r="W397" t="s">
        <v>1615</v>
      </c>
      <c r="X397">
        <v>4.21</v>
      </c>
      <c r="Y397" t="s">
        <v>3371</v>
      </c>
      <c r="Z397">
        <v>0</v>
      </c>
      <c r="AA397">
        <v>0</v>
      </c>
      <c r="AB397">
        <v>2.2000000000000002</v>
      </c>
      <c r="AC397" t="s">
        <v>525</v>
      </c>
      <c r="AD397">
        <v>19.37</v>
      </c>
      <c r="AE397" t="s">
        <v>2197</v>
      </c>
      <c r="AF397">
        <v>1.45</v>
      </c>
      <c r="AG397">
        <v>0</v>
      </c>
      <c r="AH397">
        <v>0</v>
      </c>
      <c r="AI397" s="4">
        <v>43160</v>
      </c>
    </row>
    <row r="398" spans="1:35">
      <c r="A398">
        <v>397</v>
      </c>
      <c r="B398" t="str">
        <f>"000999"</f>
        <v>000999</v>
      </c>
      <c r="C398" t="s">
        <v>3372</v>
      </c>
      <c r="D398" s="4">
        <v>43190</v>
      </c>
      <c r="E398" t="s">
        <v>721</v>
      </c>
      <c r="F398" t="s">
        <v>722</v>
      </c>
      <c r="G398" t="s">
        <v>3373</v>
      </c>
      <c r="H398">
        <v>0.43</v>
      </c>
      <c r="I398">
        <v>10.48</v>
      </c>
      <c r="J398">
        <v>4.21</v>
      </c>
      <c r="K398" t="s">
        <v>1391</v>
      </c>
      <c r="L398">
        <v>37.590000000000003</v>
      </c>
      <c r="M398" t="s">
        <v>3374</v>
      </c>
      <c r="N398" t="s">
        <v>3375</v>
      </c>
      <c r="O398" t="s">
        <v>2789</v>
      </c>
      <c r="P398" t="s">
        <v>3376</v>
      </c>
      <c r="Q398">
        <v>12.87</v>
      </c>
      <c r="R398" t="s">
        <v>1498</v>
      </c>
      <c r="S398">
        <v>7.74</v>
      </c>
      <c r="T398">
        <v>67.12</v>
      </c>
      <c r="U398" t="s">
        <v>2016</v>
      </c>
      <c r="V398" t="s">
        <v>1060</v>
      </c>
      <c r="W398" t="s">
        <v>693</v>
      </c>
      <c r="X398">
        <v>4.21</v>
      </c>
      <c r="Y398" t="s">
        <v>2390</v>
      </c>
      <c r="Z398" t="s">
        <v>3377</v>
      </c>
      <c r="AA398" t="s">
        <v>106</v>
      </c>
      <c r="AB398">
        <v>2.63</v>
      </c>
      <c r="AC398" t="s">
        <v>1820</v>
      </c>
      <c r="AD398">
        <v>61.92</v>
      </c>
      <c r="AE398" t="s">
        <v>250</v>
      </c>
      <c r="AF398">
        <v>1.21</v>
      </c>
      <c r="AG398">
        <v>0</v>
      </c>
      <c r="AH398">
        <v>0</v>
      </c>
      <c r="AI398" s="4">
        <v>36594</v>
      </c>
    </row>
    <row r="399" spans="1:35">
      <c r="A399">
        <v>398</v>
      </c>
      <c r="B399" t="str">
        <f>"600535"</f>
        <v>600535</v>
      </c>
      <c r="C399" t="s">
        <v>3378</v>
      </c>
      <c r="D399" s="4">
        <v>43190</v>
      </c>
      <c r="E399" t="s">
        <v>547</v>
      </c>
      <c r="F399" t="s">
        <v>547</v>
      </c>
      <c r="G399" t="s">
        <v>2039</v>
      </c>
      <c r="H399">
        <v>0.25</v>
      </c>
      <c r="I399">
        <v>5.68</v>
      </c>
      <c r="J399">
        <v>4.2</v>
      </c>
      <c r="K399" t="s">
        <v>1581</v>
      </c>
      <c r="L399">
        <v>18.059999999999999</v>
      </c>
      <c r="M399" t="s">
        <v>2222</v>
      </c>
      <c r="N399" t="s">
        <v>3379</v>
      </c>
      <c r="O399" t="s">
        <v>2222</v>
      </c>
      <c r="P399" t="s">
        <v>1035</v>
      </c>
      <c r="Q399">
        <v>16.77</v>
      </c>
      <c r="R399" t="s">
        <v>3380</v>
      </c>
      <c r="S399">
        <v>3.38</v>
      </c>
      <c r="T399">
        <v>34.33</v>
      </c>
      <c r="U399" t="s">
        <v>1100</v>
      </c>
      <c r="V399" t="s">
        <v>1540</v>
      </c>
      <c r="W399" t="s">
        <v>1391</v>
      </c>
      <c r="X399">
        <v>4.2</v>
      </c>
      <c r="Y399" t="s">
        <v>1524</v>
      </c>
      <c r="Z399" t="s">
        <v>252</v>
      </c>
      <c r="AA399" t="s">
        <v>1350</v>
      </c>
      <c r="AB399">
        <v>4.3899999999999997</v>
      </c>
      <c r="AC399" t="s">
        <v>3381</v>
      </c>
      <c r="AD399">
        <v>39.65</v>
      </c>
      <c r="AE399" t="s">
        <v>141</v>
      </c>
      <c r="AF399">
        <v>0.69</v>
      </c>
      <c r="AG399">
        <v>0</v>
      </c>
      <c r="AH399">
        <v>0</v>
      </c>
      <c r="AI399" s="4">
        <v>37491</v>
      </c>
    </row>
    <row r="400" spans="1:35">
      <c r="A400">
        <v>399</v>
      </c>
      <c r="B400" t="str">
        <f>"300498"</f>
        <v>300498</v>
      </c>
      <c r="C400" t="s">
        <v>3382</v>
      </c>
      <c r="D400" s="4">
        <v>43190</v>
      </c>
      <c r="E400" t="s">
        <v>713</v>
      </c>
      <c r="F400" t="s">
        <v>1601</v>
      </c>
      <c r="G400" t="s">
        <v>3085</v>
      </c>
      <c r="H400">
        <v>0.27</v>
      </c>
      <c r="I400">
        <v>6.34</v>
      </c>
      <c r="J400">
        <v>4.2</v>
      </c>
      <c r="K400" t="s">
        <v>2504</v>
      </c>
      <c r="L400">
        <v>2.75</v>
      </c>
      <c r="M400" t="s">
        <v>855</v>
      </c>
      <c r="N400" t="s">
        <v>3383</v>
      </c>
      <c r="O400" t="s">
        <v>855</v>
      </c>
      <c r="P400" t="s">
        <v>1384</v>
      </c>
      <c r="Q400">
        <v>-4.4000000000000004</v>
      </c>
      <c r="R400" t="s">
        <v>1337</v>
      </c>
      <c r="S400">
        <v>3.62</v>
      </c>
      <c r="T400">
        <v>18.41</v>
      </c>
      <c r="U400" t="s">
        <v>3384</v>
      </c>
      <c r="V400" t="s">
        <v>3385</v>
      </c>
      <c r="W400" t="s">
        <v>1741</v>
      </c>
      <c r="X400">
        <v>4.2</v>
      </c>
      <c r="Y400" t="s">
        <v>1741</v>
      </c>
      <c r="Z400" t="s">
        <v>716</v>
      </c>
      <c r="AA400" t="s">
        <v>3386</v>
      </c>
      <c r="AB400">
        <v>3.58</v>
      </c>
      <c r="AC400" t="s">
        <v>3387</v>
      </c>
      <c r="AD400">
        <v>68.680000000000007</v>
      </c>
      <c r="AE400" t="s">
        <v>2567</v>
      </c>
      <c r="AF400">
        <v>1.1299999999999999</v>
      </c>
      <c r="AG400">
        <v>0</v>
      </c>
      <c r="AH400">
        <v>0</v>
      </c>
      <c r="AI400" s="4">
        <v>42310</v>
      </c>
    </row>
    <row r="401" spans="1:35">
      <c r="A401">
        <v>400</v>
      </c>
      <c r="B401" t="str">
        <f>"000526"</f>
        <v>000526</v>
      </c>
      <c r="C401" t="s">
        <v>3388</v>
      </c>
      <c r="D401" s="4">
        <v>43190</v>
      </c>
      <c r="E401" t="s">
        <v>3389</v>
      </c>
      <c r="F401" t="s">
        <v>3389</v>
      </c>
      <c r="G401">
        <v>7911</v>
      </c>
      <c r="H401">
        <v>0.03</v>
      </c>
      <c r="I401">
        <v>0.75</v>
      </c>
      <c r="J401">
        <v>4.2</v>
      </c>
      <c r="K401" t="s">
        <v>1487</v>
      </c>
      <c r="L401">
        <v>2.0699999999999998</v>
      </c>
      <c r="M401" t="s">
        <v>3390</v>
      </c>
      <c r="N401" t="s">
        <v>3391</v>
      </c>
      <c r="O401" t="s">
        <v>3392</v>
      </c>
      <c r="P401" t="s">
        <v>3393</v>
      </c>
      <c r="Q401">
        <v>-67.150000000000006</v>
      </c>
      <c r="R401" t="s">
        <v>3394</v>
      </c>
      <c r="S401">
        <v>-0.91</v>
      </c>
      <c r="T401">
        <v>25.58</v>
      </c>
      <c r="U401" t="s">
        <v>113</v>
      </c>
      <c r="V401" t="s">
        <v>1343</v>
      </c>
      <c r="W401" t="s">
        <v>452</v>
      </c>
      <c r="X401">
        <v>4.2</v>
      </c>
      <c r="Y401" t="s">
        <v>2667</v>
      </c>
      <c r="Z401" t="s">
        <v>1211</v>
      </c>
      <c r="AA401" t="s">
        <v>3395</v>
      </c>
      <c r="AB401">
        <v>37.39</v>
      </c>
      <c r="AC401" t="s">
        <v>3396</v>
      </c>
      <c r="AD401">
        <v>1.88</v>
      </c>
      <c r="AE401" t="s">
        <v>3397</v>
      </c>
      <c r="AF401">
        <v>0.6</v>
      </c>
      <c r="AG401">
        <v>0</v>
      </c>
      <c r="AH401">
        <v>0</v>
      </c>
      <c r="AI401" s="4">
        <v>34274</v>
      </c>
    </row>
    <row r="402" spans="1:35">
      <c r="A402">
        <v>401</v>
      </c>
      <c r="B402" t="str">
        <f>"603026"</f>
        <v>603026</v>
      </c>
      <c r="C402" t="s">
        <v>3398</v>
      </c>
      <c r="D402" s="4">
        <v>43190</v>
      </c>
      <c r="E402" t="s">
        <v>975</v>
      </c>
      <c r="F402" t="s">
        <v>975</v>
      </c>
      <c r="G402">
        <v>3710</v>
      </c>
      <c r="H402">
        <v>0.33</v>
      </c>
      <c r="I402">
        <v>7.45</v>
      </c>
      <c r="J402">
        <v>4.1900000000000004</v>
      </c>
      <c r="K402" t="s">
        <v>300</v>
      </c>
      <c r="L402">
        <v>11.78</v>
      </c>
      <c r="M402" t="s">
        <v>3399</v>
      </c>
      <c r="N402" t="s">
        <v>3400</v>
      </c>
      <c r="O402" t="s">
        <v>3401</v>
      </c>
      <c r="P402" t="s">
        <v>3402</v>
      </c>
      <c r="Q402">
        <v>50.08</v>
      </c>
      <c r="R402" t="s">
        <v>1778</v>
      </c>
      <c r="S402">
        <v>3.38</v>
      </c>
      <c r="T402">
        <v>12.49</v>
      </c>
      <c r="U402" t="s">
        <v>238</v>
      </c>
      <c r="V402" t="s">
        <v>1367</v>
      </c>
      <c r="W402" t="s">
        <v>613</v>
      </c>
      <c r="X402">
        <v>4.1900000000000004</v>
      </c>
      <c r="Y402" t="s">
        <v>625</v>
      </c>
      <c r="Z402" t="s">
        <v>250</v>
      </c>
      <c r="AA402" t="s">
        <v>3403</v>
      </c>
      <c r="AB402">
        <v>2.59</v>
      </c>
      <c r="AC402" t="s">
        <v>1244</v>
      </c>
      <c r="AD402">
        <v>55.75</v>
      </c>
      <c r="AE402" t="s">
        <v>1794</v>
      </c>
      <c r="AF402">
        <v>2.06</v>
      </c>
      <c r="AG402">
        <v>0</v>
      </c>
      <c r="AH402">
        <v>0</v>
      </c>
      <c r="AI402" s="4">
        <v>42153</v>
      </c>
    </row>
    <row r="403" spans="1:35">
      <c r="A403">
        <v>402</v>
      </c>
      <c r="B403" t="str">
        <f>"601628"</f>
        <v>601628</v>
      </c>
      <c r="C403" t="s">
        <v>3404</v>
      </c>
      <c r="D403" s="4">
        <v>43190</v>
      </c>
      <c r="E403" t="s">
        <v>437</v>
      </c>
      <c r="F403" t="s">
        <v>2599</v>
      </c>
      <c r="G403" t="s">
        <v>3405</v>
      </c>
      <c r="H403">
        <v>0.48</v>
      </c>
      <c r="I403">
        <v>11.59</v>
      </c>
      <c r="J403">
        <v>4.1900000000000004</v>
      </c>
      <c r="K403" t="s">
        <v>3406</v>
      </c>
      <c r="L403">
        <v>-2.52</v>
      </c>
      <c r="M403" t="s">
        <v>1292</v>
      </c>
      <c r="N403" t="s">
        <v>3407</v>
      </c>
      <c r="O403" t="s">
        <v>2491</v>
      </c>
      <c r="P403" t="s">
        <v>463</v>
      </c>
      <c r="Q403">
        <v>119.84</v>
      </c>
      <c r="R403" t="s">
        <v>3408</v>
      </c>
      <c r="S403">
        <v>5.4</v>
      </c>
      <c r="T403">
        <v>0</v>
      </c>
      <c r="U403" t="s">
        <v>3409</v>
      </c>
      <c r="V403">
        <v>0</v>
      </c>
      <c r="W403" t="s">
        <v>3410</v>
      </c>
      <c r="X403">
        <v>4.1900000000000004</v>
      </c>
      <c r="Y403" t="s">
        <v>3411</v>
      </c>
      <c r="Z403">
        <v>0</v>
      </c>
      <c r="AA403">
        <v>0</v>
      </c>
      <c r="AB403">
        <v>2.15</v>
      </c>
      <c r="AC403" t="s">
        <v>3412</v>
      </c>
      <c r="AD403">
        <v>11.23</v>
      </c>
      <c r="AE403" t="s">
        <v>3413</v>
      </c>
      <c r="AF403">
        <v>1.95</v>
      </c>
      <c r="AG403">
        <v>0</v>
      </c>
      <c r="AH403" t="s">
        <v>2493</v>
      </c>
      <c r="AI403" s="4">
        <v>39091</v>
      </c>
    </row>
    <row r="404" spans="1:35">
      <c r="A404">
        <v>403</v>
      </c>
      <c r="B404" t="str">
        <f>"300300"</f>
        <v>300300</v>
      </c>
      <c r="C404" t="s">
        <v>3414</v>
      </c>
      <c r="D404" s="4">
        <v>43190</v>
      </c>
      <c r="E404" t="s">
        <v>856</v>
      </c>
      <c r="F404" t="s">
        <v>1229</v>
      </c>
      <c r="G404" t="s">
        <v>861</v>
      </c>
      <c r="H404">
        <v>0.2</v>
      </c>
      <c r="I404">
        <v>4.7699999999999996</v>
      </c>
      <c r="J404">
        <v>4.1900000000000004</v>
      </c>
      <c r="K404" t="s">
        <v>711</v>
      </c>
      <c r="L404">
        <v>44.59</v>
      </c>
      <c r="M404" t="s">
        <v>1119</v>
      </c>
      <c r="N404" t="s">
        <v>2307</v>
      </c>
      <c r="O404" t="s">
        <v>71</v>
      </c>
      <c r="P404" t="s">
        <v>3415</v>
      </c>
      <c r="Q404">
        <v>397.32</v>
      </c>
      <c r="R404" t="s">
        <v>611</v>
      </c>
      <c r="S404">
        <v>1.03</v>
      </c>
      <c r="T404">
        <v>24.72</v>
      </c>
      <c r="U404" t="s">
        <v>2028</v>
      </c>
      <c r="V404" t="s">
        <v>1062</v>
      </c>
      <c r="W404" t="s">
        <v>144</v>
      </c>
      <c r="X404">
        <v>4.1900000000000004</v>
      </c>
      <c r="Y404" t="s">
        <v>835</v>
      </c>
      <c r="Z404" t="s">
        <v>295</v>
      </c>
      <c r="AA404" t="s">
        <v>3416</v>
      </c>
      <c r="AB404">
        <v>3.48</v>
      </c>
      <c r="AC404" t="s">
        <v>2568</v>
      </c>
      <c r="AD404">
        <v>66.040000000000006</v>
      </c>
      <c r="AE404" t="s">
        <v>971</v>
      </c>
      <c r="AF404">
        <v>2.98</v>
      </c>
      <c r="AG404">
        <v>0</v>
      </c>
      <c r="AH404">
        <v>0</v>
      </c>
      <c r="AI404" s="4">
        <v>40987</v>
      </c>
    </row>
    <row r="405" spans="1:35">
      <c r="A405">
        <v>404</v>
      </c>
      <c r="B405" t="str">
        <f>"600395"</f>
        <v>600395</v>
      </c>
      <c r="C405" t="s">
        <v>3417</v>
      </c>
      <c r="D405" s="4">
        <v>43190</v>
      </c>
      <c r="E405" t="s">
        <v>298</v>
      </c>
      <c r="F405" t="s">
        <v>298</v>
      </c>
      <c r="G405" t="s">
        <v>2458</v>
      </c>
      <c r="H405">
        <v>0.17</v>
      </c>
      <c r="I405">
        <v>4.1100000000000003</v>
      </c>
      <c r="J405">
        <v>4.18</v>
      </c>
      <c r="K405" t="s">
        <v>759</v>
      </c>
      <c r="L405">
        <v>2.34</v>
      </c>
      <c r="M405" t="s">
        <v>1320</v>
      </c>
      <c r="N405" t="s">
        <v>3418</v>
      </c>
      <c r="O405" t="s">
        <v>1797</v>
      </c>
      <c r="P405" t="s">
        <v>1732</v>
      </c>
      <c r="Q405">
        <v>4.25</v>
      </c>
      <c r="R405" t="s">
        <v>1126</v>
      </c>
      <c r="S405">
        <v>1.07</v>
      </c>
      <c r="T405">
        <v>33.619999999999997</v>
      </c>
      <c r="U405" t="s">
        <v>311</v>
      </c>
      <c r="V405" t="s">
        <v>1446</v>
      </c>
      <c r="W405" t="s">
        <v>1700</v>
      </c>
      <c r="X405">
        <v>4.18</v>
      </c>
      <c r="Y405" t="s">
        <v>2419</v>
      </c>
      <c r="Z405" t="s">
        <v>1258</v>
      </c>
      <c r="AA405" t="s">
        <v>1569</v>
      </c>
      <c r="AB405">
        <v>1.46</v>
      </c>
      <c r="AC405" t="s">
        <v>2591</v>
      </c>
      <c r="AD405">
        <v>53.26</v>
      </c>
      <c r="AE405" t="s">
        <v>306</v>
      </c>
      <c r="AF405">
        <v>1.47</v>
      </c>
      <c r="AG405">
        <v>0</v>
      </c>
      <c r="AH405">
        <v>0</v>
      </c>
      <c r="AI405" s="4">
        <v>37042</v>
      </c>
    </row>
    <row r="406" spans="1:35">
      <c r="A406">
        <v>405</v>
      </c>
      <c r="B406" t="str">
        <f>"002038"</f>
        <v>002038</v>
      </c>
      <c r="C406" t="s">
        <v>3419</v>
      </c>
      <c r="D406" s="4">
        <v>43190</v>
      </c>
      <c r="E406" t="s">
        <v>2394</v>
      </c>
      <c r="F406" t="s">
        <v>3420</v>
      </c>
      <c r="G406" t="s">
        <v>1340</v>
      </c>
      <c r="H406">
        <v>0.27</v>
      </c>
      <c r="I406">
        <v>6</v>
      </c>
      <c r="J406">
        <v>4.18</v>
      </c>
      <c r="K406" t="s">
        <v>1768</v>
      </c>
      <c r="L406">
        <v>94.31</v>
      </c>
      <c r="M406" t="s">
        <v>415</v>
      </c>
      <c r="N406" t="s">
        <v>3421</v>
      </c>
      <c r="O406" t="s">
        <v>415</v>
      </c>
      <c r="P406" t="s">
        <v>1366</v>
      </c>
      <c r="Q406">
        <v>43.48</v>
      </c>
      <c r="R406" t="s">
        <v>638</v>
      </c>
      <c r="S406">
        <v>4.34</v>
      </c>
      <c r="T406">
        <v>85.24</v>
      </c>
      <c r="U406" t="s">
        <v>2106</v>
      </c>
      <c r="V406" t="s">
        <v>693</v>
      </c>
      <c r="W406" t="s">
        <v>922</v>
      </c>
      <c r="X406">
        <v>4.18</v>
      </c>
      <c r="Y406" t="s">
        <v>478</v>
      </c>
      <c r="Z406" t="s">
        <v>203</v>
      </c>
      <c r="AA406" t="s">
        <v>3135</v>
      </c>
      <c r="AB406">
        <v>7.3</v>
      </c>
      <c r="AC406" t="s">
        <v>3422</v>
      </c>
      <c r="AD406">
        <v>93.49</v>
      </c>
      <c r="AE406" t="s">
        <v>3423</v>
      </c>
      <c r="AF406">
        <v>0.01</v>
      </c>
      <c r="AG406">
        <v>0</v>
      </c>
      <c r="AH406">
        <v>0</v>
      </c>
      <c r="AI406" s="4">
        <v>38239</v>
      </c>
    </row>
    <row r="407" spans="1:35">
      <c r="A407">
        <v>406</v>
      </c>
      <c r="B407" t="str">
        <f>"000710"</f>
        <v>000710</v>
      </c>
      <c r="C407" t="s">
        <v>3424</v>
      </c>
      <c r="D407" s="4">
        <v>43190</v>
      </c>
      <c r="E407" t="s">
        <v>139</v>
      </c>
      <c r="F407" t="s">
        <v>3425</v>
      </c>
      <c r="G407">
        <v>3231</v>
      </c>
      <c r="H407">
        <v>0.19</v>
      </c>
      <c r="I407">
        <v>4.53</v>
      </c>
      <c r="J407">
        <v>4.18</v>
      </c>
      <c r="K407" t="s">
        <v>2132</v>
      </c>
      <c r="L407">
        <v>32.18</v>
      </c>
      <c r="M407" t="s">
        <v>3426</v>
      </c>
      <c r="N407" t="s">
        <v>3427</v>
      </c>
      <c r="O407" t="s">
        <v>3428</v>
      </c>
      <c r="P407" t="s">
        <v>3429</v>
      </c>
      <c r="Q407">
        <v>69.37</v>
      </c>
      <c r="R407" t="s">
        <v>1074</v>
      </c>
      <c r="S407">
        <v>0.96</v>
      </c>
      <c r="T407">
        <v>54.79</v>
      </c>
      <c r="U407" t="s">
        <v>303</v>
      </c>
      <c r="V407" t="s">
        <v>1223</v>
      </c>
      <c r="W407" t="s">
        <v>944</v>
      </c>
      <c r="X407">
        <v>4.18</v>
      </c>
      <c r="Y407" t="s">
        <v>552</v>
      </c>
      <c r="Z407" t="s">
        <v>845</v>
      </c>
      <c r="AA407" t="s">
        <v>3430</v>
      </c>
      <c r="AB407">
        <v>11.34</v>
      </c>
      <c r="AC407" t="s">
        <v>50</v>
      </c>
      <c r="AD407">
        <v>89.57</v>
      </c>
      <c r="AE407" t="s">
        <v>1835</v>
      </c>
      <c r="AF407">
        <v>2.48</v>
      </c>
      <c r="AG407">
        <v>0</v>
      </c>
      <c r="AH407">
        <v>0</v>
      </c>
      <c r="AI407" s="4">
        <v>35542</v>
      </c>
    </row>
    <row r="408" spans="1:35">
      <c r="A408">
        <v>407</v>
      </c>
      <c r="B408" t="str">
        <f>"603579"</f>
        <v>603579</v>
      </c>
      <c r="C408" t="s">
        <v>3431</v>
      </c>
      <c r="D408" s="4">
        <v>43190</v>
      </c>
      <c r="E408" t="s">
        <v>1974</v>
      </c>
      <c r="F408" t="s">
        <v>3432</v>
      </c>
      <c r="G408">
        <v>9054</v>
      </c>
      <c r="H408">
        <v>0.42</v>
      </c>
      <c r="I408">
        <v>9.59</v>
      </c>
      <c r="J408">
        <v>4.17</v>
      </c>
      <c r="K408" t="s">
        <v>1168</v>
      </c>
      <c r="L408">
        <v>64.92</v>
      </c>
      <c r="M408" t="s">
        <v>3433</v>
      </c>
      <c r="N408" t="s">
        <v>3434</v>
      </c>
      <c r="O408" t="s">
        <v>3435</v>
      </c>
      <c r="P408" t="s">
        <v>3436</v>
      </c>
      <c r="Q408">
        <v>6.1</v>
      </c>
      <c r="R408" t="s">
        <v>3374</v>
      </c>
      <c r="S408">
        <v>3.05</v>
      </c>
      <c r="T408">
        <v>35.18</v>
      </c>
      <c r="U408" t="s">
        <v>1449</v>
      </c>
      <c r="V408" t="s">
        <v>646</v>
      </c>
      <c r="W408" t="s">
        <v>156</v>
      </c>
      <c r="X408">
        <v>4.17</v>
      </c>
      <c r="Y408" t="s">
        <v>2443</v>
      </c>
      <c r="Z408" t="s">
        <v>871</v>
      </c>
      <c r="AA408" t="s">
        <v>2788</v>
      </c>
      <c r="AB408">
        <v>7.27</v>
      </c>
      <c r="AC408" t="s">
        <v>1384</v>
      </c>
      <c r="AD408">
        <v>62.48</v>
      </c>
      <c r="AE408" t="s">
        <v>500</v>
      </c>
      <c r="AF408">
        <v>5.18</v>
      </c>
      <c r="AG408">
        <v>0</v>
      </c>
      <c r="AH408">
        <v>0</v>
      </c>
      <c r="AI408" s="4">
        <v>42746</v>
      </c>
    </row>
    <row r="409" spans="1:35">
      <c r="A409">
        <v>408</v>
      </c>
      <c r="B409" t="str">
        <f>"600563"</f>
        <v>600563</v>
      </c>
      <c r="C409" t="s">
        <v>3437</v>
      </c>
      <c r="D409" s="4">
        <v>43190</v>
      </c>
      <c r="E409" t="s">
        <v>1484</v>
      </c>
      <c r="F409" t="s">
        <v>1484</v>
      </c>
      <c r="G409" t="s">
        <v>3438</v>
      </c>
      <c r="H409">
        <v>0.43</v>
      </c>
      <c r="I409">
        <v>9.34</v>
      </c>
      <c r="J409">
        <v>4.16</v>
      </c>
      <c r="K409" t="s">
        <v>2098</v>
      </c>
      <c r="L409">
        <v>12.59</v>
      </c>
      <c r="M409" t="s">
        <v>1627</v>
      </c>
      <c r="N409" t="s">
        <v>3439</v>
      </c>
      <c r="O409" t="s">
        <v>1627</v>
      </c>
      <c r="P409" t="s">
        <v>3440</v>
      </c>
      <c r="Q409">
        <v>17.03</v>
      </c>
      <c r="R409" t="s">
        <v>79</v>
      </c>
      <c r="S409">
        <v>6.47</v>
      </c>
      <c r="T409">
        <v>43.81</v>
      </c>
      <c r="U409" t="s">
        <v>426</v>
      </c>
      <c r="V409" t="s">
        <v>418</v>
      </c>
      <c r="W409" t="s">
        <v>1450</v>
      </c>
      <c r="X409">
        <v>4.16</v>
      </c>
      <c r="Y409" t="s">
        <v>3441</v>
      </c>
      <c r="Z409" t="s">
        <v>1402</v>
      </c>
      <c r="AA409" t="s">
        <v>3442</v>
      </c>
      <c r="AB409">
        <v>4.8600000000000003</v>
      </c>
      <c r="AC409" t="s">
        <v>2273</v>
      </c>
      <c r="AD409">
        <v>86.93</v>
      </c>
      <c r="AE409" t="s">
        <v>1995</v>
      </c>
      <c r="AF409">
        <v>1.1599999999999999</v>
      </c>
      <c r="AG409">
        <v>0</v>
      </c>
      <c r="AH409">
        <v>0</v>
      </c>
      <c r="AI409" s="4">
        <v>37600</v>
      </c>
    </row>
    <row r="410" spans="1:35">
      <c r="A410">
        <v>409</v>
      </c>
      <c r="B410" t="str">
        <f>"600377"</f>
        <v>600377</v>
      </c>
      <c r="C410" t="s">
        <v>3443</v>
      </c>
      <c r="D410" s="4">
        <v>43190</v>
      </c>
      <c r="E410" t="s">
        <v>1923</v>
      </c>
      <c r="F410" t="s">
        <v>949</v>
      </c>
      <c r="G410">
        <v>0</v>
      </c>
      <c r="H410">
        <v>0.2</v>
      </c>
      <c r="I410">
        <v>5.13</v>
      </c>
      <c r="J410">
        <v>4.16</v>
      </c>
      <c r="K410" t="s">
        <v>1881</v>
      </c>
      <c r="L410">
        <v>22.95</v>
      </c>
      <c r="M410" t="s">
        <v>350</v>
      </c>
      <c r="N410" t="s">
        <v>3444</v>
      </c>
      <c r="O410" t="s">
        <v>350</v>
      </c>
      <c r="P410" t="s">
        <v>1496</v>
      </c>
      <c r="Q410">
        <v>15.76</v>
      </c>
      <c r="R410" t="s">
        <v>2060</v>
      </c>
      <c r="S410">
        <v>1.08</v>
      </c>
      <c r="T410">
        <v>54.01</v>
      </c>
      <c r="U410" t="s">
        <v>3445</v>
      </c>
      <c r="V410" t="s">
        <v>1677</v>
      </c>
      <c r="W410" t="s">
        <v>646</v>
      </c>
      <c r="X410">
        <v>4.16</v>
      </c>
      <c r="Y410" t="s">
        <v>3446</v>
      </c>
      <c r="Z410" t="s">
        <v>2631</v>
      </c>
      <c r="AA410" t="s">
        <v>3447</v>
      </c>
      <c r="AB410">
        <v>1.8</v>
      </c>
      <c r="AC410" t="s">
        <v>1928</v>
      </c>
      <c r="AD410">
        <v>56.96</v>
      </c>
      <c r="AE410" t="s">
        <v>252</v>
      </c>
      <c r="AF410">
        <v>2.0699999999999998</v>
      </c>
      <c r="AG410">
        <v>0</v>
      </c>
      <c r="AH410" t="s">
        <v>982</v>
      </c>
      <c r="AI410" s="4">
        <v>36907</v>
      </c>
    </row>
    <row r="411" spans="1:35">
      <c r="A411">
        <v>410</v>
      </c>
      <c r="B411" t="str">
        <f>"600086"</f>
        <v>600086</v>
      </c>
      <c r="C411" t="s">
        <v>3448</v>
      </c>
      <c r="D411" s="4">
        <v>43190</v>
      </c>
      <c r="E411" t="s">
        <v>1214</v>
      </c>
      <c r="F411" t="s">
        <v>521</v>
      </c>
      <c r="G411" t="s">
        <v>3323</v>
      </c>
      <c r="H411">
        <v>0.1</v>
      </c>
      <c r="I411">
        <v>2.48</v>
      </c>
      <c r="J411">
        <v>4.16</v>
      </c>
      <c r="K411" t="s">
        <v>646</v>
      </c>
      <c r="L411">
        <v>-22.36</v>
      </c>
      <c r="M411" t="s">
        <v>1200</v>
      </c>
      <c r="N411">
        <v>-8406</v>
      </c>
      <c r="O411" t="s">
        <v>1200</v>
      </c>
      <c r="P411" t="s">
        <v>372</v>
      </c>
      <c r="Q411">
        <v>2.31</v>
      </c>
      <c r="R411" t="s">
        <v>1307</v>
      </c>
      <c r="S411">
        <v>0.97</v>
      </c>
      <c r="T411">
        <v>23.11</v>
      </c>
      <c r="U411" t="s">
        <v>1929</v>
      </c>
      <c r="V411" t="s">
        <v>3449</v>
      </c>
      <c r="W411" t="s">
        <v>203</v>
      </c>
      <c r="X411">
        <v>4.16</v>
      </c>
      <c r="Y411" t="s">
        <v>3450</v>
      </c>
      <c r="Z411" t="s">
        <v>2834</v>
      </c>
      <c r="AA411" t="s">
        <v>1516</v>
      </c>
      <c r="AB411">
        <v>4.05</v>
      </c>
      <c r="AC411" t="s">
        <v>2283</v>
      </c>
      <c r="AD411">
        <v>25.85</v>
      </c>
      <c r="AE411" t="s">
        <v>1779</v>
      </c>
      <c r="AF411">
        <v>0.47</v>
      </c>
      <c r="AG411">
        <v>0</v>
      </c>
      <c r="AH411">
        <v>0</v>
      </c>
      <c r="AI411" s="4">
        <v>35587</v>
      </c>
    </row>
    <row r="412" spans="1:35">
      <c r="A412">
        <v>411</v>
      </c>
      <c r="B412" t="str">
        <f>"002889"</f>
        <v>002889</v>
      </c>
      <c r="C412" t="s">
        <v>3451</v>
      </c>
      <c r="D412" s="4">
        <v>43190</v>
      </c>
      <c r="E412" t="s">
        <v>711</v>
      </c>
      <c r="F412" t="s">
        <v>1560</v>
      </c>
      <c r="G412">
        <v>2012</v>
      </c>
      <c r="H412">
        <v>0.4</v>
      </c>
      <c r="I412">
        <v>9.77</v>
      </c>
      <c r="J412">
        <v>4.16</v>
      </c>
      <c r="K412" t="s">
        <v>1843</v>
      </c>
      <c r="L412">
        <v>3.18</v>
      </c>
      <c r="M412" t="s">
        <v>3452</v>
      </c>
      <c r="N412" t="s">
        <v>3453</v>
      </c>
      <c r="O412" t="s">
        <v>3452</v>
      </c>
      <c r="P412" t="s">
        <v>3454</v>
      </c>
      <c r="Q412">
        <v>2.88</v>
      </c>
      <c r="R412" t="s">
        <v>1847</v>
      </c>
      <c r="S412">
        <v>4.8099999999999996</v>
      </c>
      <c r="T412">
        <v>3.17</v>
      </c>
      <c r="U412" t="s">
        <v>2534</v>
      </c>
      <c r="V412" t="s">
        <v>1104</v>
      </c>
      <c r="W412" t="s">
        <v>1435</v>
      </c>
      <c r="X412">
        <v>4.16</v>
      </c>
      <c r="Y412" t="s">
        <v>2881</v>
      </c>
      <c r="Z412" t="s">
        <v>780</v>
      </c>
      <c r="AA412" t="s">
        <v>3455</v>
      </c>
      <c r="AB412">
        <v>3.41</v>
      </c>
      <c r="AC412" t="s">
        <v>1214</v>
      </c>
      <c r="AD412">
        <v>21.53</v>
      </c>
      <c r="AE412" t="s">
        <v>616</v>
      </c>
      <c r="AF412">
        <v>3.51</v>
      </c>
      <c r="AG412">
        <v>0</v>
      </c>
      <c r="AH412">
        <v>0</v>
      </c>
      <c r="AI412" s="4">
        <v>42947</v>
      </c>
    </row>
    <row r="413" spans="1:35">
      <c r="A413">
        <v>412</v>
      </c>
      <c r="B413" t="str">
        <f>"002068"</f>
        <v>002068</v>
      </c>
      <c r="C413" t="s">
        <v>3456</v>
      </c>
      <c r="D413" s="4">
        <v>43190</v>
      </c>
      <c r="E413" t="s">
        <v>1649</v>
      </c>
      <c r="F413" t="s">
        <v>2445</v>
      </c>
      <c r="G413" t="s">
        <v>2305</v>
      </c>
      <c r="H413">
        <v>0.19</v>
      </c>
      <c r="I413">
        <v>4.26</v>
      </c>
      <c r="J413">
        <v>4.16</v>
      </c>
      <c r="K413" t="s">
        <v>891</v>
      </c>
      <c r="L413">
        <v>23.9</v>
      </c>
      <c r="M413" t="s">
        <v>319</v>
      </c>
      <c r="N413" t="s">
        <v>3457</v>
      </c>
      <c r="O413" t="s">
        <v>136</v>
      </c>
      <c r="P413" t="s">
        <v>1370</v>
      </c>
      <c r="Q413">
        <v>156.32</v>
      </c>
      <c r="R413" t="s">
        <v>699</v>
      </c>
      <c r="S413">
        <v>1.19</v>
      </c>
      <c r="T413">
        <v>20.059999999999999</v>
      </c>
      <c r="U413" t="s">
        <v>3458</v>
      </c>
      <c r="V413" t="s">
        <v>1032</v>
      </c>
      <c r="W413" t="s">
        <v>1205</v>
      </c>
      <c r="X413">
        <v>4.16</v>
      </c>
      <c r="Y413" t="s">
        <v>1291</v>
      </c>
      <c r="Z413" t="s">
        <v>113</v>
      </c>
      <c r="AA413" t="s">
        <v>1794</v>
      </c>
      <c r="AB413">
        <v>1.78</v>
      </c>
      <c r="AC413" t="s">
        <v>638</v>
      </c>
      <c r="AD413">
        <v>42.66</v>
      </c>
      <c r="AE413" t="s">
        <v>1384</v>
      </c>
      <c r="AF413">
        <v>1.93</v>
      </c>
      <c r="AG413">
        <v>0</v>
      </c>
      <c r="AH413">
        <v>0</v>
      </c>
      <c r="AI413" s="4">
        <v>38975</v>
      </c>
    </row>
    <row r="414" spans="1:35">
      <c r="A414">
        <v>413</v>
      </c>
      <c r="B414" t="str">
        <f>"601633"</f>
        <v>601633</v>
      </c>
      <c r="C414" t="s">
        <v>3459</v>
      </c>
      <c r="D414" s="4">
        <v>43190</v>
      </c>
      <c r="E414" t="s">
        <v>3086</v>
      </c>
      <c r="F414" t="s">
        <v>1143</v>
      </c>
      <c r="G414">
        <v>0</v>
      </c>
      <c r="H414">
        <v>0.23</v>
      </c>
      <c r="I414">
        <v>5.44</v>
      </c>
      <c r="J414">
        <v>4.1500000000000004</v>
      </c>
      <c r="K414" t="s">
        <v>2342</v>
      </c>
      <c r="L414">
        <v>13.95</v>
      </c>
      <c r="M414" t="s">
        <v>774</v>
      </c>
      <c r="N414" t="s">
        <v>3460</v>
      </c>
      <c r="O414" t="s">
        <v>1504</v>
      </c>
      <c r="P414" t="s">
        <v>877</v>
      </c>
      <c r="Q414">
        <v>6.46</v>
      </c>
      <c r="R414" t="s">
        <v>436</v>
      </c>
      <c r="S414">
        <v>3.73</v>
      </c>
      <c r="T414">
        <v>20.440000000000001</v>
      </c>
      <c r="U414" t="s">
        <v>3461</v>
      </c>
      <c r="V414" t="s">
        <v>3462</v>
      </c>
      <c r="W414" t="s">
        <v>3463</v>
      </c>
      <c r="X414">
        <v>4.1500000000000004</v>
      </c>
      <c r="Y414" t="s">
        <v>2651</v>
      </c>
      <c r="Z414" t="s">
        <v>2079</v>
      </c>
      <c r="AA414" t="s">
        <v>152</v>
      </c>
      <c r="AB414">
        <v>1.89</v>
      </c>
      <c r="AC414" t="s">
        <v>3464</v>
      </c>
      <c r="AD414">
        <v>46.74</v>
      </c>
      <c r="AE414" t="s">
        <v>1384</v>
      </c>
      <c r="AF414">
        <v>0.15</v>
      </c>
      <c r="AG414">
        <v>0</v>
      </c>
      <c r="AH414" t="s">
        <v>2057</v>
      </c>
      <c r="AI414" s="4">
        <v>40814</v>
      </c>
    </row>
    <row r="415" spans="1:35">
      <c r="A415">
        <v>414</v>
      </c>
      <c r="B415" t="str">
        <f>"600885"</f>
        <v>600885</v>
      </c>
      <c r="C415" t="s">
        <v>3465</v>
      </c>
      <c r="D415" s="4">
        <v>43190</v>
      </c>
      <c r="E415" t="s">
        <v>566</v>
      </c>
      <c r="F415" t="s">
        <v>566</v>
      </c>
      <c r="G415" t="s">
        <v>3466</v>
      </c>
      <c r="H415">
        <v>0.22</v>
      </c>
      <c r="I415">
        <v>5.23</v>
      </c>
      <c r="J415">
        <v>4.1500000000000004</v>
      </c>
      <c r="K415" t="s">
        <v>847</v>
      </c>
      <c r="L415">
        <v>18.579999999999998</v>
      </c>
      <c r="M415" t="s">
        <v>3011</v>
      </c>
      <c r="N415" t="s">
        <v>3467</v>
      </c>
      <c r="O415" t="s">
        <v>798</v>
      </c>
      <c r="P415" t="s">
        <v>321</v>
      </c>
      <c r="Q415">
        <v>0.66</v>
      </c>
      <c r="R415" t="s">
        <v>981</v>
      </c>
      <c r="S415">
        <v>3.07</v>
      </c>
      <c r="T415">
        <v>39.61</v>
      </c>
      <c r="U415" t="s">
        <v>3468</v>
      </c>
      <c r="V415" t="s">
        <v>738</v>
      </c>
      <c r="W415" t="s">
        <v>876</v>
      </c>
      <c r="X415">
        <v>4.1500000000000004</v>
      </c>
      <c r="Y415" t="s">
        <v>244</v>
      </c>
      <c r="Z415" t="s">
        <v>1390</v>
      </c>
      <c r="AA415" t="s">
        <v>84</v>
      </c>
      <c r="AB415">
        <v>5.59</v>
      </c>
      <c r="AC415" t="s">
        <v>1677</v>
      </c>
      <c r="AD415">
        <v>52.49</v>
      </c>
      <c r="AE415" t="s">
        <v>1898</v>
      </c>
      <c r="AF415">
        <v>0.6</v>
      </c>
      <c r="AG415">
        <v>0</v>
      </c>
      <c r="AH415">
        <v>0</v>
      </c>
      <c r="AI415" s="4">
        <v>35100</v>
      </c>
    </row>
    <row r="416" spans="1:35">
      <c r="A416">
        <v>415</v>
      </c>
      <c r="B416" t="str">
        <f>"600387"</f>
        <v>600387</v>
      </c>
      <c r="C416" t="s">
        <v>3469</v>
      </c>
      <c r="D416" s="4">
        <v>43190</v>
      </c>
      <c r="E416" t="s">
        <v>381</v>
      </c>
      <c r="F416" t="s">
        <v>501</v>
      </c>
      <c r="G416" t="s">
        <v>630</v>
      </c>
      <c r="H416">
        <v>0.22</v>
      </c>
      <c r="I416">
        <v>5.63</v>
      </c>
      <c r="J416">
        <v>4.1399999999999997</v>
      </c>
      <c r="K416" t="s">
        <v>1674</v>
      </c>
      <c r="L416">
        <v>112.38</v>
      </c>
      <c r="M416" t="s">
        <v>1855</v>
      </c>
      <c r="N416" t="s">
        <v>3470</v>
      </c>
      <c r="O416" t="s">
        <v>284</v>
      </c>
      <c r="P416" t="s">
        <v>651</v>
      </c>
      <c r="Q416">
        <v>271.48</v>
      </c>
      <c r="R416" t="s">
        <v>3471</v>
      </c>
      <c r="S416">
        <v>1.17</v>
      </c>
      <c r="T416">
        <v>4.8899999999999997</v>
      </c>
      <c r="U416" t="s">
        <v>3472</v>
      </c>
      <c r="V416" t="s">
        <v>249</v>
      </c>
      <c r="W416" t="s">
        <v>1494</v>
      </c>
      <c r="X416">
        <v>4.1399999999999997</v>
      </c>
      <c r="Y416" t="s">
        <v>3473</v>
      </c>
      <c r="Z416" t="s">
        <v>2241</v>
      </c>
      <c r="AA416" t="s">
        <v>1516</v>
      </c>
      <c r="AB416">
        <v>1.58</v>
      </c>
      <c r="AC416" t="s">
        <v>451</v>
      </c>
      <c r="AD416">
        <v>24.62</v>
      </c>
      <c r="AE416" t="s">
        <v>147</v>
      </c>
      <c r="AF416">
        <v>2.4</v>
      </c>
      <c r="AG416">
        <v>0</v>
      </c>
      <c r="AH416">
        <v>0</v>
      </c>
      <c r="AI416" s="4">
        <v>38035</v>
      </c>
    </row>
    <row r="417" spans="1:35">
      <c r="A417">
        <v>416</v>
      </c>
      <c r="B417" t="str">
        <f>"300039"</f>
        <v>300039</v>
      </c>
      <c r="C417" t="s">
        <v>3474</v>
      </c>
      <c r="D417" s="4">
        <v>43190</v>
      </c>
      <c r="E417" t="s">
        <v>295</v>
      </c>
      <c r="F417" t="s">
        <v>615</v>
      </c>
      <c r="G417" t="s">
        <v>3475</v>
      </c>
      <c r="H417">
        <v>0.09</v>
      </c>
      <c r="I417">
        <v>2.2000000000000002</v>
      </c>
      <c r="J417">
        <v>4.12</v>
      </c>
      <c r="K417" t="s">
        <v>1611</v>
      </c>
      <c r="L417">
        <v>13.88</v>
      </c>
      <c r="M417" t="s">
        <v>642</v>
      </c>
      <c r="N417" t="s">
        <v>3476</v>
      </c>
      <c r="O417" t="s">
        <v>642</v>
      </c>
      <c r="P417" t="s">
        <v>3477</v>
      </c>
      <c r="Q417">
        <v>9.8000000000000007</v>
      </c>
      <c r="R417" t="s">
        <v>192</v>
      </c>
      <c r="S417">
        <v>0.99</v>
      </c>
      <c r="T417">
        <v>84.64</v>
      </c>
      <c r="U417" t="s">
        <v>685</v>
      </c>
      <c r="V417" t="s">
        <v>2291</v>
      </c>
      <c r="W417" t="s">
        <v>559</v>
      </c>
      <c r="X417">
        <v>4.12</v>
      </c>
      <c r="Y417" t="s">
        <v>501</v>
      </c>
      <c r="Z417" t="s">
        <v>2807</v>
      </c>
      <c r="AA417" t="s">
        <v>3478</v>
      </c>
      <c r="AB417">
        <v>2.5299999999999998</v>
      </c>
      <c r="AC417" t="s">
        <v>1687</v>
      </c>
      <c r="AD417">
        <v>86.48</v>
      </c>
      <c r="AE417" t="s">
        <v>3479</v>
      </c>
      <c r="AF417">
        <v>0.01</v>
      </c>
      <c r="AG417">
        <v>0</v>
      </c>
      <c r="AH417">
        <v>0</v>
      </c>
      <c r="AI417" s="4">
        <v>40186</v>
      </c>
    </row>
    <row r="418" spans="1:35">
      <c r="A418">
        <v>417</v>
      </c>
      <c r="B418" t="str">
        <f>"002818"</f>
        <v>002818</v>
      </c>
      <c r="C418" t="s">
        <v>3480</v>
      </c>
      <c r="D418" s="4">
        <v>43190</v>
      </c>
      <c r="E418" t="s">
        <v>123</v>
      </c>
      <c r="F418" t="s">
        <v>3481</v>
      </c>
      <c r="G418">
        <v>3066</v>
      </c>
      <c r="H418">
        <v>0.4</v>
      </c>
      <c r="I418">
        <v>9.51</v>
      </c>
      <c r="J418">
        <v>4.1100000000000003</v>
      </c>
      <c r="K418" t="s">
        <v>593</v>
      </c>
      <c r="L418">
        <v>9.2200000000000006</v>
      </c>
      <c r="M418" t="s">
        <v>118</v>
      </c>
      <c r="N418" t="s">
        <v>1008</v>
      </c>
      <c r="O418" t="s">
        <v>118</v>
      </c>
      <c r="P418" t="s">
        <v>1202</v>
      </c>
      <c r="Q418">
        <v>12</v>
      </c>
      <c r="R418" t="s">
        <v>502</v>
      </c>
      <c r="S418">
        <v>5.67</v>
      </c>
      <c r="T418">
        <v>71.88</v>
      </c>
      <c r="U418" t="s">
        <v>2287</v>
      </c>
      <c r="V418" t="s">
        <v>101</v>
      </c>
      <c r="W418" t="s">
        <v>3482</v>
      </c>
      <c r="X418">
        <v>4.1100000000000003</v>
      </c>
      <c r="Y418" t="s">
        <v>699</v>
      </c>
      <c r="Z418" t="s">
        <v>407</v>
      </c>
      <c r="AA418" t="s">
        <v>3483</v>
      </c>
      <c r="AB418">
        <v>2.73</v>
      </c>
      <c r="AC418" t="s">
        <v>3016</v>
      </c>
      <c r="AD418">
        <v>80.349999999999994</v>
      </c>
      <c r="AE418" t="s">
        <v>919</v>
      </c>
      <c r="AF418">
        <v>2.4900000000000002</v>
      </c>
      <c r="AG418">
        <v>0</v>
      </c>
      <c r="AH418">
        <v>0</v>
      </c>
      <c r="AI418" s="4">
        <v>42683</v>
      </c>
    </row>
    <row r="419" spans="1:35">
      <c r="A419">
        <v>418</v>
      </c>
      <c r="B419" t="str">
        <f>"603058"</f>
        <v>603058</v>
      </c>
      <c r="C419" t="s">
        <v>3484</v>
      </c>
      <c r="D419" s="4">
        <v>43190</v>
      </c>
      <c r="E419" t="s">
        <v>806</v>
      </c>
      <c r="F419" t="s">
        <v>986</v>
      </c>
      <c r="G419" t="s">
        <v>2449</v>
      </c>
      <c r="H419">
        <v>0.09</v>
      </c>
      <c r="I419">
        <v>2.0699999999999998</v>
      </c>
      <c r="J419">
        <v>4.0999999999999996</v>
      </c>
      <c r="K419" t="s">
        <v>1626</v>
      </c>
      <c r="L419">
        <v>46.22</v>
      </c>
      <c r="M419" t="s">
        <v>3485</v>
      </c>
      <c r="N419" t="s">
        <v>3486</v>
      </c>
      <c r="O419" t="s">
        <v>3487</v>
      </c>
      <c r="P419" t="s">
        <v>3488</v>
      </c>
      <c r="Q419">
        <v>45.54</v>
      </c>
      <c r="R419" t="s">
        <v>2387</v>
      </c>
      <c r="S419">
        <v>0.56000000000000005</v>
      </c>
      <c r="T419">
        <v>40.619999999999997</v>
      </c>
      <c r="U419" t="s">
        <v>3489</v>
      </c>
      <c r="V419" t="s">
        <v>3490</v>
      </c>
      <c r="W419" t="s">
        <v>935</v>
      </c>
      <c r="X419">
        <v>4.0999999999999996</v>
      </c>
      <c r="Y419" t="s">
        <v>3491</v>
      </c>
      <c r="Z419" t="s">
        <v>3492</v>
      </c>
      <c r="AA419" t="s">
        <v>3493</v>
      </c>
      <c r="AB419">
        <v>5.23</v>
      </c>
      <c r="AC419" t="s">
        <v>3494</v>
      </c>
      <c r="AD419">
        <v>90.68</v>
      </c>
      <c r="AE419" t="s">
        <v>920</v>
      </c>
      <c r="AF419">
        <v>0.34</v>
      </c>
      <c r="AG419">
        <v>0</v>
      </c>
      <c r="AH419">
        <v>0</v>
      </c>
      <c r="AI419" s="4">
        <v>42727</v>
      </c>
    </row>
    <row r="420" spans="1:35">
      <c r="A420">
        <v>419</v>
      </c>
      <c r="B420" t="str">
        <f>"000042"</f>
        <v>000042</v>
      </c>
      <c r="C420" t="s">
        <v>3495</v>
      </c>
      <c r="D420" s="4">
        <v>43190</v>
      </c>
      <c r="E420" t="s">
        <v>1847</v>
      </c>
      <c r="F420" t="s">
        <v>3496</v>
      </c>
      <c r="G420" t="s">
        <v>2556</v>
      </c>
      <c r="H420">
        <v>0.4</v>
      </c>
      <c r="I420">
        <v>10</v>
      </c>
      <c r="J420">
        <v>4.08</v>
      </c>
      <c r="K420" t="s">
        <v>908</v>
      </c>
      <c r="L420">
        <v>39.479999999999997</v>
      </c>
      <c r="M420" t="s">
        <v>1229</v>
      </c>
      <c r="N420" t="s">
        <v>3497</v>
      </c>
      <c r="O420" t="s">
        <v>1682</v>
      </c>
      <c r="P420" t="s">
        <v>1733</v>
      </c>
      <c r="Q420">
        <v>929.78</v>
      </c>
      <c r="R420" t="s">
        <v>386</v>
      </c>
      <c r="S420">
        <v>4.55</v>
      </c>
      <c r="T420">
        <v>51.95</v>
      </c>
      <c r="U420" t="s">
        <v>3498</v>
      </c>
      <c r="V420" t="s">
        <v>1271</v>
      </c>
      <c r="W420" t="s">
        <v>350</v>
      </c>
      <c r="X420">
        <v>4.08</v>
      </c>
      <c r="Y420" t="s">
        <v>3499</v>
      </c>
      <c r="Z420" t="s">
        <v>3500</v>
      </c>
      <c r="AA420" t="s">
        <v>410</v>
      </c>
      <c r="AB420">
        <v>1.42</v>
      </c>
      <c r="AC420" t="s">
        <v>3501</v>
      </c>
      <c r="AD420">
        <v>14.91</v>
      </c>
      <c r="AE420" t="s">
        <v>981</v>
      </c>
      <c r="AF420">
        <v>3.76</v>
      </c>
      <c r="AG420">
        <v>0</v>
      </c>
      <c r="AH420">
        <v>0</v>
      </c>
      <c r="AI420" s="4">
        <v>34598</v>
      </c>
    </row>
    <row r="421" spans="1:35">
      <c r="A421">
        <v>420</v>
      </c>
      <c r="B421" t="str">
        <f>"603896"</f>
        <v>603896</v>
      </c>
      <c r="C421" t="s">
        <v>3502</v>
      </c>
      <c r="D421" s="4">
        <v>43190</v>
      </c>
      <c r="E421" t="s">
        <v>1974</v>
      </c>
      <c r="F421" t="s">
        <v>3503</v>
      </c>
      <c r="G421">
        <v>2539</v>
      </c>
      <c r="H421">
        <v>0.26</v>
      </c>
      <c r="I421">
        <v>6.48</v>
      </c>
      <c r="J421">
        <v>4.07</v>
      </c>
      <c r="K421" t="s">
        <v>2115</v>
      </c>
      <c r="L421">
        <v>44.61</v>
      </c>
      <c r="M421" t="s">
        <v>3504</v>
      </c>
      <c r="N421" t="s">
        <v>497</v>
      </c>
      <c r="O421" t="s">
        <v>3505</v>
      </c>
      <c r="P421" t="s">
        <v>3505</v>
      </c>
      <c r="Q421">
        <v>46.76</v>
      </c>
      <c r="R421" t="s">
        <v>492</v>
      </c>
      <c r="S421">
        <v>1.87</v>
      </c>
      <c r="T421">
        <v>86.7</v>
      </c>
      <c r="U421" t="s">
        <v>1368</v>
      </c>
      <c r="V421" t="s">
        <v>1018</v>
      </c>
      <c r="W421" t="s">
        <v>1974</v>
      </c>
      <c r="X421">
        <v>4.07</v>
      </c>
      <c r="Y421" t="s">
        <v>3506</v>
      </c>
      <c r="Z421" t="s">
        <v>3507</v>
      </c>
      <c r="AA421" t="s">
        <v>3508</v>
      </c>
      <c r="AB421">
        <v>7.08</v>
      </c>
      <c r="AC421" t="s">
        <v>458</v>
      </c>
      <c r="AD421">
        <v>91.73</v>
      </c>
      <c r="AE421" t="s">
        <v>381</v>
      </c>
      <c r="AF421">
        <v>3.33</v>
      </c>
      <c r="AG421">
        <v>0</v>
      </c>
      <c r="AH421">
        <v>0</v>
      </c>
      <c r="AI421" s="4">
        <v>42865</v>
      </c>
    </row>
    <row r="422" spans="1:35">
      <c r="A422">
        <v>421</v>
      </c>
      <c r="B422" t="str">
        <f>"600016"</f>
        <v>600016</v>
      </c>
      <c r="C422" t="s">
        <v>3509</v>
      </c>
      <c r="D422" s="4">
        <v>43190</v>
      </c>
      <c r="E422" t="s">
        <v>3510</v>
      </c>
      <c r="F422" t="s">
        <v>3511</v>
      </c>
      <c r="G422">
        <v>0</v>
      </c>
      <c r="H422">
        <v>0.41</v>
      </c>
      <c r="I422">
        <v>10.28</v>
      </c>
      <c r="J422">
        <v>4.07</v>
      </c>
      <c r="K422" t="s">
        <v>3512</v>
      </c>
      <c r="L422">
        <v>1.36</v>
      </c>
      <c r="M422" t="s">
        <v>1982</v>
      </c>
      <c r="N422" t="s">
        <v>2487</v>
      </c>
      <c r="O422" t="s">
        <v>1550</v>
      </c>
      <c r="P422" t="s">
        <v>1741</v>
      </c>
      <c r="Q422">
        <v>5.23</v>
      </c>
      <c r="R422" t="s">
        <v>3513</v>
      </c>
      <c r="S422">
        <v>4.57</v>
      </c>
      <c r="T422">
        <v>0</v>
      </c>
      <c r="U422" t="s">
        <v>3034</v>
      </c>
      <c r="V422">
        <v>0</v>
      </c>
      <c r="W422" t="s">
        <v>3514</v>
      </c>
      <c r="X422">
        <v>4.07</v>
      </c>
      <c r="Y422" t="s">
        <v>3515</v>
      </c>
      <c r="Z422">
        <v>0</v>
      </c>
      <c r="AA422">
        <v>0</v>
      </c>
      <c r="AB422">
        <v>0.71</v>
      </c>
      <c r="AC422" t="s">
        <v>3516</v>
      </c>
      <c r="AD422">
        <v>6.41</v>
      </c>
      <c r="AE422" t="s">
        <v>3517</v>
      </c>
      <c r="AF422">
        <v>1.77</v>
      </c>
      <c r="AG422">
        <v>0</v>
      </c>
      <c r="AH422" t="s">
        <v>575</v>
      </c>
      <c r="AI422" s="4">
        <v>36879</v>
      </c>
    </row>
    <row r="423" spans="1:35">
      <c r="A423">
        <v>422</v>
      </c>
      <c r="B423" t="str">
        <f>"300015"</f>
        <v>300015</v>
      </c>
      <c r="C423" t="s">
        <v>3518</v>
      </c>
      <c r="D423" s="4">
        <v>43190</v>
      </c>
      <c r="E423" t="s">
        <v>1704</v>
      </c>
      <c r="F423" t="s">
        <v>1101</v>
      </c>
      <c r="G423" t="s">
        <v>2074</v>
      </c>
      <c r="H423">
        <v>0.09</v>
      </c>
      <c r="I423">
        <v>2.09</v>
      </c>
      <c r="J423">
        <v>4.07</v>
      </c>
      <c r="K423" t="s">
        <v>1343</v>
      </c>
      <c r="L423">
        <v>45.86</v>
      </c>
      <c r="M423" t="s">
        <v>1672</v>
      </c>
      <c r="N423" t="s">
        <v>3519</v>
      </c>
      <c r="O423" t="s">
        <v>559</v>
      </c>
      <c r="P423" t="s">
        <v>912</v>
      </c>
      <c r="Q423">
        <v>39.159999999999997</v>
      </c>
      <c r="R423" t="s">
        <v>848</v>
      </c>
      <c r="S423">
        <v>0.46</v>
      </c>
      <c r="T423">
        <v>44.66</v>
      </c>
      <c r="U423" t="s">
        <v>3520</v>
      </c>
      <c r="V423" t="s">
        <v>305</v>
      </c>
      <c r="W423" t="s">
        <v>613</v>
      </c>
      <c r="X423">
        <v>4.07</v>
      </c>
      <c r="Y423" t="s">
        <v>1397</v>
      </c>
      <c r="Z423" t="s">
        <v>1284</v>
      </c>
      <c r="AA423" t="s">
        <v>1190</v>
      </c>
      <c r="AB423">
        <v>14.22</v>
      </c>
      <c r="AC423" t="s">
        <v>1395</v>
      </c>
      <c r="AD423">
        <v>58.5</v>
      </c>
      <c r="AE423" t="s">
        <v>578</v>
      </c>
      <c r="AF423">
        <v>0.62</v>
      </c>
      <c r="AG423">
        <v>0</v>
      </c>
      <c r="AH423">
        <v>0</v>
      </c>
      <c r="AI423" s="4">
        <v>40116</v>
      </c>
    </row>
    <row r="424" spans="1:35">
      <c r="A424">
        <v>423</v>
      </c>
      <c r="B424" t="str">
        <f>"603757"</f>
        <v>603757</v>
      </c>
      <c r="C424" t="s">
        <v>3521</v>
      </c>
      <c r="D424" s="4">
        <v>43190</v>
      </c>
      <c r="E424" t="s">
        <v>642</v>
      </c>
      <c r="F424" t="s">
        <v>3522</v>
      </c>
      <c r="G424">
        <v>3424</v>
      </c>
      <c r="H424">
        <v>0.32</v>
      </c>
      <c r="I424">
        <v>7.48</v>
      </c>
      <c r="J424">
        <v>4.0599999999999996</v>
      </c>
      <c r="K424" t="s">
        <v>94</v>
      </c>
      <c r="L424">
        <v>18.29</v>
      </c>
      <c r="M424" t="s">
        <v>3523</v>
      </c>
      <c r="N424" t="s">
        <v>3524</v>
      </c>
      <c r="O424" t="s">
        <v>3525</v>
      </c>
      <c r="P424" t="s">
        <v>3526</v>
      </c>
      <c r="Q424">
        <v>19.53</v>
      </c>
      <c r="R424" t="s">
        <v>1578</v>
      </c>
      <c r="S424">
        <v>2.42</v>
      </c>
      <c r="T424">
        <v>30.47</v>
      </c>
      <c r="U424" t="s">
        <v>613</v>
      </c>
      <c r="V424" t="s">
        <v>125</v>
      </c>
      <c r="W424" t="s">
        <v>1484</v>
      </c>
      <c r="X424">
        <v>4.0599999999999996</v>
      </c>
      <c r="Y424" t="s">
        <v>807</v>
      </c>
      <c r="Z424" t="s">
        <v>1417</v>
      </c>
      <c r="AA424" t="s">
        <v>3527</v>
      </c>
      <c r="AB424">
        <v>3.91</v>
      </c>
      <c r="AC424" t="s">
        <v>903</v>
      </c>
      <c r="AD424">
        <v>80.290000000000006</v>
      </c>
      <c r="AE424" t="s">
        <v>1483</v>
      </c>
      <c r="AF424">
        <v>3.91</v>
      </c>
      <c r="AG424">
        <v>0</v>
      </c>
      <c r="AH424">
        <v>0</v>
      </c>
      <c r="AI424" s="4">
        <v>42927</v>
      </c>
    </row>
    <row r="425" spans="1:35">
      <c r="A425">
        <v>424</v>
      </c>
      <c r="B425" t="str">
        <f>"603067"</f>
        <v>603067</v>
      </c>
      <c r="C425" t="s">
        <v>3528</v>
      </c>
      <c r="D425" s="4">
        <v>43190</v>
      </c>
      <c r="E425" t="s">
        <v>325</v>
      </c>
      <c r="F425" t="s">
        <v>610</v>
      </c>
      <c r="G425">
        <v>3949</v>
      </c>
      <c r="H425">
        <v>0.15</v>
      </c>
      <c r="I425">
        <v>3.68</v>
      </c>
      <c r="J425">
        <v>4.0599999999999996</v>
      </c>
      <c r="K425" t="s">
        <v>330</v>
      </c>
      <c r="L425">
        <v>35.26</v>
      </c>
      <c r="M425" t="s">
        <v>3529</v>
      </c>
      <c r="N425" t="s">
        <v>3530</v>
      </c>
      <c r="O425" t="s">
        <v>3531</v>
      </c>
      <c r="P425" t="s">
        <v>3532</v>
      </c>
      <c r="Q425">
        <v>32.229999999999997</v>
      </c>
      <c r="R425" t="s">
        <v>1806</v>
      </c>
      <c r="S425">
        <v>1.45</v>
      </c>
      <c r="T425">
        <v>34.020000000000003</v>
      </c>
      <c r="U425" t="s">
        <v>101</v>
      </c>
      <c r="V425" t="s">
        <v>259</v>
      </c>
      <c r="W425" t="s">
        <v>1438</v>
      </c>
      <c r="X425">
        <v>4.0599999999999996</v>
      </c>
      <c r="Y425" t="s">
        <v>2360</v>
      </c>
      <c r="Z425" t="s">
        <v>355</v>
      </c>
      <c r="AA425" t="s">
        <v>2759</v>
      </c>
      <c r="AB425">
        <v>2.72</v>
      </c>
      <c r="AC425" t="s">
        <v>613</v>
      </c>
      <c r="AD425">
        <v>90.33</v>
      </c>
      <c r="AE425" t="s">
        <v>349</v>
      </c>
      <c r="AF425">
        <v>1.05</v>
      </c>
      <c r="AG425">
        <v>0</v>
      </c>
      <c r="AH425">
        <v>0</v>
      </c>
      <c r="AI425" s="4">
        <v>42626</v>
      </c>
    </row>
    <row r="426" spans="1:35">
      <c r="A426">
        <v>425</v>
      </c>
      <c r="B426" t="str">
        <f>"600183"</f>
        <v>600183</v>
      </c>
      <c r="C426" t="s">
        <v>3533</v>
      </c>
      <c r="D426" s="4">
        <v>43190</v>
      </c>
      <c r="E426" t="s">
        <v>1693</v>
      </c>
      <c r="F426" t="s">
        <v>1693</v>
      </c>
      <c r="G426" t="s">
        <v>495</v>
      </c>
      <c r="H426">
        <v>0.12</v>
      </c>
      <c r="I426">
        <v>2.5099999999999998</v>
      </c>
      <c r="J426">
        <v>4.0599999999999996</v>
      </c>
      <c r="K426" t="s">
        <v>356</v>
      </c>
      <c r="L426">
        <v>18.87</v>
      </c>
      <c r="M426" t="s">
        <v>3441</v>
      </c>
      <c r="N426" t="s">
        <v>3534</v>
      </c>
      <c r="O426" t="s">
        <v>325</v>
      </c>
      <c r="P426" t="s">
        <v>3535</v>
      </c>
      <c r="Q426">
        <v>-12.19</v>
      </c>
      <c r="R426" t="s">
        <v>981</v>
      </c>
      <c r="S426">
        <v>0.87</v>
      </c>
      <c r="T426">
        <v>20.5</v>
      </c>
      <c r="U426" t="s">
        <v>311</v>
      </c>
      <c r="V426" t="s">
        <v>3536</v>
      </c>
      <c r="W426" t="s">
        <v>2901</v>
      </c>
      <c r="X426">
        <v>4.0599999999999996</v>
      </c>
      <c r="Y426" t="s">
        <v>225</v>
      </c>
      <c r="Z426" t="s">
        <v>1211</v>
      </c>
      <c r="AA426" t="s">
        <v>1039</v>
      </c>
      <c r="AB426">
        <v>3.29</v>
      </c>
      <c r="AC426" t="s">
        <v>2868</v>
      </c>
      <c r="AD426">
        <v>48.97</v>
      </c>
      <c r="AE426" t="s">
        <v>926</v>
      </c>
      <c r="AF426">
        <v>0.3</v>
      </c>
      <c r="AG426">
        <v>0</v>
      </c>
      <c r="AH426">
        <v>0</v>
      </c>
      <c r="AI426" s="4">
        <v>36096</v>
      </c>
    </row>
    <row r="427" spans="1:35">
      <c r="A427">
        <v>426</v>
      </c>
      <c r="B427" t="str">
        <f>"300630"</f>
        <v>300630</v>
      </c>
      <c r="C427" t="s">
        <v>3537</v>
      </c>
      <c r="D427" s="4">
        <v>43190</v>
      </c>
      <c r="E427" t="s">
        <v>1077</v>
      </c>
      <c r="F427" t="s">
        <v>3538</v>
      </c>
      <c r="G427" t="s">
        <v>2125</v>
      </c>
      <c r="H427">
        <v>0.17</v>
      </c>
      <c r="I427">
        <v>3.99</v>
      </c>
      <c r="J427">
        <v>4.0599999999999996</v>
      </c>
      <c r="K427" t="s">
        <v>3539</v>
      </c>
      <c r="L427">
        <v>94.8</v>
      </c>
      <c r="M427" t="s">
        <v>3358</v>
      </c>
      <c r="N427" t="s">
        <v>3540</v>
      </c>
      <c r="O427" t="s">
        <v>3541</v>
      </c>
      <c r="P427" t="s">
        <v>3009</v>
      </c>
      <c r="Q427">
        <v>200.38</v>
      </c>
      <c r="R427" t="s">
        <v>862</v>
      </c>
      <c r="S427">
        <v>1.05</v>
      </c>
      <c r="T427">
        <v>82.44</v>
      </c>
      <c r="U427" t="s">
        <v>1589</v>
      </c>
      <c r="V427" t="s">
        <v>1967</v>
      </c>
      <c r="W427" t="s">
        <v>2603</v>
      </c>
      <c r="X427">
        <v>4.0599999999999996</v>
      </c>
      <c r="Y427" t="s">
        <v>657</v>
      </c>
      <c r="Z427" t="s">
        <v>3542</v>
      </c>
      <c r="AA427" t="s">
        <v>3543</v>
      </c>
      <c r="AB427">
        <v>16.22</v>
      </c>
      <c r="AC427" t="s">
        <v>3544</v>
      </c>
      <c r="AD427">
        <v>84.37</v>
      </c>
      <c r="AE427" t="s">
        <v>185</v>
      </c>
      <c r="AF427">
        <v>1.78</v>
      </c>
      <c r="AG427">
        <v>0</v>
      </c>
      <c r="AH427">
        <v>0</v>
      </c>
      <c r="AI427" s="4">
        <v>42822</v>
      </c>
    </row>
    <row r="428" spans="1:35">
      <c r="A428">
        <v>427</v>
      </c>
      <c r="B428" t="str">
        <f>"002262"</f>
        <v>002262</v>
      </c>
      <c r="C428" t="s">
        <v>3545</v>
      </c>
      <c r="D428" s="4">
        <v>43190</v>
      </c>
      <c r="E428" t="s">
        <v>1094</v>
      </c>
      <c r="F428" t="s">
        <v>3546</v>
      </c>
      <c r="G428" t="s">
        <v>3547</v>
      </c>
      <c r="H428">
        <v>0.1</v>
      </c>
      <c r="I428">
        <v>2.48</v>
      </c>
      <c r="J428">
        <v>4.0599999999999996</v>
      </c>
      <c r="K428" t="s">
        <v>2383</v>
      </c>
      <c r="L428">
        <v>10.49</v>
      </c>
      <c r="M428" t="s">
        <v>1626</v>
      </c>
      <c r="N428" t="s">
        <v>3548</v>
      </c>
      <c r="O428" t="s">
        <v>1626</v>
      </c>
      <c r="P428" t="s">
        <v>533</v>
      </c>
      <c r="Q428">
        <v>19.27</v>
      </c>
      <c r="R428" t="s">
        <v>1214</v>
      </c>
      <c r="S428">
        <v>1.29</v>
      </c>
      <c r="T428">
        <v>53.91</v>
      </c>
      <c r="U428" t="s">
        <v>612</v>
      </c>
      <c r="V428" t="s">
        <v>244</v>
      </c>
      <c r="W428" t="s">
        <v>2264</v>
      </c>
      <c r="X428">
        <v>4.0599999999999996</v>
      </c>
      <c r="Y428" t="s">
        <v>1705</v>
      </c>
      <c r="Z428" t="s">
        <v>3549</v>
      </c>
      <c r="AA428" t="s">
        <v>3550</v>
      </c>
      <c r="AB428">
        <v>7.29</v>
      </c>
      <c r="AC428" t="s">
        <v>402</v>
      </c>
      <c r="AD428">
        <v>74.16</v>
      </c>
      <c r="AE428" t="s">
        <v>2759</v>
      </c>
      <c r="AF428">
        <v>0.01</v>
      </c>
      <c r="AG428">
        <v>0</v>
      </c>
      <c r="AH428">
        <v>0</v>
      </c>
      <c r="AI428" s="4">
        <v>39652</v>
      </c>
    </row>
    <row r="429" spans="1:35">
      <c r="A429">
        <v>428</v>
      </c>
      <c r="B429" t="str">
        <f>"603733"</f>
        <v>603733</v>
      </c>
      <c r="C429" t="s">
        <v>3551</v>
      </c>
      <c r="D429" s="4">
        <v>43190</v>
      </c>
      <c r="E429" t="s">
        <v>2431</v>
      </c>
      <c r="F429" t="s">
        <v>3552</v>
      </c>
      <c r="G429">
        <v>0</v>
      </c>
      <c r="H429">
        <v>0.16</v>
      </c>
      <c r="I429">
        <v>5.27</v>
      </c>
      <c r="J429">
        <v>4.05</v>
      </c>
      <c r="K429" t="s">
        <v>1362</v>
      </c>
      <c r="L429">
        <v>31.42</v>
      </c>
      <c r="M429" t="s">
        <v>280</v>
      </c>
      <c r="N429" t="s">
        <v>2427</v>
      </c>
      <c r="O429" t="s">
        <v>677</v>
      </c>
      <c r="P429" t="s">
        <v>3553</v>
      </c>
      <c r="Q429">
        <v>23.27</v>
      </c>
      <c r="R429" t="s">
        <v>1408</v>
      </c>
      <c r="S429">
        <v>1.08</v>
      </c>
      <c r="T429">
        <v>21.51</v>
      </c>
      <c r="U429" t="s">
        <v>2225</v>
      </c>
      <c r="V429" t="s">
        <v>420</v>
      </c>
      <c r="W429" t="s">
        <v>79</v>
      </c>
      <c r="X429">
        <v>4.05</v>
      </c>
      <c r="Y429" t="s">
        <v>158</v>
      </c>
      <c r="Z429" t="s">
        <v>826</v>
      </c>
      <c r="AA429" t="s">
        <v>344</v>
      </c>
      <c r="AB429">
        <v>4.62</v>
      </c>
      <c r="AC429" t="s">
        <v>352</v>
      </c>
      <c r="AD429">
        <v>47.56</v>
      </c>
      <c r="AE429" t="s">
        <v>192</v>
      </c>
      <c r="AF429">
        <v>3.08</v>
      </c>
      <c r="AG429">
        <v>0</v>
      </c>
      <c r="AH429">
        <v>0</v>
      </c>
      <c r="AI429" s="4">
        <v>43210</v>
      </c>
    </row>
    <row r="430" spans="1:35">
      <c r="A430">
        <v>429</v>
      </c>
      <c r="B430" t="str">
        <f>"600403"</f>
        <v>600403</v>
      </c>
      <c r="C430" t="s">
        <v>3554</v>
      </c>
      <c r="D430" s="4">
        <v>43190</v>
      </c>
      <c r="E430" t="s">
        <v>440</v>
      </c>
      <c r="F430" t="s">
        <v>440</v>
      </c>
      <c r="G430" t="s">
        <v>3555</v>
      </c>
      <c r="H430">
        <v>0.12</v>
      </c>
      <c r="I430">
        <v>3.01</v>
      </c>
      <c r="J430">
        <v>4.05</v>
      </c>
      <c r="K430" t="s">
        <v>251</v>
      </c>
      <c r="L430">
        <v>16.2</v>
      </c>
      <c r="M430" t="s">
        <v>1530</v>
      </c>
      <c r="N430">
        <v>0</v>
      </c>
      <c r="O430" t="s">
        <v>1530</v>
      </c>
      <c r="P430" t="s">
        <v>1699</v>
      </c>
      <c r="Q430">
        <v>92.12</v>
      </c>
      <c r="R430" t="s">
        <v>511</v>
      </c>
      <c r="S430">
        <v>1.61</v>
      </c>
      <c r="T430">
        <v>35.200000000000003</v>
      </c>
      <c r="U430" t="s">
        <v>1278</v>
      </c>
      <c r="V430" t="s">
        <v>825</v>
      </c>
      <c r="W430" t="s">
        <v>400</v>
      </c>
      <c r="X430">
        <v>4.05</v>
      </c>
      <c r="Y430" t="s">
        <v>1655</v>
      </c>
      <c r="Z430" t="s">
        <v>3556</v>
      </c>
      <c r="AA430" t="s">
        <v>3557</v>
      </c>
      <c r="AB430">
        <v>1.38</v>
      </c>
      <c r="AC430" t="s">
        <v>1927</v>
      </c>
      <c r="AD430">
        <v>42.44</v>
      </c>
      <c r="AE430" t="s">
        <v>2661</v>
      </c>
      <c r="AF430">
        <v>0.14000000000000001</v>
      </c>
      <c r="AG430">
        <v>0</v>
      </c>
      <c r="AH430">
        <v>0</v>
      </c>
      <c r="AI430" s="4">
        <v>37903</v>
      </c>
    </row>
    <row r="431" spans="1:35">
      <c r="A431">
        <v>430</v>
      </c>
      <c r="B431" t="str">
        <f>"300408"</f>
        <v>300408</v>
      </c>
      <c r="C431" t="s">
        <v>3558</v>
      </c>
      <c r="D431" s="4">
        <v>43190</v>
      </c>
      <c r="E431" t="s">
        <v>867</v>
      </c>
      <c r="F431" t="s">
        <v>76</v>
      </c>
      <c r="G431" t="s">
        <v>3559</v>
      </c>
      <c r="H431">
        <v>0.14000000000000001</v>
      </c>
      <c r="I431">
        <v>3.34</v>
      </c>
      <c r="J431">
        <v>4.05</v>
      </c>
      <c r="K431" t="s">
        <v>353</v>
      </c>
      <c r="L431">
        <v>19.13</v>
      </c>
      <c r="M431" t="s">
        <v>1621</v>
      </c>
      <c r="N431" t="s">
        <v>834</v>
      </c>
      <c r="O431" t="s">
        <v>120</v>
      </c>
      <c r="P431" t="s">
        <v>641</v>
      </c>
      <c r="Q431">
        <v>8.31</v>
      </c>
      <c r="R431" t="s">
        <v>1164</v>
      </c>
      <c r="S431">
        <v>1.93</v>
      </c>
      <c r="T431">
        <v>52.28</v>
      </c>
      <c r="U431" t="s">
        <v>3326</v>
      </c>
      <c r="V431" t="s">
        <v>2881</v>
      </c>
      <c r="W431" t="s">
        <v>547</v>
      </c>
      <c r="X431">
        <v>4.05</v>
      </c>
      <c r="Y431" t="s">
        <v>173</v>
      </c>
      <c r="Z431" t="s">
        <v>1837</v>
      </c>
      <c r="AA431" t="s">
        <v>1319</v>
      </c>
      <c r="AB431">
        <v>6.75</v>
      </c>
      <c r="AC431" t="s">
        <v>1701</v>
      </c>
      <c r="AD431">
        <v>80.89</v>
      </c>
      <c r="AE431" t="s">
        <v>120</v>
      </c>
      <c r="AF431">
        <v>0.17</v>
      </c>
      <c r="AG431">
        <v>0</v>
      </c>
      <c r="AH431">
        <v>0</v>
      </c>
      <c r="AI431" s="4">
        <v>41976</v>
      </c>
    </row>
    <row r="432" spans="1:35">
      <c r="A432">
        <v>431</v>
      </c>
      <c r="B432" t="str">
        <f>"601336"</f>
        <v>601336</v>
      </c>
      <c r="C432" t="s">
        <v>3560</v>
      </c>
      <c r="D432" s="4">
        <v>43190</v>
      </c>
      <c r="E432" t="s">
        <v>313</v>
      </c>
      <c r="F432" t="s">
        <v>159</v>
      </c>
      <c r="G432" t="s">
        <v>2927</v>
      </c>
      <c r="H432">
        <v>0.84</v>
      </c>
      <c r="I432">
        <v>20.99</v>
      </c>
      <c r="J432">
        <v>4.04</v>
      </c>
      <c r="K432" t="s">
        <v>3561</v>
      </c>
      <c r="L432">
        <v>3.51</v>
      </c>
      <c r="M432" t="s">
        <v>3562</v>
      </c>
      <c r="N432" t="s">
        <v>3313</v>
      </c>
      <c r="O432" t="s">
        <v>464</v>
      </c>
      <c r="P432" t="s">
        <v>1832</v>
      </c>
      <c r="Q432">
        <v>42.02</v>
      </c>
      <c r="R432" t="s">
        <v>3563</v>
      </c>
      <c r="S432">
        <v>9.56</v>
      </c>
      <c r="T432">
        <v>0</v>
      </c>
      <c r="U432" t="s">
        <v>3564</v>
      </c>
      <c r="V432">
        <v>0</v>
      </c>
      <c r="W432" t="s">
        <v>3565</v>
      </c>
      <c r="X432">
        <v>4.04</v>
      </c>
      <c r="Y432" t="s">
        <v>3566</v>
      </c>
      <c r="Z432">
        <v>0</v>
      </c>
      <c r="AA432">
        <v>0</v>
      </c>
      <c r="AB432">
        <v>2.25</v>
      </c>
      <c r="AC432" t="s">
        <v>3567</v>
      </c>
      <c r="AD432">
        <v>9.07</v>
      </c>
      <c r="AE432" t="s">
        <v>1099</v>
      </c>
      <c r="AF432">
        <v>7.67</v>
      </c>
      <c r="AG432">
        <v>0</v>
      </c>
      <c r="AH432" t="s">
        <v>978</v>
      </c>
      <c r="AI432" s="4">
        <v>40893</v>
      </c>
    </row>
    <row r="433" spans="1:35">
      <c r="A433">
        <v>432</v>
      </c>
      <c r="B433" t="str">
        <f>"601006"</f>
        <v>601006</v>
      </c>
      <c r="C433" t="s">
        <v>3568</v>
      </c>
      <c r="D433" s="4">
        <v>43190</v>
      </c>
      <c r="E433" t="s">
        <v>1741</v>
      </c>
      <c r="F433" t="s">
        <v>1741</v>
      </c>
      <c r="G433" t="s">
        <v>3569</v>
      </c>
      <c r="H433">
        <v>0.28000000000000003</v>
      </c>
      <c r="I433">
        <v>6.96</v>
      </c>
      <c r="J433">
        <v>4.04</v>
      </c>
      <c r="K433" t="s">
        <v>1292</v>
      </c>
      <c r="L433">
        <v>44.35</v>
      </c>
      <c r="M433" t="s">
        <v>1338</v>
      </c>
      <c r="N433" t="s">
        <v>3570</v>
      </c>
      <c r="O433" t="s">
        <v>430</v>
      </c>
      <c r="P433" t="s">
        <v>3571</v>
      </c>
      <c r="Q433">
        <v>29.59</v>
      </c>
      <c r="R433" t="s">
        <v>3572</v>
      </c>
      <c r="S433">
        <v>3.52</v>
      </c>
      <c r="T433">
        <v>26.19</v>
      </c>
      <c r="U433" t="s">
        <v>3573</v>
      </c>
      <c r="V433" t="s">
        <v>3574</v>
      </c>
      <c r="W433" t="s">
        <v>955</v>
      </c>
      <c r="X433">
        <v>4.04</v>
      </c>
      <c r="Y433" t="s">
        <v>1811</v>
      </c>
      <c r="Z433" t="s">
        <v>1146</v>
      </c>
      <c r="AA433" t="s">
        <v>252</v>
      </c>
      <c r="AB433">
        <v>1.29</v>
      </c>
      <c r="AC433" t="s">
        <v>3575</v>
      </c>
      <c r="AD433">
        <v>78.709999999999994</v>
      </c>
      <c r="AE433" t="s">
        <v>1882</v>
      </c>
      <c r="AF433">
        <v>1.66</v>
      </c>
      <c r="AG433">
        <v>0</v>
      </c>
      <c r="AH433">
        <v>0</v>
      </c>
      <c r="AI433" s="4">
        <v>38930</v>
      </c>
    </row>
    <row r="434" spans="1:35">
      <c r="A434">
        <v>433</v>
      </c>
      <c r="B434" t="str">
        <f>"600966"</f>
        <v>600966</v>
      </c>
      <c r="C434" t="s">
        <v>3576</v>
      </c>
      <c r="D434" s="4">
        <v>43190</v>
      </c>
      <c r="E434" t="s">
        <v>924</v>
      </c>
      <c r="F434" t="s">
        <v>924</v>
      </c>
      <c r="G434" t="s">
        <v>1199</v>
      </c>
      <c r="H434">
        <v>0.15</v>
      </c>
      <c r="I434">
        <v>3.87</v>
      </c>
      <c r="J434">
        <v>4.04</v>
      </c>
      <c r="K434" t="s">
        <v>304</v>
      </c>
      <c r="L434">
        <v>-15.88</v>
      </c>
      <c r="M434" t="s">
        <v>1511</v>
      </c>
      <c r="N434">
        <v>0</v>
      </c>
      <c r="O434" t="s">
        <v>1511</v>
      </c>
      <c r="P434" t="s">
        <v>844</v>
      </c>
      <c r="Q434">
        <v>4.01</v>
      </c>
      <c r="R434" t="s">
        <v>2291</v>
      </c>
      <c r="S434">
        <v>1.71</v>
      </c>
      <c r="T434">
        <v>28.08</v>
      </c>
      <c r="U434" t="s">
        <v>1222</v>
      </c>
      <c r="V434" t="s">
        <v>3577</v>
      </c>
      <c r="W434" t="s">
        <v>1616</v>
      </c>
      <c r="X434">
        <v>4.04</v>
      </c>
      <c r="Y434" t="s">
        <v>1311</v>
      </c>
      <c r="Z434" t="s">
        <v>635</v>
      </c>
      <c r="AA434" t="s">
        <v>250</v>
      </c>
      <c r="AB434">
        <v>1.06</v>
      </c>
      <c r="AC434" t="s">
        <v>3578</v>
      </c>
      <c r="AD434">
        <v>35.71</v>
      </c>
      <c r="AE434" t="s">
        <v>124</v>
      </c>
      <c r="AF434">
        <v>1</v>
      </c>
      <c r="AG434">
        <v>0</v>
      </c>
      <c r="AH434">
        <v>0</v>
      </c>
      <c r="AI434" s="4">
        <v>38146</v>
      </c>
    </row>
    <row r="435" spans="1:35">
      <c r="A435">
        <v>434</v>
      </c>
      <c r="B435" t="str">
        <f>"603929"</f>
        <v>603929</v>
      </c>
      <c r="C435" t="s">
        <v>3579</v>
      </c>
      <c r="D435" s="4">
        <v>43190</v>
      </c>
      <c r="E435" t="s">
        <v>1417</v>
      </c>
      <c r="F435" t="s">
        <v>3580</v>
      </c>
      <c r="G435">
        <v>6864</v>
      </c>
      <c r="H435">
        <v>0.19</v>
      </c>
      <c r="I435">
        <v>4.59</v>
      </c>
      <c r="J435">
        <v>4.03</v>
      </c>
      <c r="K435" t="s">
        <v>792</v>
      </c>
      <c r="L435">
        <v>7.54</v>
      </c>
      <c r="M435" t="s">
        <v>2973</v>
      </c>
      <c r="N435" t="s">
        <v>3581</v>
      </c>
      <c r="O435" t="s">
        <v>2973</v>
      </c>
      <c r="P435" t="s">
        <v>3582</v>
      </c>
      <c r="Q435">
        <v>-27.91</v>
      </c>
      <c r="R435" t="s">
        <v>3374</v>
      </c>
      <c r="S435">
        <v>2.13</v>
      </c>
      <c r="T435">
        <v>8.39</v>
      </c>
      <c r="U435" t="s">
        <v>775</v>
      </c>
      <c r="V435" t="s">
        <v>646</v>
      </c>
      <c r="W435" t="s">
        <v>3583</v>
      </c>
      <c r="X435">
        <v>4.03</v>
      </c>
      <c r="Y435" t="s">
        <v>2061</v>
      </c>
      <c r="Z435" t="s">
        <v>2061</v>
      </c>
      <c r="AA435">
        <v>0</v>
      </c>
      <c r="AB435">
        <v>4.2300000000000004</v>
      </c>
      <c r="AC435" t="s">
        <v>1496</v>
      </c>
      <c r="AD435">
        <v>58.15</v>
      </c>
      <c r="AE435" t="s">
        <v>507</v>
      </c>
      <c r="AF435">
        <v>1.21</v>
      </c>
      <c r="AG435">
        <v>0</v>
      </c>
      <c r="AH435">
        <v>0</v>
      </c>
      <c r="AI435" s="4">
        <v>42734</v>
      </c>
    </row>
    <row r="436" spans="1:35">
      <c r="A436">
        <v>435</v>
      </c>
      <c r="B436" t="str">
        <f>"002242"</f>
        <v>002242</v>
      </c>
      <c r="C436" t="s">
        <v>3584</v>
      </c>
      <c r="D436" s="4">
        <v>43190</v>
      </c>
      <c r="E436" t="s">
        <v>2693</v>
      </c>
      <c r="F436" t="s">
        <v>63</v>
      </c>
      <c r="G436" t="s">
        <v>3585</v>
      </c>
      <c r="H436">
        <v>0.19</v>
      </c>
      <c r="I436">
        <v>4.13</v>
      </c>
      <c r="J436">
        <v>4.03</v>
      </c>
      <c r="K436" t="s">
        <v>848</v>
      </c>
      <c r="L436">
        <v>5.57</v>
      </c>
      <c r="M436" t="s">
        <v>1366</v>
      </c>
      <c r="N436" t="s">
        <v>3586</v>
      </c>
      <c r="O436" t="s">
        <v>1366</v>
      </c>
      <c r="P436" t="s">
        <v>745</v>
      </c>
      <c r="Q436">
        <v>7.88</v>
      </c>
      <c r="R436" t="s">
        <v>79</v>
      </c>
      <c r="S436">
        <v>1.56</v>
      </c>
      <c r="T436">
        <v>31.53</v>
      </c>
      <c r="U436" t="s">
        <v>780</v>
      </c>
      <c r="V436" t="s">
        <v>733</v>
      </c>
      <c r="W436" t="s">
        <v>3587</v>
      </c>
      <c r="X436">
        <v>4.03</v>
      </c>
      <c r="Y436" t="s">
        <v>250</v>
      </c>
      <c r="Z436" t="s">
        <v>192</v>
      </c>
      <c r="AA436" t="s">
        <v>3225</v>
      </c>
      <c r="AB436">
        <v>4</v>
      </c>
      <c r="AC436" t="s">
        <v>2871</v>
      </c>
      <c r="AD436">
        <v>75.7</v>
      </c>
      <c r="AE436" t="s">
        <v>724</v>
      </c>
      <c r="AF436">
        <v>1.17</v>
      </c>
      <c r="AG436">
        <v>0</v>
      </c>
      <c r="AH436">
        <v>0</v>
      </c>
      <c r="AI436" s="4">
        <v>39596</v>
      </c>
    </row>
    <row r="437" spans="1:35">
      <c r="A437">
        <v>436</v>
      </c>
      <c r="B437" t="str">
        <f>"603993"</f>
        <v>603993</v>
      </c>
      <c r="C437" t="s">
        <v>3588</v>
      </c>
      <c r="D437" s="4">
        <v>43190</v>
      </c>
      <c r="E437" t="s">
        <v>1654</v>
      </c>
      <c r="F437" t="s">
        <v>719</v>
      </c>
      <c r="G437">
        <v>0</v>
      </c>
      <c r="H437">
        <v>7.0000000000000007E-2</v>
      </c>
      <c r="I437">
        <v>1.8</v>
      </c>
      <c r="J437">
        <v>4.0199999999999996</v>
      </c>
      <c r="K437" t="s">
        <v>2762</v>
      </c>
      <c r="L437">
        <v>28.53</v>
      </c>
      <c r="M437" t="s">
        <v>512</v>
      </c>
      <c r="N437" t="s">
        <v>866</v>
      </c>
      <c r="O437" t="s">
        <v>1504</v>
      </c>
      <c r="P437" t="s">
        <v>747</v>
      </c>
      <c r="Q437">
        <v>159.54</v>
      </c>
      <c r="R437" t="s">
        <v>3589</v>
      </c>
      <c r="S437">
        <v>0.33</v>
      </c>
      <c r="T437">
        <v>44.9</v>
      </c>
      <c r="U437" t="s">
        <v>3590</v>
      </c>
      <c r="V437" t="s">
        <v>3591</v>
      </c>
      <c r="W437" t="s">
        <v>1193</v>
      </c>
      <c r="X437">
        <v>4.0199999999999996</v>
      </c>
      <c r="Y437" t="s">
        <v>3592</v>
      </c>
      <c r="Z437" t="s">
        <v>1453</v>
      </c>
      <c r="AA437" t="s">
        <v>3593</v>
      </c>
      <c r="AB437">
        <v>3.41</v>
      </c>
      <c r="AC437" t="s">
        <v>3594</v>
      </c>
      <c r="AD437">
        <v>39.630000000000003</v>
      </c>
      <c r="AE437" t="s">
        <v>1814</v>
      </c>
      <c r="AF437">
        <v>1.28</v>
      </c>
      <c r="AG437">
        <v>0</v>
      </c>
      <c r="AH437" t="s">
        <v>230</v>
      </c>
      <c r="AI437" s="4">
        <v>41191</v>
      </c>
    </row>
    <row r="438" spans="1:35">
      <c r="A438">
        <v>437</v>
      </c>
      <c r="B438" t="str">
        <f>"002287"</f>
        <v>002287</v>
      </c>
      <c r="C438" t="s">
        <v>3595</v>
      </c>
      <c r="D438" s="4">
        <v>43190</v>
      </c>
      <c r="E438" t="s">
        <v>365</v>
      </c>
      <c r="F438" t="s">
        <v>365</v>
      </c>
      <c r="G438" t="s">
        <v>1838</v>
      </c>
      <c r="H438">
        <v>0.19</v>
      </c>
      <c r="I438">
        <v>4.8099999999999996</v>
      </c>
      <c r="J438">
        <v>4.0199999999999996</v>
      </c>
      <c r="K438" t="s">
        <v>935</v>
      </c>
      <c r="L438">
        <v>17.079999999999998</v>
      </c>
      <c r="M438" t="s">
        <v>3596</v>
      </c>
      <c r="N438" t="s">
        <v>3597</v>
      </c>
      <c r="O438" t="s">
        <v>3596</v>
      </c>
      <c r="P438" t="s">
        <v>195</v>
      </c>
      <c r="Q438">
        <v>11.21</v>
      </c>
      <c r="R438" t="s">
        <v>903</v>
      </c>
      <c r="S438">
        <v>2.29</v>
      </c>
      <c r="T438">
        <v>87.29</v>
      </c>
      <c r="U438" t="s">
        <v>306</v>
      </c>
      <c r="V438" t="s">
        <v>115</v>
      </c>
      <c r="W438" t="s">
        <v>609</v>
      </c>
      <c r="X438">
        <v>4.0199999999999996</v>
      </c>
      <c r="Y438" t="s">
        <v>348</v>
      </c>
      <c r="Z438" t="s">
        <v>267</v>
      </c>
      <c r="AA438" t="s">
        <v>3598</v>
      </c>
      <c r="AB438">
        <v>5.66</v>
      </c>
      <c r="AC438" t="s">
        <v>275</v>
      </c>
      <c r="AD438">
        <v>80.349999999999994</v>
      </c>
      <c r="AE438" t="s">
        <v>3027</v>
      </c>
      <c r="AF438">
        <v>1.01</v>
      </c>
      <c r="AG438">
        <v>0</v>
      </c>
      <c r="AH438">
        <v>0</v>
      </c>
      <c r="AI438" s="4">
        <v>40053</v>
      </c>
    </row>
    <row r="439" spans="1:35">
      <c r="A439">
        <v>438</v>
      </c>
      <c r="B439" t="str">
        <f>"603043"</f>
        <v>603043</v>
      </c>
      <c r="C439" t="s">
        <v>3599</v>
      </c>
      <c r="D439" s="4">
        <v>43190</v>
      </c>
      <c r="E439" t="s">
        <v>78</v>
      </c>
      <c r="F439" t="s">
        <v>2785</v>
      </c>
      <c r="G439">
        <v>2482</v>
      </c>
      <c r="H439">
        <v>0.1</v>
      </c>
      <c r="I439">
        <v>3.96</v>
      </c>
      <c r="J439">
        <v>4.01</v>
      </c>
      <c r="K439" t="s">
        <v>123</v>
      </c>
      <c r="L439">
        <v>15.47</v>
      </c>
      <c r="M439" t="s">
        <v>3600</v>
      </c>
      <c r="N439" t="s">
        <v>61</v>
      </c>
      <c r="O439" t="s">
        <v>3601</v>
      </c>
      <c r="P439" t="s">
        <v>3602</v>
      </c>
      <c r="Q439">
        <v>43.7</v>
      </c>
      <c r="R439" t="s">
        <v>3603</v>
      </c>
      <c r="S439">
        <v>1.27</v>
      </c>
      <c r="T439">
        <v>47.68</v>
      </c>
      <c r="U439" t="s">
        <v>159</v>
      </c>
      <c r="V439" t="s">
        <v>76</v>
      </c>
      <c r="W439" t="s">
        <v>998</v>
      </c>
      <c r="X439">
        <v>4.01</v>
      </c>
      <c r="Y439" t="s">
        <v>976</v>
      </c>
      <c r="Z439" t="s">
        <v>977</v>
      </c>
      <c r="AA439" t="s">
        <v>2520</v>
      </c>
      <c r="AB439">
        <v>5.62</v>
      </c>
      <c r="AC439" t="s">
        <v>867</v>
      </c>
      <c r="AD439">
        <v>83.6</v>
      </c>
      <c r="AE439" t="s">
        <v>106</v>
      </c>
      <c r="AF439">
        <v>1.4</v>
      </c>
      <c r="AG439">
        <v>0</v>
      </c>
      <c r="AH439">
        <v>0</v>
      </c>
      <c r="AI439" s="4">
        <v>42913</v>
      </c>
    </row>
    <row r="440" spans="1:35">
      <c r="A440">
        <v>439</v>
      </c>
      <c r="B440" t="str">
        <f>"600188"</f>
        <v>600188</v>
      </c>
      <c r="C440" t="s">
        <v>3604</v>
      </c>
      <c r="D440" s="4">
        <v>43190</v>
      </c>
      <c r="E440" t="s">
        <v>3605</v>
      </c>
      <c r="F440" t="s">
        <v>583</v>
      </c>
      <c r="G440">
        <v>0</v>
      </c>
      <c r="H440">
        <v>0.45</v>
      </c>
      <c r="I440">
        <v>9.0500000000000007</v>
      </c>
      <c r="J440">
        <v>4.01</v>
      </c>
      <c r="K440" t="s">
        <v>3606</v>
      </c>
      <c r="L440">
        <v>-18.79</v>
      </c>
      <c r="M440" t="s">
        <v>2498</v>
      </c>
      <c r="N440" t="s">
        <v>1364</v>
      </c>
      <c r="O440" t="s">
        <v>940</v>
      </c>
      <c r="P440" t="s">
        <v>261</v>
      </c>
      <c r="Q440">
        <v>25.49</v>
      </c>
      <c r="R440" t="s">
        <v>1106</v>
      </c>
      <c r="S440">
        <v>7.66</v>
      </c>
      <c r="T440">
        <v>23.19</v>
      </c>
      <c r="U440" t="s">
        <v>3607</v>
      </c>
      <c r="V440" t="s">
        <v>3608</v>
      </c>
      <c r="W440" t="s">
        <v>555</v>
      </c>
      <c r="X440">
        <v>4.01</v>
      </c>
      <c r="Y440" t="s">
        <v>3609</v>
      </c>
      <c r="Z440" t="s">
        <v>3610</v>
      </c>
      <c r="AA440" t="s">
        <v>3611</v>
      </c>
      <c r="AB440">
        <v>1.55</v>
      </c>
      <c r="AC440" t="s">
        <v>3612</v>
      </c>
      <c r="AD440">
        <v>30.66</v>
      </c>
      <c r="AE440" t="s">
        <v>300</v>
      </c>
      <c r="AF440">
        <v>0.25</v>
      </c>
      <c r="AG440">
        <v>0</v>
      </c>
      <c r="AH440" t="s">
        <v>275</v>
      </c>
      <c r="AI440" s="4">
        <v>35977</v>
      </c>
    </row>
    <row r="441" spans="1:35">
      <c r="A441">
        <v>440</v>
      </c>
      <c r="B441" t="str">
        <f>"002907"</f>
        <v>002907</v>
      </c>
      <c r="C441" t="s">
        <v>3613</v>
      </c>
      <c r="D441" s="4">
        <v>43190</v>
      </c>
      <c r="E441" t="s">
        <v>150</v>
      </c>
      <c r="F441" t="s">
        <v>339</v>
      </c>
      <c r="G441">
        <v>1040</v>
      </c>
      <c r="H441">
        <v>7.0000000000000007E-2</v>
      </c>
      <c r="I441">
        <v>1.87</v>
      </c>
      <c r="J441">
        <v>4.01</v>
      </c>
      <c r="K441" t="s">
        <v>64</v>
      </c>
      <c r="L441">
        <v>30.9</v>
      </c>
      <c r="M441" t="s">
        <v>3614</v>
      </c>
      <c r="N441" t="s">
        <v>3615</v>
      </c>
      <c r="O441" t="s">
        <v>3616</v>
      </c>
      <c r="P441" t="s">
        <v>3617</v>
      </c>
      <c r="Q441">
        <v>36.090000000000003</v>
      </c>
      <c r="R441" t="s">
        <v>454</v>
      </c>
      <c r="S441">
        <v>0.54</v>
      </c>
      <c r="T441">
        <v>67.05</v>
      </c>
      <c r="U441" t="s">
        <v>1833</v>
      </c>
      <c r="V441" t="s">
        <v>2450</v>
      </c>
      <c r="W441" t="s">
        <v>45</v>
      </c>
      <c r="X441">
        <v>4.01</v>
      </c>
      <c r="Y441" t="s">
        <v>319</v>
      </c>
      <c r="Z441" t="s">
        <v>863</v>
      </c>
      <c r="AA441" t="s">
        <v>3618</v>
      </c>
      <c r="AB441">
        <v>14.75</v>
      </c>
      <c r="AC441" t="s">
        <v>2783</v>
      </c>
      <c r="AD441">
        <v>82.25</v>
      </c>
      <c r="AE441" t="s">
        <v>1459</v>
      </c>
      <c r="AF441">
        <v>0.27</v>
      </c>
      <c r="AG441">
        <v>0</v>
      </c>
      <c r="AH441">
        <v>0</v>
      </c>
      <c r="AI441" s="4">
        <v>43028</v>
      </c>
    </row>
    <row r="442" spans="1:35">
      <c r="A442">
        <v>441</v>
      </c>
      <c r="B442" t="str">
        <f>"002382"</f>
        <v>002382</v>
      </c>
      <c r="C442" t="s">
        <v>3619</v>
      </c>
      <c r="D442" s="4">
        <v>43190</v>
      </c>
      <c r="E442" t="s">
        <v>906</v>
      </c>
      <c r="F442" t="s">
        <v>1436</v>
      </c>
      <c r="G442" t="s">
        <v>3620</v>
      </c>
      <c r="H442">
        <v>7.0000000000000007E-2</v>
      </c>
      <c r="I442">
        <v>6.23</v>
      </c>
      <c r="J442">
        <v>4.01</v>
      </c>
      <c r="K442" t="s">
        <v>479</v>
      </c>
      <c r="L442">
        <v>-4.3899999999999997</v>
      </c>
      <c r="M442" t="s">
        <v>3621</v>
      </c>
      <c r="N442" t="s">
        <v>3622</v>
      </c>
      <c r="O442" t="s">
        <v>3623</v>
      </c>
      <c r="P442" t="s">
        <v>3624</v>
      </c>
      <c r="Q442">
        <v>12.11</v>
      </c>
      <c r="R442" t="s">
        <v>1037</v>
      </c>
      <c r="S442">
        <v>0.61</v>
      </c>
      <c r="T442">
        <v>26.89</v>
      </c>
      <c r="U442" t="s">
        <v>2328</v>
      </c>
      <c r="V442" t="s">
        <v>63</v>
      </c>
      <c r="W442" t="s">
        <v>1671</v>
      </c>
      <c r="X442">
        <v>4.01</v>
      </c>
      <c r="Y442" t="s">
        <v>1799</v>
      </c>
      <c r="Z442" t="s">
        <v>1731</v>
      </c>
      <c r="AA442" t="s">
        <v>3625</v>
      </c>
      <c r="AB442">
        <v>2.95</v>
      </c>
      <c r="AC442" t="s">
        <v>1384</v>
      </c>
      <c r="AD442">
        <v>72.430000000000007</v>
      </c>
      <c r="AE442" t="s">
        <v>265</v>
      </c>
      <c r="AF442">
        <v>4.5999999999999996</v>
      </c>
      <c r="AG442">
        <v>0</v>
      </c>
      <c r="AH442">
        <v>0</v>
      </c>
      <c r="AI442" s="4">
        <v>40270</v>
      </c>
    </row>
    <row r="443" spans="1:35">
      <c r="A443">
        <v>442</v>
      </c>
      <c r="B443" t="str">
        <f>"601100"</f>
        <v>601100</v>
      </c>
      <c r="C443" t="s">
        <v>3626</v>
      </c>
      <c r="D443" s="4">
        <v>43190</v>
      </c>
      <c r="E443" t="s">
        <v>569</v>
      </c>
      <c r="F443" t="s">
        <v>569</v>
      </c>
      <c r="G443" t="s">
        <v>3627</v>
      </c>
      <c r="H443">
        <v>0.25</v>
      </c>
      <c r="I443">
        <v>6.35</v>
      </c>
      <c r="J443">
        <v>4</v>
      </c>
      <c r="K443" t="s">
        <v>2421</v>
      </c>
      <c r="L443">
        <v>74.38</v>
      </c>
      <c r="M443" t="s">
        <v>1839</v>
      </c>
      <c r="N443" t="s">
        <v>3628</v>
      </c>
      <c r="O443" t="s">
        <v>1288</v>
      </c>
      <c r="P443" t="s">
        <v>382</v>
      </c>
      <c r="Q443">
        <v>163.53</v>
      </c>
      <c r="R443" t="s">
        <v>323</v>
      </c>
      <c r="S443">
        <v>1.77</v>
      </c>
      <c r="T443">
        <v>33.979999999999997</v>
      </c>
      <c r="U443" t="s">
        <v>709</v>
      </c>
      <c r="V443" t="s">
        <v>1601</v>
      </c>
      <c r="W443" t="s">
        <v>251</v>
      </c>
      <c r="X443">
        <v>4</v>
      </c>
      <c r="Y443" t="s">
        <v>1687</v>
      </c>
      <c r="Z443" t="s">
        <v>308</v>
      </c>
      <c r="AA443" t="s">
        <v>2647</v>
      </c>
      <c r="AB443">
        <v>4.57</v>
      </c>
      <c r="AC443" t="s">
        <v>511</v>
      </c>
      <c r="AD443">
        <v>61.56</v>
      </c>
      <c r="AE443" t="s">
        <v>159</v>
      </c>
      <c r="AF443">
        <v>3.31</v>
      </c>
      <c r="AG443">
        <v>0</v>
      </c>
      <c r="AH443">
        <v>0</v>
      </c>
      <c r="AI443" s="4">
        <v>40844</v>
      </c>
    </row>
    <row r="444" spans="1:35">
      <c r="A444">
        <v>443</v>
      </c>
      <c r="B444" t="str">
        <f>"600076"</f>
        <v>600076</v>
      </c>
      <c r="C444" t="s">
        <v>3629</v>
      </c>
      <c r="D444" s="4">
        <v>43190</v>
      </c>
      <c r="E444" t="s">
        <v>978</v>
      </c>
      <c r="F444" t="s">
        <v>2264</v>
      </c>
      <c r="G444" t="s">
        <v>2135</v>
      </c>
      <c r="H444">
        <v>0.13</v>
      </c>
      <c r="I444">
        <v>3.41</v>
      </c>
      <c r="J444">
        <v>4</v>
      </c>
      <c r="K444" t="s">
        <v>1480</v>
      </c>
      <c r="L444">
        <v>94.95</v>
      </c>
      <c r="M444" t="s">
        <v>505</v>
      </c>
      <c r="N444">
        <v>0</v>
      </c>
      <c r="O444" t="s">
        <v>505</v>
      </c>
      <c r="P444" t="s">
        <v>657</v>
      </c>
      <c r="Q444">
        <v>24.69</v>
      </c>
      <c r="R444" t="s">
        <v>187</v>
      </c>
      <c r="S444">
        <v>1.82</v>
      </c>
      <c r="T444">
        <v>33.28</v>
      </c>
      <c r="U444" t="s">
        <v>430</v>
      </c>
      <c r="V444" t="s">
        <v>725</v>
      </c>
      <c r="W444" t="s">
        <v>3630</v>
      </c>
      <c r="X444">
        <v>4</v>
      </c>
      <c r="Y444" t="s">
        <v>50</v>
      </c>
      <c r="Z444" t="s">
        <v>1384</v>
      </c>
      <c r="AA444" t="s">
        <v>1853</v>
      </c>
      <c r="AB444">
        <v>1.6</v>
      </c>
      <c r="AC444" t="s">
        <v>2498</v>
      </c>
      <c r="AD444">
        <v>68.099999999999994</v>
      </c>
      <c r="AE444" t="s">
        <v>944</v>
      </c>
      <c r="AF444">
        <v>0.5</v>
      </c>
      <c r="AG444">
        <v>0</v>
      </c>
      <c r="AH444">
        <v>0</v>
      </c>
      <c r="AI444" s="4">
        <v>35576</v>
      </c>
    </row>
    <row r="445" spans="1:35">
      <c r="A445">
        <v>444</v>
      </c>
      <c r="B445" t="str">
        <f>"002726"</f>
        <v>002726</v>
      </c>
      <c r="C445" t="s">
        <v>3631</v>
      </c>
      <c r="D445" s="4">
        <v>43190</v>
      </c>
      <c r="E445" t="s">
        <v>2358</v>
      </c>
      <c r="F445" t="s">
        <v>3632</v>
      </c>
      <c r="G445" t="s">
        <v>3633</v>
      </c>
      <c r="H445">
        <v>0.1</v>
      </c>
      <c r="I445">
        <v>2.66</v>
      </c>
      <c r="J445">
        <v>4</v>
      </c>
      <c r="K445" t="s">
        <v>980</v>
      </c>
      <c r="L445">
        <v>24.73</v>
      </c>
      <c r="M445" t="s">
        <v>3634</v>
      </c>
      <c r="N445" t="s">
        <v>3635</v>
      </c>
      <c r="O445" t="s">
        <v>3636</v>
      </c>
      <c r="P445" t="s">
        <v>3637</v>
      </c>
      <c r="Q445">
        <v>1.89</v>
      </c>
      <c r="R445" t="s">
        <v>2358</v>
      </c>
      <c r="S445">
        <v>1</v>
      </c>
      <c r="T445">
        <v>9.57</v>
      </c>
      <c r="U445" t="s">
        <v>685</v>
      </c>
      <c r="V445" t="s">
        <v>119</v>
      </c>
      <c r="W445" t="s">
        <v>1438</v>
      </c>
      <c r="X445">
        <v>4</v>
      </c>
      <c r="Y445" t="s">
        <v>1651</v>
      </c>
      <c r="Z445" t="s">
        <v>2454</v>
      </c>
      <c r="AA445" t="s">
        <v>887</v>
      </c>
      <c r="AB445">
        <v>3.27</v>
      </c>
      <c r="AC445" t="s">
        <v>1255</v>
      </c>
      <c r="AD445">
        <v>70.55</v>
      </c>
      <c r="AE445" t="s">
        <v>1383</v>
      </c>
      <c r="AF445">
        <v>0.47</v>
      </c>
      <c r="AG445">
        <v>0</v>
      </c>
      <c r="AH445">
        <v>0</v>
      </c>
      <c r="AI445" s="4">
        <v>41816</v>
      </c>
    </row>
    <row r="446" spans="1:35">
      <c r="A446">
        <v>445</v>
      </c>
      <c r="B446" t="str">
        <f>"002680"</f>
        <v>002680</v>
      </c>
      <c r="C446" t="s">
        <v>3638</v>
      </c>
      <c r="D446" s="4">
        <v>43190</v>
      </c>
      <c r="E446" t="s">
        <v>3639</v>
      </c>
      <c r="F446" t="s">
        <v>241</v>
      </c>
      <c r="G446" t="s">
        <v>3640</v>
      </c>
      <c r="H446">
        <v>0.16</v>
      </c>
      <c r="I446">
        <v>3.72</v>
      </c>
      <c r="J446">
        <v>4</v>
      </c>
      <c r="K446" t="s">
        <v>1789</v>
      </c>
      <c r="L446">
        <v>54.05</v>
      </c>
      <c r="M446" t="s">
        <v>383</v>
      </c>
      <c r="N446" t="s">
        <v>2577</v>
      </c>
      <c r="O446" t="s">
        <v>383</v>
      </c>
      <c r="P446" t="s">
        <v>382</v>
      </c>
      <c r="Q446">
        <v>72.22</v>
      </c>
      <c r="R446" t="s">
        <v>1000</v>
      </c>
      <c r="S446">
        <v>1.66</v>
      </c>
      <c r="T446">
        <v>91.59</v>
      </c>
      <c r="U446" t="s">
        <v>553</v>
      </c>
      <c r="V446" t="s">
        <v>612</v>
      </c>
      <c r="W446" t="s">
        <v>335</v>
      </c>
      <c r="X446">
        <v>4</v>
      </c>
      <c r="Y446" t="s">
        <v>2095</v>
      </c>
      <c r="Z446" t="s">
        <v>2310</v>
      </c>
      <c r="AA446" t="s">
        <v>3641</v>
      </c>
      <c r="AB446">
        <v>5.92</v>
      </c>
      <c r="AC446" t="s">
        <v>1742</v>
      </c>
      <c r="AD446">
        <v>85.69</v>
      </c>
      <c r="AE446" t="s">
        <v>978</v>
      </c>
      <c r="AF446">
        <v>1.06</v>
      </c>
      <c r="AG446">
        <v>0</v>
      </c>
      <c r="AH446">
        <v>0</v>
      </c>
      <c r="AI446" s="4">
        <v>41065</v>
      </c>
    </row>
    <row r="447" spans="1:35">
      <c r="A447">
        <v>446</v>
      </c>
      <c r="B447" t="str">
        <f>"002223"</f>
        <v>002223</v>
      </c>
      <c r="C447" t="s">
        <v>3642</v>
      </c>
      <c r="D447" s="4">
        <v>43190</v>
      </c>
      <c r="E447" t="s">
        <v>895</v>
      </c>
      <c r="F447" t="s">
        <v>3643</v>
      </c>
      <c r="G447" t="s">
        <v>1440</v>
      </c>
      <c r="H447">
        <v>0.21</v>
      </c>
      <c r="I447">
        <v>5.44</v>
      </c>
      <c r="J447">
        <v>4</v>
      </c>
      <c r="K447" t="s">
        <v>919</v>
      </c>
      <c r="L447">
        <v>15.49</v>
      </c>
      <c r="M447" t="s">
        <v>1180</v>
      </c>
      <c r="N447" t="s">
        <v>3644</v>
      </c>
      <c r="O447" t="s">
        <v>1049</v>
      </c>
      <c r="P447" t="s">
        <v>454</v>
      </c>
      <c r="Q447">
        <v>15.05</v>
      </c>
      <c r="R447" t="s">
        <v>1920</v>
      </c>
      <c r="S447">
        <v>2.0499999999999998</v>
      </c>
      <c r="T447">
        <v>41.61</v>
      </c>
      <c r="U447" t="s">
        <v>467</v>
      </c>
      <c r="V447" t="s">
        <v>2694</v>
      </c>
      <c r="W447" t="s">
        <v>1972</v>
      </c>
      <c r="X447">
        <v>4</v>
      </c>
      <c r="Y447" t="s">
        <v>407</v>
      </c>
      <c r="Z447" t="s">
        <v>1978</v>
      </c>
      <c r="AA447" t="s">
        <v>1245</v>
      </c>
      <c r="AB447">
        <v>3.76</v>
      </c>
      <c r="AC447" t="s">
        <v>3645</v>
      </c>
      <c r="AD447">
        <v>80.77</v>
      </c>
      <c r="AE447" t="s">
        <v>514</v>
      </c>
      <c r="AF447">
        <v>2.12</v>
      </c>
      <c r="AG447">
        <v>0</v>
      </c>
      <c r="AH447">
        <v>0</v>
      </c>
      <c r="AI447" s="4">
        <v>39556</v>
      </c>
    </row>
    <row r="448" spans="1:35">
      <c r="A448">
        <v>447</v>
      </c>
      <c r="B448" t="str">
        <f>"000958"</f>
        <v>000958</v>
      </c>
      <c r="C448" t="s">
        <v>3646</v>
      </c>
      <c r="D448" s="4">
        <v>43190</v>
      </c>
      <c r="E448" t="s">
        <v>602</v>
      </c>
      <c r="F448" t="s">
        <v>43</v>
      </c>
      <c r="G448">
        <v>7517</v>
      </c>
      <c r="H448">
        <v>0.09</v>
      </c>
      <c r="I448">
        <v>2.25</v>
      </c>
      <c r="J448">
        <v>4</v>
      </c>
      <c r="K448" t="s">
        <v>2930</v>
      </c>
      <c r="L448">
        <v>6.06</v>
      </c>
      <c r="M448" t="s">
        <v>3647</v>
      </c>
      <c r="N448">
        <v>0</v>
      </c>
      <c r="O448" t="s">
        <v>443</v>
      </c>
      <c r="P448" t="s">
        <v>3648</v>
      </c>
      <c r="Q448">
        <v>24.91</v>
      </c>
      <c r="R448" t="s">
        <v>454</v>
      </c>
      <c r="S448">
        <v>0.14000000000000001</v>
      </c>
      <c r="T448">
        <v>15.44</v>
      </c>
      <c r="U448" t="s">
        <v>3649</v>
      </c>
      <c r="V448" t="s">
        <v>980</v>
      </c>
      <c r="W448" t="s">
        <v>739</v>
      </c>
      <c r="X448">
        <v>4</v>
      </c>
      <c r="Y448" t="s">
        <v>1531</v>
      </c>
      <c r="Z448" t="s">
        <v>1219</v>
      </c>
      <c r="AA448" t="s">
        <v>1263</v>
      </c>
      <c r="AB448">
        <v>1.55</v>
      </c>
      <c r="AC448" t="s">
        <v>2542</v>
      </c>
      <c r="AD448">
        <v>26.74</v>
      </c>
      <c r="AE448" t="s">
        <v>973</v>
      </c>
      <c r="AF448">
        <v>1.04</v>
      </c>
      <c r="AG448">
        <v>0</v>
      </c>
      <c r="AH448">
        <v>0</v>
      </c>
      <c r="AI448" s="4">
        <v>36517</v>
      </c>
    </row>
    <row r="449" spans="1:35">
      <c r="A449">
        <v>448</v>
      </c>
      <c r="B449" t="str">
        <f>"002143"</f>
        <v>002143</v>
      </c>
      <c r="C449" t="s">
        <v>3650</v>
      </c>
      <c r="D449" s="4">
        <v>43190</v>
      </c>
      <c r="E449" t="s">
        <v>1126</v>
      </c>
      <c r="F449" t="s">
        <v>3651</v>
      </c>
      <c r="G449" t="s">
        <v>1543</v>
      </c>
      <c r="H449">
        <v>7.0000000000000007E-2</v>
      </c>
      <c r="I449">
        <v>1.69</v>
      </c>
      <c r="J449">
        <v>3.99</v>
      </c>
      <c r="K449" t="s">
        <v>1530</v>
      </c>
      <c r="L449">
        <v>0.01</v>
      </c>
      <c r="M449" t="s">
        <v>2360</v>
      </c>
      <c r="N449" t="s">
        <v>3652</v>
      </c>
      <c r="O449" t="s">
        <v>2360</v>
      </c>
      <c r="P449" t="s">
        <v>1626</v>
      </c>
      <c r="Q449">
        <v>5.88</v>
      </c>
      <c r="R449" t="s">
        <v>2941</v>
      </c>
      <c r="S449">
        <v>1.62</v>
      </c>
      <c r="T449">
        <v>55.02</v>
      </c>
      <c r="U449" t="s">
        <v>3653</v>
      </c>
      <c r="V449" t="s">
        <v>2642</v>
      </c>
      <c r="W449" t="s">
        <v>3021</v>
      </c>
      <c r="X449">
        <v>3.99</v>
      </c>
      <c r="Y449" t="s">
        <v>173</v>
      </c>
      <c r="Z449" t="s">
        <v>1496</v>
      </c>
      <c r="AA449" t="s">
        <v>133</v>
      </c>
      <c r="AB449">
        <v>7.14</v>
      </c>
      <c r="AC449" t="s">
        <v>864</v>
      </c>
      <c r="AD449">
        <v>65.069999999999993</v>
      </c>
      <c r="AE449" t="s">
        <v>3654</v>
      </c>
      <c r="AF449">
        <v>-0.01</v>
      </c>
      <c r="AG449">
        <v>0</v>
      </c>
      <c r="AH449">
        <v>0</v>
      </c>
      <c r="AI449" s="4">
        <v>39283</v>
      </c>
    </row>
    <row r="450" spans="1:35">
      <c r="A450">
        <v>449</v>
      </c>
      <c r="B450" t="str">
        <f>"600345"</f>
        <v>600345</v>
      </c>
      <c r="C450" t="s">
        <v>3655</v>
      </c>
      <c r="D450" s="4">
        <v>43190</v>
      </c>
      <c r="E450" t="s">
        <v>148</v>
      </c>
      <c r="F450" t="s">
        <v>148</v>
      </c>
      <c r="G450">
        <v>7568</v>
      </c>
      <c r="H450">
        <v>0.32</v>
      </c>
      <c r="I450">
        <v>8.19</v>
      </c>
      <c r="J450">
        <v>3.98</v>
      </c>
      <c r="K450" t="s">
        <v>3656</v>
      </c>
      <c r="L450">
        <v>-54.52</v>
      </c>
      <c r="M450" t="s">
        <v>3657</v>
      </c>
      <c r="N450" t="s">
        <v>3658</v>
      </c>
      <c r="O450" t="s">
        <v>3659</v>
      </c>
      <c r="P450" t="s">
        <v>3660</v>
      </c>
      <c r="Q450">
        <v>-2.54</v>
      </c>
      <c r="R450" t="s">
        <v>1909</v>
      </c>
      <c r="S450">
        <v>3.22</v>
      </c>
      <c r="T450">
        <v>12.87</v>
      </c>
      <c r="U450" t="s">
        <v>1678</v>
      </c>
      <c r="V450" t="s">
        <v>2686</v>
      </c>
      <c r="W450" t="s">
        <v>3661</v>
      </c>
      <c r="X450">
        <v>3.98</v>
      </c>
      <c r="Y450" t="s">
        <v>505</v>
      </c>
      <c r="Z450" t="s">
        <v>2034</v>
      </c>
      <c r="AA450" t="s">
        <v>2087</v>
      </c>
      <c r="AB450">
        <v>3.28</v>
      </c>
      <c r="AC450" t="s">
        <v>1062</v>
      </c>
      <c r="AD450">
        <v>90.97</v>
      </c>
      <c r="AE450" t="s">
        <v>806</v>
      </c>
      <c r="AF450">
        <v>2.14</v>
      </c>
      <c r="AG450">
        <v>0</v>
      </c>
      <c r="AH450">
        <v>0</v>
      </c>
      <c r="AI450" s="4">
        <v>36882</v>
      </c>
    </row>
    <row r="451" spans="1:35">
      <c r="A451">
        <v>450</v>
      </c>
      <c r="B451" t="str">
        <f>"300725"</f>
        <v>300725</v>
      </c>
      <c r="C451" t="s">
        <v>3662</v>
      </c>
      <c r="D451" s="4">
        <v>43190</v>
      </c>
      <c r="E451" t="s">
        <v>804</v>
      </c>
      <c r="F451" t="s">
        <v>3663</v>
      </c>
      <c r="G451">
        <v>1367</v>
      </c>
      <c r="H451">
        <v>0.18</v>
      </c>
      <c r="I451">
        <v>4.55</v>
      </c>
      <c r="J451">
        <v>3.98</v>
      </c>
      <c r="K451" t="s">
        <v>3664</v>
      </c>
      <c r="L451">
        <v>86.79</v>
      </c>
      <c r="M451" t="s">
        <v>3665</v>
      </c>
      <c r="N451" t="s">
        <v>3666</v>
      </c>
      <c r="O451" t="s">
        <v>3667</v>
      </c>
      <c r="P451" t="s">
        <v>3668</v>
      </c>
      <c r="Q451">
        <v>59.32</v>
      </c>
      <c r="R451" t="s">
        <v>3669</v>
      </c>
      <c r="S451">
        <v>0.73</v>
      </c>
      <c r="T451">
        <v>58.4</v>
      </c>
      <c r="U451" t="s">
        <v>2310</v>
      </c>
      <c r="V451" t="s">
        <v>346</v>
      </c>
      <c r="W451" t="s">
        <v>3670</v>
      </c>
      <c r="X451">
        <v>3.98</v>
      </c>
      <c r="Y451" t="s">
        <v>3671</v>
      </c>
      <c r="Z451" t="s">
        <v>3672</v>
      </c>
      <c r="AA451" t="s">
        <v>1564</v>
      </c>
      <c r="AB451">
        <v>12.42</v>
      </c>
      <c r="AC451" t="s">
        <v>944</v>
      </c>
      <c r="AD451">
        <v>89.48</v>
      </c>
      <c r="AE451" t="s">
        <v>499</v>
      </c>
      <c r="AF451">
        <v>2.74</v>
      </c>
      <c r="AG451">
        <v>0</v>
      </c>
      <c r="AH451">
        <v>0</v>
      </c>
      <c r="AI451" s="4">
        <v>43049</v>
      </c>
    </row>
    <row r="452" spans="1:35">
      <c r="A452">
        <v>451</v>
      </c>
      <c r="B452" t="str">
        <f>"603612"</f>
        <v>603612</v>
      </c>
      <c r="C452" t="s">
        <v>3673</v>
      </c>
      <c r="D452" s="4">
        <v>43190</v>
      </c>
      <c r="E452" t="s">
        <v>3674</v>
      </c>
      <c r="F452" t="s">
        <v>3675</v>
      </c>
      <c r="G452">
        <v>2084</v>
      </c>
      <c r="H452">
        <v>0.4</v>
      </c>
      <c r="I452">
        <v>10.18</v>
      </c>
      <c r="J452">
        <v>3.97</v>
      </c>
      <c r="K452" t="s">
        <v>2073</v>
      </c>
      <c r="L452">
        <v>47.43</v>
      </c>
      <c r="M452" t="s">
        <v>2603</v>
      </c>
      <c r="N452">
        <v>0</v>
      </c>
      <c r="O452" t="s">
        <v>2603</v>
      </c>
      <c r="P452" t="s">
        <v>3676</v>
      </c>
      <c r="Q452">
        <v>-12.6</v>
      </c>
      <c r="R452" t="s">
        <v>354</v>
      </c>
      <c r="S452">
        <v>4.6900000000000004</v>
      </c>
      <c r="T452">
        <v>24.57</v>
      </c>
      <c r="U452" t="s">
        <v>1715</v>
      </c>
      <c r="V452" t="s">
        <v>1039</v>
      </c>
      <c r="W452" t="s">
        <v>624</v>
      </c>
      <c r="X452">
        <v>3.97</v>
      </c>
      <c r="Y452" t="s">
        <v>275</v>
      </c>
      <c r="Z452" t="s">
        <v>847</v>
      </c>
      <c r="AA452" t="s">
        <v>1383</v>
      </c>
      <c r="AB452">
        <v>2.97</v>
      </c>
      <c r="AC452" t="s">
        <v>1687</v>
      </c>
      <c r="AD452">
        <v>51.3</v>
      </c>
      <c r="AE452" t="s">
        <v>323</v>
      </c>
      <c r="AF452">
        <v>4.55</v>
      </c>
      <c r="AG452">
        <v>0</v>
      </c>
      <c r="AH452">
        <v>0</v>
      </c>
      <c r="AI452" s="4">
        <v>42934</v>
      </c>
    </row>
    <row r="453" spans="1:35">
      <c r="A453">
        <v>452</v>
      </c>
      <c r="B453" t="str">
        <f>"600740"</f>
        <v>600740</v>
      </c>
      <c r="C453" t="s">
        <v>3677</v>
      </c>
      <c r="D453" s="4">
        <v>43190</v>
      </c>
      <c r="E453" t="s">
        <v>162</v>
      </c>
      <c r="F453" t="s">
        <v>190</v>
      </c>
      <c r="G453">
        <v>8405</v>
      </c>
      <c r="H453">
        <v>0.24</v>
      </c>
      <c r="I453">
        <v>6.04</v>
      </c>
      <c r="J453">
        <v>3.97</v>
      </c>
      <c r="K453" t="s">
        <v>757</v>
      </c>
      <c r="L453">
        <v>49.29</v>
      </c>
      <c r="M453" t="s">
        <v>1839</v>
      </c>
      <c r="N453" t="s">
        <v>321</v>
      </c>
      <c r="O453" t="s">
        <v>2041</v>
      </c>
      <c r="P453" t="s">
        <v>3482</v>
      </c>
      <c r="Q453">
        <v>2543.5300000000002</v>
      </c>
      <c r="R453" t="s">
        <v>3678</v>
      </c>
      <c r="S453">
        <v>-0.54</v>
      </c>
      <c r="T453">
        <v>8.06</v>
      </c>
      <c r="U453" t="s">
        <v>962</v>
      </c>
      <c r="V453" t="s">
        <v>3217</v>
      </c>
      <c r="W453" t="s">
        <v>2871</v>
      </c>
      <c r="X453">
        <v>3.97</v>
      </c>
      <c r="Y453" t="s">
        <v>2713</v>
      </c>
      <c r="Z453" t="s">
        <v>3679</v>
      </c>
      <c r="AA453" t="s">
        <v>1190</v>
      </c>
      <c r="AB453">
        <v>1.74</v>
      </c>
      <c r="AC453" t="s">
        <v>3680</v>
      </c>
      <c r="AD453">
        <v>47.09</v>
      </c>
      <c r="AE453" t="s">
        <v>3458</v>
      </c>
      <c r="AF453">
        <v>5.43</v>
      </c>
      <c r="AG453">
        <v>0</v>
      </c>
      <c r="AH453">
        <v>0</v>
      </c>
      <c r="AI453" s="4">
        <v>35285</v>
      </c>
    </row>
    <row r="454" spans="1:35">
      <c r="A454">
        <v>453</v>
      </c>
      <c r="B454" t="str">
        <f>"600009"</f>
        <v>600009</v>
      </c>
      <c r="C454" t="s">
        <v>3681</v>
      </c>
      <c r="D454" s="4">
        <v>43190</v>
      </c>
      <c r="E454" t="s">
        <v>1752</v>
      </c>
      <c r="F454" t="s">
        <v>1223</v>
      </c>
      <c r="G454" t="s">
        <v>3682</v>
      </c>
      <c r="H454">
        <v>0.53</v>
      </c>
      <c r="I454">
        <v>13.57</v>
      </c>
      <c r="J454">
        <v>3.97</v>
      </c>
      <c r="K454" t="s">
        <v>2291</v>
      </c>
      <c r="L454">
        <v>20.350000000000001</v>
      </c>
      <c r="M454" t="s">
        <v>924</v>
      </c>
      <c r="N454" t="s">
        <v>1287</v>
      </c>
      <c r="O454" t="s">
        <v>924</v>
      </c>
      <c r="P454" t="s">
        <v>1496</v>
      </c>
      <c r="Q454">
        <v>28.62</v>
      </c>
      <c r="R454" t="s">
        <v>718</v>
      </c>
      <c r="S454">
        <v>10.55</v>
      </c>
      <c r="T454">
        <v>50.68</v>
      </c>
      <c r="U454" t="s">
        <v>2335</v>
      </c>
      <c r="V454" t="s">
        <v>3683</v>
      </c>
      <c r="W454" t="s">
        <v>933</v>
      </c>
      <c r="X454">
        <v>3.97</v>
      </c>
      <c r="Y454" t="s">
        <v>754</v>
      </c>
      <c r="Z454" t="s">
        <v>1455</v>
      </c>
      <c r="AA454" t="s">
        <v>3684</v>
      </c>
      <c r="AB454">
        <v>4.3</v>
      </c>
      <c r="AC454" t="s">
        <v>3685</v>
      </c>
      <c r="AD454">
        <v>92.22</v>
      </c>
      <c r="AE454" t="s">
        <v>1504</v>
      </c>
      <c r="AF454">
        <v>1.34</v>
      </c>
      <c r="AG454">
        <v>0</v>
      </c>
      <c r="AH454">
        <v>0</v>
      </c>
      <c r="AI454" s="4">
        <v>35844</v>
      </c>
    </row>
    <row r="455" spans="1:35">
      <c r="A455">
        <v>454</v>
      </c>
      <c r="B455" t="str">
        <f>"300400"</f>
        <v>300400</v>
      </c>
      <c r="C455" t="s">
        <v>3686</v>
      </c>
      <c r="D455" s="4">
        <v>43190</v>
      </c>
      <c r="E455" t="s">
        <v>3674</v>
      </c>
      <c r="F455" t="s">
        <v>610</v>
      </c>
      <c r="G455" t="s">
        <v>2135</v>
      </c>
      <c r="H455">
        <v>0.08</v>
      </c>
      <c r="I455">
        <v>2.13</v>
      </c>
      <c r="J455">
        <v>3.97</v>
      </c>
      <c r="K455" t="s">
        <v>45</v>
      </c>
      <c r="L455">
        <v>77.27</v>
      </c>
      <c r="M455" t="s">
        <v>3687</v>
      </c>
      <c r="N455">
        <v>0</v>
      </c>
      <c r="O455" t="s">
        <v>3687</v>
      </c>
      <c r="P455" t="s">
        <v>3688</v>
      </c>
      <c r="Q455">
        <v>149.44</v>
      </c>
      <c r="R455" t="s">
        <v>1287</v>
      </c>
      <c r="S455">
        <v>0.89</v>
      </c>
      <c r="T455">
        <v>39.270000000000003</v>
      </c>
      <c r="U455" t="s">
        <v>1979</v>
      </c>
      <c r="V455" t="s">
        <v>1972</v>
      </c>
      <c r="W455" t="s">
        <v>3689</v>
      </c>
      <c r="X455">
        <v>3.97</v>
      </c>
      <c r="Y455" t="s">
        <v>134</v>
      </c>
      <c r="Z455" t="s">
        <v>94</v>
      </c>
      <c r="AA455" t="s">
        <v>3442</v>
      </c>
      <c r="AB455">
        <v>6.13</v>
      </c>
      <c r="AC455" t="s">
        <v>2681</v>
      </c>
      <c r="AD455">
        <v>66.91</v>
      </c>
      <c r="AE455" t="s">
        <v>3690</v>
      </c>
      <c r="AF455">
        <v>0.2</v>
      </c>
      <c r="AG455">
        <v>0</v>
      </c>
      <c r="AH455">
        <v>0</v>
      </c>
      <c r="AI455" s="4">
        <v>41922</v>
      </c>
    </row>
    <row r="456" spans="1:35">
      <c r="A456">
        <v>455</v>
      </c>
      <c r="B456" t="str">
        <f>"603933"</f>
        <v>603933</v>
      </c>
      <c r="C456" t="s">
        <v>3691</v>
      </c>
      <c r="D456" s="4">
        <v>43190</v>
      </c>
      <c r="E456" t="s">
        <v>1016</v>
      </c>
      <c r="F456" t="s">
        <v>2362</v>
      </c>
      <c r="G456">
        <v>1912</v>
      </c>
      <c r="H456">
        <v>0.27</v>
      </c>
      <c r="I456">
        <v>6.64</v>
      </c>
      <c r="J456">
        <v>3.95</v>
      </c>
      <c r="K456" t="s">
        <v>2222</v>
      </c>
      <c r="L456">
        <v>2.3199999999999998</v>
      </c>
      <c r="M456" t="s">
        <v>3692</v>
      </c>
      <c r="N456" t="s">
        <v>3693</v>
      </c>
      <c r="O456" t="s">
        <v>3694</v>
      </c>
      <c r="P456" t="s">
        <v>3695</v>
      </c>
      <c r="Q456">
        <v>-4.66</v>
      </c>
      <c r="R456" t="s">
        <v>2468</v>
      </c>
      <c r="S456">
        <v>2.4300000000000002</v>
      </c>
      <c r="T456">
        <v>20.28</v>
      </c>
      <c r="U456" t="s">
        <v>173</v>
      </c>
      <c r="V456" t="s">
        <v>124</v>
      </c>
      <c r="W456" t="s">
        <v>3696</v>
      </c>
      <c r="X456">
        <v>3.95</v>
      </c>
      <c r="Y456" t="s">
        <v>2581</v>
      </c>
      <c r="Z456" t="s">
        <v>2581</v>
      </c>
      <c r="AA456" t="s">
        <v>3697</v>
      </c>
      <c r="AB456">
        <v>3.14</v>
      </c>
      <c r="AC456" t="s">
        <v>895</v>
      </c>
      <c r="AD456">
        <v>70.45</v>
      </c>
      <c r="AE456" t="s">
        <v>1645</v>
      </c>
      <c r="AF456">
        <v>3.18</v>
      </c>
      <c r="AG456">
        <v>0</v>
      </c>
      <c r="AH456">
        <v>0</v>
      </c>
      <c r="AI456" s="4">
        <v>42922</v>
      </c>
    </row>
    <row r="457" spans="1:35">
      <c r="A457">
        <v>456</v>
      </c>
      <c r="B457" t="str">
        <f>"600062"</f>
        <v>600062</v>
      </c>
      <c r="C457" t="s">
        <v>3698</v>
      </c>
      <c r="D457" s="4">
        <v>43190</v>
      </c>
      <c r="E457" t="s">
        <v>125</v>
      </c>
      <c r="F457" t="s">
        <v>116</v>
      </c>
      <c r="G457" t="s">
        <v>3699</v>
      </c>
      <c r="H457">
        <v>0.35</v>
      </c>
      <c r="I457">
        <v>8.92</v>
      </c>
      <c r="J457">
        <v>3.95</v>
      </c>
      <c r="K457" t="s">
        <v>420</v>
      </c>
      <c r="L457">
        <v>39.9</v>
      </c>
      <c r="M457" t="s">
        <v>1324</v>
      </c>
      <c r="N457" t="s">
        <v>3700</v>
      </c>
      <c r="O457" t="s">
        <v>1324</v>
      </c>
      <c r="P457" t="s">
        <v>120</v>
      </c>
      <c r="Q457">
        <v>27.94</v>
      </c>
      <c r="R457" t="s">
        <v>3701</v>
      </c>
      <c r="S457">
        <v>6.69</v>
      </c>
      <c r="T457">
        <v>64.36</v>
      </c>
      <c r="U457" t="s">
        <v>1526</v>
      </c>
      <c r="V457" t="s">
        <v>713</v>
      </c>
      <c r="W457" t="s">
        <v>865</v>
      </c>
      <c r="X457">
        <v>3.95</v>
      </c>
      <c r="Y457" t="s">
        <v>303</v>
      </c>
      <c r="Z457" t="s">
        <v>173</v>
      </c>
      <c r="AA457" t="s">
        <v>3197</v>
      </c>
      <c r="AB457">
        <v>2.79</v>
      </c>
      <c r="AC457" t="s">
        <v>3702</v>
      </c>
      <c r="AD457">
        <v>77.92</v>
      </c>
      <c r="AE457" t="s">
        <v>1408</v>
      </c>
      <c r="AF457">
        <v>0.76</v>
      </c>
      <c r="AG457">
        <v>0</v>
      </c>
      <c r="AH457">
        <v>0</v>
      </c>
      <c r="AI457" s="4">
        <v>35572</v>
      </c>
    </row>
    <row r="458" spans="1:35">
      <c r="A458">
        <v>457</v>
      </c>
      <c r="B458" t="str">
        <f>"000723"</f>
        <v>000723</v>
      </c>
      <c r="C458" t="s">
        <v>3703</v>
      </c>
      <c r="D458" s="4">
        <v>43190</v>
      </c>
      <c r="E458" t="s">
        <v>1677</v>
      </c>
      <c r="F458" t="s">
        <v>699</v>
      </c>
      <c r="G458" t="s">
        <v>3704</v>
      </c>
      <c r="H458">
        <v>0.08</v>
      </c>
      <c r="I458">
        <v>1.96</v>
      </c>
      <c r="J458">
        <v>3.95</v>
      </c>
      <c r="K458" t="s">
        <v>1404</v>
      </c>
      <c r="L458">
        <v>12.82</v>
      </c>
      <c r="M458" t="s">
        <v>611</v>
      </c>
      <c r="N458" t="s">
        <v>3705</v>
      </c>
      <c r="O458" t="s">
        <v>1006</v>
      </c>
      <c r="P458" t="s">
        <v>679</v>
      </c>
      <c r="Q458">
        <v>1.06</v>
      </c>
      <c r="R458" t="s">
        <v>1920</v>
      </c>
      <c r="S458">
        <v>0.5</v>
      </c>
      <c r="T458">
        <v>25.28</v>
      </c>
      <c r="U458" t="s">
        <v>929</v>
      </c>
      <c r="V458" t="s">
        <v>2691</v>
      </c>
      <c r="W458" t="s">
        <v>2044</v>
      </c>
      <c r="X458">
        <v>3.95</v>
      </c>
      <c r="Y458" t="s">
        <v>1125</v>
      </c>
      <c r="Z458" t="s">
        <v>152</v>
      </c>
      <c r="AA458" t="s">
        <v>699</v>
      </c>
      <c r="AB458">
        <v>2.77</v>
      </c>
      <c r="AC458" t="s">
        <v>3068</v>
      </c>
      <c r="AD458">
        <v>55.99</v>
      </c>
      <c r="AE458" t="s">
        <v>775</v>
      </c>
      <c r="AF458">
        <v>0.43</v>
      </c>
      <c r="AG458">
        <v>0</v>
      </c>
      <c r="AH458">
        <v>0</v>
      </c>
      <c r="AI458" s="4">
        <v>35565</v>
      </c>
    </row>
    <row r="459" spans="1:35">
      <c r="A459">
        <v>458</v>
      </c>
      <c r="B459" t="str">
        <f>"603516"</f>
        <v>603516</v>
      </c>
      <c r="C459" t="s">
        <v>3706</v>
      </c>
      <c r="D459" s="4">
        <v>43190</v>
      </c>
      <c r="E459" t="s">
        <v>1376</v>
      </c>
      <c r="F459" t="s">
        <v>3707</v>
      </c>
      <c r="G459">
        <v>1176</v>
      </c>
      <c r="H459">
        <v>0.17</v>
      </c>
      <c r="I459">
        <v>5.3</v>
      </c>
      <c r="J459">
        <v>3.94</v>
      </c>
      <c r="K459" t="s">
        <v>3708</v>
      </c>
      <c r="L459">
        <v>78.16</v>
      </c>
      <c r="M459" t="s">
        <v>3709</v>
      </c>
      <c r="N459" t="s">
        <v>3710</v>
      </c>
      <c r="O459" t="s">
        <v>3709</v>
      </c>
      <c r="P459" t="s">
        <v>3711</v>
      </c>
      <c r="Q459">
        <v>295.64</v>
      </c>
      <c r="R459" t="s">
        <v>280</v>
      </c>
      <c r="S459">
        <v>0.63</v>
      </c>
      <c r="T459">
        <v>77.12</v>
      </c>
      <c r="U459" t="s">
        <v>3712</v>
      </c>
      <c r="V459" t="s">
        <v>1671</v>
      </c>
      <c r="W459" t="s">
        <v>3713</v>
      </c>
      <c r="X459">
        <v>3.94</v>
      </c>
      <c r="Y459" t="s">
        <v>3714</v>
      </c>
      <c r="Z459" t="s">
        <v>3715</v>
      </c>
      <c r="AA459" t="s">
        <v>2906</v>
      </c>
      <c r="AB459">
        <v>6.08</v>
      </c>
      <c r="AC459" t="s">
        <v>3716</v>
      </c>
      <c r="AD459">
        <v>95.59</v>
      </c>
      <c r="AE459" t="s">
        <v>2563</v>
      </c>
      <c r="AF459">
        <v>3.54</v>
      </c>
      <c r="AG459">
        <v>0</v>
      </c>
      <c r="AH459">
        <v>0</v>
      </c>
      <c r="AI459" s="4">
        <v>43133</v>
      </c>
    </row>
    <row r="460" spans="1:35">
      <c r="A460">
        <v>459</v>
      </c>
      <c r="B460" t="str">
        <f>"600810"</f>
        <v>600810</v>
      </c>
      <c r="C460" t="s">
        <v>3717</v>
      </c>
      <c r="D460" s="4">
        <v>43190</v>
      </c>
      <c r="E460" t="s">
        <v>540</v>
      </c>
      <c r="F460" t="s">
        <v>540</v>
      </c>
      <c r="G460" t="s">
        <v>630</v>
      </c>
      <c r="H460">
        <v>0.23</v>
      </c>
      <c r="I460">
        <v>5.95</v>
      </c>
      <c r="J460">
        <v>3.94</v>
      </c>
      <c r="K460" t="s">
        <v>1700</v>
      </c>
      <c r="L460">
        <v>-12.15</v>
      </c>
      <c r="M460" t="s">
        <v>290</v>
      </c>
      <c r="N460" t="s">
        <v>3718</v>
      </c>
      <c r="O460" t="s">
        <v>2069</v>
      </c>
      <c r="P460" t="s">
        <v>533</v>
      </c>
      <c r="Q460">
        <v>119.82</v>
      </c>
      <c r="R460" t="s">
        <v>136</v>
      </c>
      <c r="S460">
        <v>0.36</v>
      </c>
      <c r="T460">
        <v>11.74</v>
      </c>
      <c r="U460" t="s">
        <v>252</v>
      </c>
      <c r="V460" t="s">
        <v>111</v>
      </c>
      <c r="W460" t="s">
        <v>306</v>
      </c>
      <c r="X460">
        <v>3.94</v>
      </c>
      <c r="Y460" t="s">
        <v>1060</v>
      </c>
      <c r="Z460" t="s">
        <v>225</v>
      </c>
      <c r="AA460" t="s">
        <v>323</v>
      </c>
      <c r="AB460">
        <v>2.25</v>
      </c>
      <c r="AC460" t="s">
        <v>2515</v>
      </c>
      <c r="AD460">
        <v>25.33</v>
      </c>
      <c r="AE460" t="s">
        <v>303</v>
      </c>
      <c r="AF460">
        <v>4.05</v>
      </c>
      <c r="AG460">
        <v>0</v>
      </c>
      <c r="AH460">
        <v>0</v>
      </c>
      <c r="AI460" s="4">
        <v>34340</v>
      </c>
    </row>
    <row r="461" spans="1:35">
      <c r="A461">
        <v>460</v>
      </c>
      <c r="B461" t="str">
        <f>"300745"</f>
        <v>300745</v>
      </c>
      <c r="C461" t="s">
        <v>3719</v>
      </c>
      <c r="D461" s="4">
        <v>43190</v>
      </c>
      <c r="E461" t="s">
        <v>1627</v>
      </c>
      <c r="F461" t="s">
        <v>3720</v>
      </c>
      <c r="G461">
        <v>0</v>
      </c>
      <c r="H461">
        <v>0.25</v>
      </c>
      <c r="I461">
        <v>9.0299999999999994</v>
      </c>
      <c r="J461">
        <v>3.94</v>
      </c>
      <c r="K461" t="s">
        <v>3111</v>
      </c>
      <c r="L461">
        <v>0</v>
      </c>
      <c r="M461" t="s">
        <v>3721</v>
      </c>
      <c r="N461" t="s">
        <v>3722</v>
      </c>
      <c r="O461" t="s">
        <v>3723</v>
      </c>
      <c r="P461" t="s">
        <v>3724</v>
      </c>
      <c r="Q461">
        <v>0</v>
      </c>
      <c r="R461" t="s">
        <v>2102</v>
      </c>
      <c r="S461">
        <v>2.48</v>
      </c>
      <c r="T461">
        <v>29.77</v>
      </c>
      <c r="U461" t="s">
        <v>835</v>
      </c>
      <c r="V461" t="s">
        <v>2813</v>
      </c>
      <c r="W461" t="s">
        <v>3725</v>
      </c>
      <c r="X461">
        <v>3.94</v>
      </c>
      <c r="Y461" t="s">
        <v>2915</v>
      </c>
      <c r="Z461" t="s">
        <v>3726</v>
      </c>
      <c r="AA461" t="s">
        <v>3727</v>
      </c>
      <c r="AB461">
        <v>6.51</v>
      </c>
      <c r="AC461" t="s">
        <v>1837</v>
      </c>
      <c r="AD461">
        <v>64.72</v>
      </c>
      <c r="AE461" t="s">
        <v>593</v>
      </c>
      <c r="AF461">
        <v>5.29</v>
      </c>
      <c r="AG461">
        <v>0</v>
      </c>
      <c r="AH461">
        <v>0</v>
      </c>
      <c r="AI461" s="4">
        <v>43243</v>
      </c>
    </row>
    <row r="462" spans="1:35">
      <c r="A462">
        <v>461</v>
      </c>
      <c r="B462" t="str">
        <f>"300237"</f>
        <v>300237</v>
      </c>
      <c r="C462" t="s">
        <v>3728</v>
      </c>
      <c r="D462" s="4">
        <v>43190</v>
      </c>
      <c r="E462" t="s">
        <v>263</v>
      </c>
      <c r="F462" t="s">
        <v>192</v>
      </c>
      <c r="G462" t="s">
        <v>3729</v>
      </c>
      <c r="H462">
        <v>0.09</v>
      </c>
      <c r="I462">
        <v>2.25</v>
      </c>
      <c r="J462">
        <v>3.94</v>
      </c>
      <c r="K462" t="s">
        <v>1319</v>
      </c>
      <c r="L462">
        <v>21.11</v>
      </c>
      <c r="M462" t="s">
        <v>1936</v>
      </c>
      <c r="N462" t="s">
        <v>3730</v>
      </c>
      <c r="O462" t="s">
        <v>452</v>
      </c>
      <c r="P462" t="s">
        <v>1038</v>
      </c>
      <c r="Q462">
        <v>66.7</v>
      </c>
      <c r="R462" t="s">
        <v>391</v>
      </c>
      <c r="S462">
        <v>1.01</v>
      </c>
      <c r="T462">
        <v>35.96</v>
      </c>
      <c r="U462" t="s">
        <v>2626</v>
      </c>
      <c r="V462" t="s">
        <v>3164</v>
      </c>
      <c r="W462" t="s">
        <v>186</v>
      </c>
      <c r="X462">
        <v>3.94</v>
      </c>
      <c r="Y462" t="s">
        <v>3241</v>
      </c>
      <c r="Z462" t="s">
        <v>1486</v>
      </c>
      <c r="AA462" t="s">
        <v>1065</v>
      </c>
      <c r="AB462">
        <v>2.99</v>
      </c>
      <c r="AC462" t="s">
        <v>1488</v>
      </c>
      <c r="AD462">
        <v>40.549999999999997</v>
      </c>
      <c r="AE462" t="s">
        <v>2731</v>
      </c>
      <c r="AF462">
        <v>0.2</v>
      </c>
      <c r="AG462">
        <v>0</v>
      </c>
      <c r="AH462">
        <v>0</v>
      </c>
      <c r="AI462" s="4">
        <v>40723</v>
      </c>
    </row>
    <row r="463" spans="1:35">
      <c r="A463">
        <v>462</v>
      </c>
      <c r="B463" t="str">
        <f>"000997"</f>
        <v>000997</v>
      </c>
      <c r="C463" t="s">
        <v>3731</v>
      </c>
      <c r="D463" s="4">
        <v>43190</v>
      </c>
      <c r="E463" t="s">
        <v>1094</v>
      </c>
      <c r="F463" t="s">
        <v>903</v>
      </c>
      <c r="G463">
        <v>9547</v>
      </c>
      <c r="H463">
        <v>0.19</v>
      </c>
      <c r="I463">
        <v>4.9800000000000004</v>
      </c>
      <c r="J463">
        <v>3.94</v>
      </c>
      <c r="K463" t="s">
        <v>1033</v>
      </c>
      <c r="L463">
        <v>1.53</v>
      </c>
      <c r="M463" t="s">
        <v>985</v>
      </c>
      <c r="N463" t="s">
        <v>3534</v>
      </c>
      <c r="O463" t="s">
        <v>985</v>
      </c>
      <c r="P463" t="s">
        <v>3332</v>
      </c>
      <c r="Q463">
        <v>2.02</v>
      </c>
      <c r="R463" t="s">
        <v>2568</v>
      </c>
      <c r="S463">
        <v>2.17</v>
      </c>
      <c r="T463">
        <v>35.26</v>
      </c>
      <c r="U463" t="s">
        <v>586</v>
      </c>
      <c r="V463" t="s">
        <v>3069</v>
      </c>
      <c r="W463" t="s">
        <v>2142</v>
      </c>
      <c r="X463">
        <v>3.94</v>
      </c>
      <c r="Y463" t="s">
        <v>832</v>
      </c>
      <c r="Z463" t="s">
        <v>2272</v>
      </c>
      <c r="AA463" t="s">
        <v>3732</v>
      </c>
      <c r="AB463">
        <v>2.96</v>
      </c>
      <c r="AC463" t="s">
        <v>3733</v>
      </c>
      <c r="AD463">
        <v>45.96</v>
      </c>
      <c r="AE463" t="s">
        <v>747</v>
      </c>
      <c r="AF463">
        <v>1.54</v>
      </c>
      <c r="AG463">
        <v>0</v>
      </c>
      <c r="AH463">
        <v>0</v>
      </c>
      <c r="AI463" s="4">
        <v>36745</v>
      </c>
    </row>
    <row r="464" spans="1:35">
      <c r="A464">
        <v>463</v>
      </c>
      <c r="B464" t="str">
        <f>"603203"</f>
        <v>603203</v>
      </c>
      <c r="C464" t="s">
        <v>3734</v>
      </c>
      <c r="D464" s="4">
        <v>43190</v>
      </c>
      <c r="E464" t="s">
        <v>209</v>
      </c>
      <c r="F464" t="s">
        <v>3735</v>
      </c>
      <c r="G464">
        <v>4101</v>
      </c>
      <c r="H464">
        <v>0.24</v>
      </c>
      <c r="I464">
        <v>6.2</v>
      </c>
      <c r="J464">
        <v>3.93</v>
      </c>
      <c r="K464" t="s">
        <v>3736</v>
      </c>
      <c r="L464">
        <v>31.31</v>
      </c>
      <c r="M464" t="s">
        <v>3737</v>
      </c>
      <c r="N464" t="s">
        <v>3493</v>
      </c>
      <c r="O464" t="s">
        <v>3738</v>
      </c>
      <c r="P464" t="s">
        <v>3739</v>
      </c>
      <c r="Q464">
        <v>8.9</v>
      </c>
      <c r="R464" t="s">
        <v>2733</v>
      </c>
      <c r="S464">
        <v>1.85</v>
      </c>
      <c r="T464">
        <v>53.68</v>
      </c>
      <c r="U464" t="s">
        <v>3740</v>
      </c>
      <c r="V464" t="s">
        <v>3741</v>
      </c>
      <c r="W464" t="s">
        <v>3742</v>
      </c>
      <c r="X464">
        <v>3.93</v>
      </c>
      <c r="Y464" t="s">
        <v>505</v>
      </c>
      <c r="Z464" t="s">
        <v>1724</v>
      </c>
      <c r="AA464" t="s">
        <v>3743</v>
      </c>
      <c r="AB464">
        <v>4.72</v>
      </c>
      <c r="AC464" t="s">
        <v>496</v>
      </c>
      <c r="AD464">
        <v>82.7</v>
      </c>
      <c r="AE464" t="s">
        <v>2811</v>
      </c>
      <c r="AF464">
        <v>3.35</v>
      </c>
      <c r="AG464">
        <v>0</v>
      </c>
      <c r="AH464">
        <v>0</v>
      </c>
      <c r="AI464" s="4">
        <v>42682</v>
      </c>
    </row>
    <row r="465" spans="1:35">
      <c r="A465">
        <v>464</v>
      </c>
      <c r="B465" t="str">
        <f>"601021"</f>
        <v>601021</v>
      </c>
      <c r="C465" t="s">
        <v>3744</v>
      </c>
      <c r="D465" s="4">
        <v>43190</v>
      </c>
      <c r="E465" t="s">
        <v>3745</v>
      </c>
      <c r="F465" t="s">
        <v>539</v>
      </c>
      <c r="G465" t="s">
        <v>3746</v>
      </c>
      <c r="H465">
        <v>0.42</v>
      </c>
      <c r="I465">
        <v>13.24</v>
      </c>
      <c r="J465">
        <v>3.93</v>
      </c>
      <c r="K465" t="s">
        <v>236</v>
      </c>
      <c r="L465">
        <v>25.63</v>
      </c>
      <c r="M465" t="s">
        <v>1012</v>
      </c>
      <c r="N465" t="s">
        <v>3747</v>
      </c>
      <c r="O465" t="s">
        <v>1012</v>
      </c>
      <c r="P465" t="s">
        <v>479</v>
      </c>
      <c r="Q465">
        <v>27.12</v>
      </c>
      <c r="R465" t="s">
        <v>1143</v>
      </c>
      <c r="S465">
        <v>6.39</v>
      </c>
      <c r="T465">
        <v>15.44</v>
      </c>
      <c r="U465" t="s">
        <v>3748</v>
      </c>
      <c r="V465" t="s">
        <v>2104</v>
      </c>
      <c r="W465" t="s">
        <v>3472</v>
      </c>
      <c r="X465">
        <v>3.93</v>
      </c>
      <c r="Y465" t="s">
        <v>580</v>
      </c>
      <c r="Z465" t="s">
        <v>1316</v>
      </c>
      <c r="AA465" t="s">
        <v>1196</v>
      </c>
      <c r="AB465">
        <v>2.87</v>
      </c>
      <c r="AC465" t="s">
        <v>841</v>
      </c>
      <c r="AD465">
        <v>50.18</v>
      </c>
      <c r="AE465" t="s">
        <v>3749</v>
      </c>
      <c r="AF465">
        <v>5.34</v>
      </c>
      <c r="AG465">
        <v>0</v>
      </c>
      <c r="AH465">
        <v>0</v>
      </c>
      <c r="AI465" s="4">
        <v>42025</v>
      </c>
    </row>
    <row r="466" spans="1:35">
      <c r="A466">
        <v>465</v>
      </c>
      <c r="B466" t="str">
        <f>"300463"</f>
        <v>300463</v>
      </c>
      <c r="C466" t="s">
        <v>3750</v>
      </c>
      <c r="D466" s="4">
        <v>43190</v>
      </c>
      <c r="E466" t="s">
        <v>695</v>
      </c>
      <c r="F466" t="s">
        <v>1461</v>
      </c>
      <c r="G466" t="s">
        <v>135</v>
      </c>
      <c r="H466">
        <v>0.18</v>
      </c>
      <c r="I466">
        <v>4.29</v>
      </c>
      <c r="J466">
        <v>3.93</v>
      </c>
      <c r="K466" t="s">
        <v>2681</v>
      </c>
      <c r="L466">
        <v>42.9</v>
      </c>
      <c r="M466" t="s">
        <v>1370</v>
      </c>
      <c r="N466" t="s">
        <v>3751</v>
      </c>
      <c r="O466" t="s">
        <v>1370</v>
      </c>
      <c r="P466" t="s">
        <v>2307</v>
      </c>
      <c r="Q466">
        <v>24.51</v>
      </c>
      <c r="R466" t="s">
        <v>538</v>
      </c>
      <c r="S466">
        <v>2.37</v>
      </c>
      <c r="T466">
        <v>52.95</v>
      </c>
      <c r="U466" t="s">
        <v>2989</v>
      </c>
      <c r="V466" t="s">
        <v>1704</v>
      </c>
      <c r="W466" t="s">
        <v>1274</v>
      </c>
      <c r="X466">
        <v>3.93</v>
      </c>
      <c r="Y466" t="s">
        <v>354</v>
      </c>
      <c r="Z466" t="s">
        <v>3752</v>
      </c>
      <c r="AA466" t="s">
        <v>1855</v>
      </c>
      <c r="AB466">
        <v>5.47</v>
      </c>
      <c r="AC466" t="s">
        <v>1687</v>
      </c>
      <c r="AD466">
        <v>66.11</v>
      </c>
      <c r="AE466" t="s">
        <v>68</v>
      </c>
      <c r="AF466">
        <v>0.95</v>
      </c>
      <c r="AG466">
        <v>0</v>
      </c>
      <c r="AH466">
        <v>0</v>
      </c>
      <c r="AI466" s="4">
        <v>42152</v>
      </c>
    </row>
    <row r="467" spans="1:35">
      <c r="A467">
        <v>466</v>
      </c>
      <c r="B467" t="str">
        <f>"603877"</f>
        <v>603877</v>
      </c>
      <c r="C467" t="s">
        <v>3753</v>
      </c>
      <c r="D467" s="4">
        <v>43190</v>
      </c>
      <c r="E467" t="s">
        <v>2792</v>
      </c>
      <c r="F467" t="s">
        <v>1264</v>
      </c>
      <c r="G467" t="s">
        <v>1199</v>
      </c>
      <c r="H467">
        <v>0.28000000000000003</v>
      </c>
      <c r="I467">
        <v>7.19</v>
      </c>
      <c r="J467">
        <v>3.92</v>
      </c>
      <c r="K467" t="s">
        <v>867</v>
      </c>
      <c r="L467">
        <v>14.49</v>
      </c>
      <c r="M467" t="s">
        <v>1288</v>
      </c>
      <c r="N467" t="s">
        <v>3754</v>
      </c>
      <c r="O467" t="s">
        <v>1288</v>
      </c>
      <c r="P467" t="s">
        <v>45</v>
      </c>
      <c r="Q467">
        <v>131.88</v>
      </c>
      <c r="R467" t="s">
        <v>80</v>
      </c>
      <c r="S467">
        <v>3.06</v>
      </c>
      <c r="T467">
        <v>55.2</v>
      </c>
      <c r="U467" t="s">
        <v>3755</v>
      </c>
      <c r="V467" t="s">
        <v>528</v>
      </c>
      <c r="W467" t="s">
        <v>501</v>
      </c>
      <c r="X467">
        <v>3.92</v>
      </c>
      <c r="Y467" t="s">
        <v>1029</v>
      </c>
      <c r="Z467" t="s">
        <v>516</v>
      </c>
      <c r="AA467" t="s">
        <v>335</v>
      </c>
      <c r="AB467">
        <v>4.5</v>
      </c>
      <c r="AC467" t="s">
        <v>2901</v>
      </c>
      <c r="AD467">
        <v>59.97</v>
      </c>
      <c r="AE467" t="s">
        <v>263</v>
      </c>
      <c r="AF467">
        <v>3.02</v>
      </c>
      <c r="AG467">
        <v>0</v>
      </c>
      <c r="AH467">
        <v>0</v>
      </c>
      <c r="AI467" s="4">
        <v>42744</v>
      </c>
    </row>
    <row r="468" spans="1:35">
      <c r="A468">
        <v>467</v>
      </c>
      <c r="B468" t="str">
        <f>"603225"</f>
        <v>603225</v>
      </c>
      <c r="C468" t="s">
        <v>3756</v>
      </c>
      <c r="D468" s="4">
        <v>43190</v>
      </c>
      <c r="E468" t="s">
        <v>3757</v>
      </c>
      <c r="F468" t="s">
        <v>677</v>
      </c>
      <c r="G468">
        <v>3001</v>
      </c>
      <c r="H468">
        <v>0.31</v>
      </c>
      <c r="I468">
        <v>7.91</v>
      </c>
      <c r="J468">
        <v>3.92</v>
      </c>
      <c r="K468" t="s">
        <v>1599</v>
      </c>
      <c r="L468">
        <v>23.26</v>
      </c>
      <c r="M468" t="s">
        <v>2661</v>
      </c>
      <c r="N468" t="s">
        <v>3758</v>
      </c>
      <c r="O468" t="s">
        <v>678</v>
      </c>
      <c r="P468" t="s">
        <v>1995</v>
      </c>
      <c r="Q468">
        <v>15.87</v>
      </c>
      <c r="R468" t="s">
        <v>2301</v>
      </c>
      <c r="S468">
        <v>4.71</v>
      </c>
      <c r="T468">
        <v>8.3800000000000008</v>
      </c>
      <c r="U468" t="s">
        <v>841</v>
      </c>
      <c r="V468" t="s">
        <v>1677</v>
      </c>
      <c r="W468" t="s">
        <v>3577</v>
      </c>
      <c r="X468">
        <v>3.92</v>
      </c>
      <c r="Y468" t="s">
        <v>1095</v>
      </c>
      <c r="Z468" t="s">
        <v>738</v>
      </c>
      <c r="AA468" t="s">
        <v>625</v>
      </c>
      <c r="AB468">
        <v>2.37</v>
      </c>
      <c r="AC468" t="s">
        <v>1591</v>
      </c>
      <c r="AD468">
        <v>54.28</v>
      </c>
      <c r="AE468" t="s">
        <v>820</v>
      </c>
      <c r="AF468">
        <v>2.0099999999999998</v>
      </c>
      <c r="AG468">
        <v>0</v>
      </c>
      <c r="AH468">
        <v>0</v>
      </c>
      <c r="AI468" s="4">
        <v>42843</v>
      </c>
    </row>
    <row r="469" spans="1:35">
      <c r="A469">
        <v>468</v>
      </c>
      <c r="B469" t="str">
        <f>"002840"</f>
        <v>002840</v>
      </c>
      <c r="C469" t="s">
        <v>3759</v>
      </c>
      <c r="D469" s="4">
        <v>43190</v>
      </c>
      <c r="E469" t="s">
        <v>345</v>
      </c>
      <c r="F469" t="s">
        <v>3760</v>
      </c>
      <c r="G469" t="s">
        <v>3761</v>
      </c>
      <c r="H469">
        <v>0.26</v>
      </c>
      <c r="I469">
        <v>6.81</v>
      </c>
      <c r="J469">
        <v>3.92</v>
      </c>
      <c r="K469" t="s">
        <v>1082</v>
      </c>
      <c r="L469">
        <v>12.39</v>
      </c>
      <c r="M469" t="s">
        <v>3762</v>
      </c>
      <c r="N469" t="s">
        <v>3763</v>
      </c>
      <c r="O469" t="s">
        <v>3764</v>
      </c>
      <c r="P469" t="s">
        <v>3765</v>
      </c>
      <c r="Q469">
        <v>34.47</v>
      </c>
      <c r="R469" t="s">
        <v>216</v>
      </c>
      <c r="S469">
        <v>2.7</v>
      </c>
      <c r="T469">
        <v>6.09</v>
      </c>
      <c r="U469" t="s">
        <v>304</v>
      </c>
      <c r="V469" t="s">
        <v>542</v>
      </c>
      <c r="W469" t="s">
        <v>1487</v>
      </c>
      <c r="X469">
        <v>3.92</v>
      </c>
      <c r="Y469" t="s">
        <v>184</v>
      </c>
      <c r="Z469" t="s">
        <v>470</v>
      </c>
      <c r="AA469" t="s">
        <v>382</v>
      </c>
      <c r="AB469">
        <v>7.63</v>
      </c>
      <c r="AC469" t="s">
        <v>982</v>
      </c>
      <c r="AD469">
        <v>70.819999999999993</v>
      </c>
      <c r="AE469" t="s">
        <v>1611</v>
      </c>
      <c r="AF469">
        <v>2.91</v>
      </c>
      <c r="AG469">
        <v>0</v>
      </c>
      <c r="AH469">
        <v>0</v>
      </c>
      <c r="AI469" s="4">
        <v>42745</v>
      </c>
    </row>
    <row r="470" spans="1:35">
      <c r="A470">
        <v>469</v>
      </c>
      <c r="B470" t="str">
        <f>"000676"</f>
        <v>000676</v>
      </c>
      <c r="C470" t="s">
        <v>3766</v>
      </c>
      <c r="D470" s="4">
        <v>43190</v>
      </c>
      <c r="E470" t="s">
        <v>1084</v>
      </c>
      <c r="F470" t="s">
        <v>301</v>
      </c>
      <c r="G470">
        <v>8714</v>
      </c>
      <c r="H470">
        <v>0.21</v>
      </c>
      <c r="I470">
        <v>5.38</v>
      </c>
      <c r="J470">
        <v>3.92</v>
      </c>
      <c r="K470" t="s">
        <v>576</v>
      </c>
      <c r="L470">
        <v>77.42</v>
      </c>
      <c r="M470" t="s">
        <v>118</v>
      </c>
      <c r="N470" t="s">
        <v>3767</v>
      </c>
      <c r="O470" t="s">
        <v>118</v>
      </c>
      <c r="P470" t="s">
        <v>3768</v>
      </c>
      <c r="Q470">
        <v>63.79</v>
      </c>
      <c r="R470" t="s">
        <v>3769</v>
      </c>
      <c r="S470">
        <v>0.8</v>
      </c>
      <c r="T470">
        <v>15.62</v>
      </c>
      <c r="U470" t="s">
        <v>2631</v>
      </c>
      <c r="V470" t="s">
        <v>3770</v>
      </c>
      <c r="W470" t="s">
        <v>2912</v>
      </c>
      <c r="X470">
        <v>3.92</v>
      </c>
      <c r="Y470" t="s">
        <v>449</v>
      </c>
      <c r="Z470" t="s">
        <v>754</v>
      </c>
      <c r="AA470" t="s">
        <v>976</v>
      </c>
      <c r="AB470">
        <v>2.2200000000000002</v>
      </c>
      <c r="AC470" t="s">
        <v>1326</v>
      </c>
      <c r="AD470">
        <v>70.72</v>
      </c>
      <c r="AE470" t="s">
        <v>1174</v>
      </c>
      <c r="AF470">
        <v>3.63</v>
      </c>
      <c r="AG470">
        <v>0</v>
      </c>
      <c r="AH470">
        <v>0</v>
      </c>
      <c r="AI470" s="4">
        <v>35423</v>
      </c>
    </row>
    <row r="471" spans="1:35">
      <c r="A471">
        <v>470</v>
      </c>
      <c r="B471" t="str">
        <f>"600781"</f>
        <v>600781</v>
      </c>
      <c r="C471" t="s">
        <v>3771</v>
      </c>
      <c r="D471" s="4">
        <v>43190</v>
      </c>
      <c r="E471" t="s">
        <v>3490</v>
      </c>
      <c r="F471" t="s">
        <v>1202</v>
      </c>
      <c r="G471" t="s">
        <v>2554</v>
      </c>
      <c r="H471">
        <v>0.28999999999999998</v>
      </c>
      <c r="I471">
        <v>7.63</v>
      </c>
      <c r="J471">
        <v>3.91</v>
      </c>
      <c r="K471" t="s">
        <v>350</v>
      </c>
      <c r="L471">
        <v>13.05</v>
      </c>
      <c r="M471" t="s">
        <v>1435</v>
      </c>
      <c r="N471">
        <v>0</v>
      </c>
      <c r="O471" t="s">
        <v>1435</v>
      </c>
      <c r="P471" t="s">
        <v>1077</v>
      </c>
      <c r="Q471">
        <v>128.76</v>
      </c>
      <c r="R471" t="s">
        <v>2753</v>
      </c>
      <c r="S471">
        <v>3.45</v>
      </c>
      <c r="T471">
        <v>44.87</v>
      </c>
      <c r="U471" t="s">
        <v>232</v>
      </c>
      <c r="V471" t="s">
        <v>2167</v>
      </c>
      <c r="W471" t="s">
        <v>884</v>
      </c>
      <c r="X471">
        <v>3.91</v>
      </c>
      <c r="Y471" t="s">
        <v>956</v>
      </c>
      <c r="Z471" t="s">
        <v>2917</v>
      </c>
      <c r="AA471" t="s">
        <v>598</v>
      </c>
      <c r="AB471">
        <v>2.0299999999999998</v>
      </c>
      <c r="AC471" t="s">
        <v>2092</v>
      </c>
      <c r="AD471">
        <v>47.55</v>
      </c>
      <c r="AE471" t="s">
        <v>183</v>
      </c>
      <c r="AF471">
        <v>3.03</v>
      </c>
      <c r="AG471">
        <v>0</v>
      </c>
      <c r="AH471">
        <v>0</v>
      </c>
      <c r="AI471" s="4">
        <v>35417</v>
      </c>
    </row>
    <row r="472" spans="1:35">
      <c r="A472">
        <v>471</v>
      </c>
      <c r="B472" t="str">
        <f>"600231"</f>
        <v>600231</v>
      </c>
      <c r="C472" t="s">
        <v>3772</v>
      </c>
      <c r="D472" s="4">
        <v>43190</v>
      </c>
      <c r="E472" t="s">
        <v>450</v>
      </c>
      <c r="F472" t="s">
        <v>1126</v>
      </c>
      <c r="G472" t="s">
        <v>3773</v>
      </c>
      <c r="H472">
        <v>0.09</v>
      </c>
      <c r="I472">
        <v>2.35</v>
      </c>
      <c r="J472">
        <v>3.91</v>
      </c>
      <c r="K472" t="s">
        <v>1233</v>
      </c>
      <c r="L472">
        <v>14.2</v>
      </c>
      <c r="M472" t="s">
        <v>3482</v>
      </c>
      <c r="N472" t="s">
        <v>3774</v>
      </c>
      <c r="O472" t="s">
        <v>1074</v>
      </c>
      <c r="P472" t="s">
        <v>258</v>
      </c>
      <c r="Q472">
        <v>53.01</v>
      </c>
      <c r="R472" t="s">
        <v>583</v>
      </c>
      <c r="S472">
        <v>1.02</v>
      </c>
      <c r="T472">
        <v>11.84</v>
      </c>
      <c r="U472" t="s">
        <v>571</v>
      </c>
      <c r="V472" t="s">
        <v>1494</v>
      </c>
      <c r="W472" t="s">
        <v>3775</v>
      </c>
      <c r="X472">
        <v>3.91</v>
      </c>
      <c r="Y472" t="s">
        <v>3775</v>
      </c>
      <c r="Z472" t="s">
        <v>1469</v>
      </c>
      <c r="AA472" t="s">
        <v>1126</v>
      </c>
      <c r="AB472">
        <v>1.65</v>
      </c>
      <c r="AC472" t="s">
        <v>3776</v>
      </c>
      <c r="AD472">
        <v>44</v>
      </c>
      <c r="AE472" t="s">
        <v>153</v>
      </c>
      <c r="AF472">
        <v>0.16</v>
      </c>
      <c r="AG472">
        <v>0</v>
      </c>
      <c r="AH472">
        <v>0</v>
      </c>
      <c r="AI472" s="4">
        <v>36657</v>
      </c>
    </row>
    <row r="473" spans="1:35">
      <c r="A473">
        <v>472</v>
      </c>
      <c r="B473" t="str">
        <f>"002803"</f>
        <v>002803</v>
      </c>
      <c r="C473" t="s">
        <v>3777</v>
      </c>
      <c r="D473" s="4">
        <v>43190</v>
      </c>
      <c r="E473" t="s">
        <v>282</v>
      </c>
      <c r="F473" t="s">
        <v>3778</v>
      </c>
      <c r="G473">
        <v>6200</v>
      </c>
      <c r="H473">
        <v>0.16</v>
      </c>
      <c r="I473">
        <v>3.77</v>
      </c>
      <c r="J473">
        <v>3.91</v>
      </c>
      <c r="K473" t="s">
        <v>662</v>
      </c>
      <c r="L473">
        <v>126.53</v>
      </c>
      <c r="M473" t="s">
        <v>3779</v>
      </c>
      <c r="N473" t="s">
        <v>3780</v>
      </c>
      <c r="O473" t="s">
        <v>3781</v>
      </c>
      <c r="P473" t="s">
        <v>3782</v>
      </c>
      <c r="Q473">
        <v>109.49</v>
      </c>
      <c r="R473" t="s">
        <v>94</v>
      </c>
      <c r="S473">
        <v>2.0699999999999998</v>
      </c>
      <c r="T473">
        <v>33.229999999999997</v>
      </c>
      <c r="U473" t="s">
        <v>1223</v>
      </c>
      <c r="V473" t="s">
        <v>2532</v>
      </c>
      <c r="W473" t="s">
        <v>824</v>
      </c>
      <c r="X473">
        <v>3.91</v>
      </c>
      <c r="Y473" t="s">
        <v>1761</v>
      </c>
      <c r="Z473" t="s">
        <v>661</v>
      </c>
      <c r="AA473" t="s">
        <v>3783</v>
      </c>
      <c r="AB473">
        <v>7.88</v>
      </c>
      <c r="AC473" t="s">
        <v>3044</v>
      </c>
      <c r="AD473">
        <v>40.25</v>
      </c>
      <c r="AE473" t="s">
        <v>1724</v>
      </c>
      <c r="AF473">
        <v>1.25</v>
      </c>
      <c r="AG473">
        <v>0</v>
      </c>
      <c r="AH473">
        <v>0</v>
      </c>
      <c r="AI473" s="4">
        <v>42563</v>
      </c>
    </row>
    <row r="474" spans="1:35">
      <c r="A474">
        <v>473</v>
      </c>
      <c r="B474" t="str">
        <f>"002636"</f>
        <v>002636</v>
      </c>
      <c r="C474" t="s">
        <v>3784</v>
      </c>
      <c r="D474" s="4">
        <v>43190</v>
      </c>
      <c r="E474" t="s">
        <v>1837</v>
      </c>
      <c r="F474" t="s">
        <v>219</v>
      </c>
      <c r="G474">
        <v>4769</v>
      </c>
      <c r="H474">
        <v>0.12</v>
      </c>
      <c r="I474">
        <v>3.17</v>
      </c>
      <c r="J474">
        <v>3.91</v>
      </c>
      <c r="K474" t="s">
        <v>3740</v>
      </c>
      <c r="L474">
        <v>8.02</v>
      </c>
      <c r="M474" t="s">
        <v>651</v>
      </c>
      <c r="N474" t="s">
        <v>3785</v>
      </c>
      <c r="O474" t="s">
        <v>600</v>
      </c>
      <c r="P474" t="s">
        <v>3786</v>
      </c>
      <c r="Q474">
        <v>-41.88</v>
      </c>
      <c r="R474" t="s">
        <v>124</v>
      </c>
      <c r="S474">
        <v>1.82</v>
      </c>
      <c r="T474">
        <v>20.079999999999998</v>
      </c>
      <c r="U474" t="s">
        <v>893</v>
      </c>
      <c r="V474" t="s">
        <v>3073</v>
      </c>
      <c r="W474" t="s">
        <v>2148</v>
      </c>
      <c r="X474">
        <v>3.91</v>
      </c>
      <c r="Y474" t="s">
        <v>876</v>
      </c>
      <c r="Z474" t="s">
        <v>1920</v>
      </c>
      <c r="AA474" t="s">
        <v>3787</v>
      </c>
      <c r="AB474">
        <v>2.38</v>
      </c>
      <c r="AC474" t="s">
        <v>1029</v>
      </c>
      <c r="AD474">
        <v>52.06</v>
      </c>
      <c r="AE474" t="s">
        <v>608</v>
      </c>
      <c r="AF474">
        <v>0.26</v>
      </c>
      <c r="AG474">
        <v>0</v>
      </c>
      <c r="AH474">
        <v>0</v>
      </c>
      <c r="AI474" s="4">
        <v>40872</v>
      </c>
    </row>
    <row r="475" spans="1:35">
      <c r="A475">
        <v>474</v>
      </c>
      <c r="B475" t="str">
        <f>"002558"</f>
        <v>002558</v>
      </c>
      <c r="C475" t="s">
        <v>3788</v>
      </c>
      <c r="D475" s="4">
        <v>43190</v>
      </c>
      <c r="E475" t="s">
        <v>418</v>
      </c>
      <c r="F475" t="s">
        <v>1317</v>
      </c>
      <c r="G475" t="s">
        <v>3789</v>
      </c>
      <c r="H475">
        <v>0.17</v>
      </c>
      <c r="I475">
        <v>4.42</v>
      </c>
      <c r="J475">
        <v>3.91</v>
      </c>
      <c r="K475" t="s">
        <v>295</v>
      </c>
      <c r="L475">
        <v>42.97</v>
      </c>
      <c r="M475" t="s">
        <v>1209</v>
      </c>
      <c r="N475" t="s">
        <v>3790</v>
      </c>
      <c r="O475" t="s">
        <v>1295</v>
      </c>
      <c r="P475" t="s">
        <v>143</v>
      </c>
      <c r="Q475">
        <v>1</v>
      </c>
      <c r="R475" t="s">
        <v>1396</v>
      </c>
      <c r="S475">
        <v>1.6</v>
      </c>
      <c r="T475">
        <v>74.58</v>
      </c>
      <c r="U475" t="s">
        <v>1784</v>
      </c>
      <c r="V475" t="s">
        <v>252</v>
      </c>
      <c r="W475" t="s">
        <v>988</v>
      </c>
      <c r="X475">
        <v>3.91</v>
      </c>
      <c r="Y475" t="s">
        <v>461</v>
      </c>
      <c r="Z475" t="s">
        <v>158</v>
      </c>
      <c r="AA475" t="s">
        <v>1058</v>
      </c>
      <c r="AB475">
        <v>5.37</v>
      </c>
      <c r="AC475" t="s">
        <v>3791</v>
      </c>
      <c r="AD475">
        <v>68.400000000000006</v>
      </c>
      <c r="AE475" t="s">
        <v>3303</v>
      </c>
      <c r="AF475">
        <v>1.99</v>
      </c>
      <c r="AG475">
        <v>0</v>
      </c>
      <c r="AH475">
        <v>0</v>
      </c>
      <c r="AI475" s="4">
        <v>40604</v>
      </c>
    </row>
    <row r="476" spans="1:35">
      <c r="A476">
        <v>475</v>
      </c>
      <c r="B476" t="str">
        <f>"000030"</f>
        <v>000030</v>
      </c>
      <c r="C476" t="s">
        <v>3792</v>
      </c>
      <c r="D476" s="4">
        <v>43190</v>
      </c>
      <c r="E476" t="s">
        <v>101</v>
      </c>
      <c r="F476" t="s">
        <v>300</v>
      </c>
      <c r="G476">
        <v>0</v>
      </c>
      <c r="H476">
        <v>0.18</v>
      </c>
      <c r="I476">
        <v>4.63</v>
      </c>
      <c r="J476">
        <v>3.91</v>
      </c>
      <c r="K476" t="s">
        <v>867</v>
      </c>
      <c r="L476">
        <v>1</v>
      </c>
      <c r="M476" t="s">
        <v>916</v>
      </c>
      <c r="N476" t="s">
        <v>698</v>
      </c>
      <c r="O476" t="s">
        <v>668</v>
      </c>
      <c r="P476" t="s">
        <v>807</v>
      </c>
      <c r="Q476">
        <v>3.69</v>
      </c>
      <c r="R476" t="s">
        <v>2833</v>
      </c>
      <c r="S476">
        <v>2.81</v>
      </c>
      <c r="T476">
        <v>14.82</v>
      </c>
      <c r="U476" t="s">
        <v>3472</v>
      </c>
      <c r="V476" t="s">
        <v>765</v>
      </c>
      <c r="W476" t="s">
        <v>187</v>
      </c>
      <c r="X476">
        <v>3.91</v>
      </c>
      <c r="Y476" t="s">
        <v>369</v>
      </c>
      <c r="Z476" t="s">
        <v>1054</v>
      </c>
      <c r="AA476" t="s">
        <v>421</v>
      </c>
      <c r="AB476">
        <v>1.5</v>
      </c>
      <c r="AC476" t="s">
        <v>3089</v>
      </c>
      <c r="AD476">
        <v>55.68</v>
      </c>
      <c r="AE476" t="s">
        <v>68</v>
      </c>
      <c r="AF476">
        <v>0.41</v>
      </c>
      <c r="AG476" t="s">
        <v>3793</v>
      </c>
      <c r="AH476">
        <v>0</v>
      </c>
      <c r="AI476" s="4">
        <v>34241</v>
      </c>
    </row>
    <row r="477" spans="1:35">
      <c r="A477">
        <v>476</v>
      </c>
      <c r="B477" t="str">
        <f>"603360"</f>
        <v>603360</v>
      </c>
      <c r="C477" t="s">
        <v>3794</v>
      </c>
      <c r="D477" s="4">
        <v>43190</v>
      </c>
      <c r="E477" t="s">
        <v>45</v>
      </c>
      <c r="F477" t="s">
        <v>3795</v>
      </c>
      <c r="G477">
        <v>4928</v>
      </c>
      <c r="H477">
        <v>0.2</v>
      </c>
      <c r="I477">
        <v>5.36</v>
      </c>
      <c r="J477">
        <v>3.9</v>
      </c>
      <c r="K477" t="s">
        <v>322</v>
      </c>
      <c r="L477">
        <v>31.4</v>
      </c>
      <c r="M477" t="s">
        <v>3796</v>
      </c>
      <c r="N477" t="s">
        <v>3797</v>
      </c>
      <c r="O477" t="s">
        <v>3796</v>
      </c>
      <c r="P477" t="s">
        <v>3798</v>
      </c>
      <c r="Q477">
        <v>-0.62</v>
      </c>
      <c r="R477" t="s">
        <v>118</v>
      </c>
      <c r="S477">
        <v>1.57</v>
      </c>
      <c r="T477">
        <v>41.9</v>
      </c>
      <c r="U477" t="s">
        <v>3157</v>
      </c>
      <c r="V477" t="s">
        <v>540</v>
      </c>
      <c r="W477" t="s">
        <v>1417</v>
      </c>
      <c r="X477">
        <v>3.9</v>
      </c>
      <c r="Y477" t="s">
        <v>3799</v>
      </c>
      <c r="Z477" t="s">
        <v>3800</v>
      </c>
      <c r="AA477" t="s">
        <v>3801</v>
      </c>
      <c r="AB477">
        <v>3.35</v>
      </c>
      <c r="AC477" t="s">
        <v>3802</v>
      </c>
      <c r="AD477">
        <v>89.08</v>
      </c>
      <c r="AE477" t="s">
        <v>1797</v>
      </c>
      <c r="AF477">
        <v>2.42</v>
      </c>
      <c r="AG477">
        <v>0</v>
      </c>
      <c r="AH477">
        <v>0</v>
      </c>
      <c r="AI477" s="4">
        <v>42772</v>
      </c>
    </row>
    <row r="478" spans="1:35">
      <c r="A478">
        <v>477</v>
      </c>
      <c r="B478" t="str">
        <f>"600750"</f>
        <v>600750</v>
      </c>
      <c r="C478" t="s">
        <v>3803</v>
      </c>
      <c r="D478" s="4">
        <v>43190</v>
      </c>
      <c r="E478" t="s">
        <v>324</v>
      </c>
      <c r="F478" t="s">
        <v>324</v>
      </c>
      <c r="G478">
        <v>9644</v>
      </c>
      <c r="H478">
        <v>0.28000000000000003</v>
      </c>
      <c r="I478">
        <v>6.9</v>
      </c>
      <c r="J478">
        <v>3.9</v>
      </c>
      <c r="K478" t="s">
        <v>157</v>
      </c>
      <c r="L478">
        <v>7.27</v>
      </c>
      <c r="M478" t="s">
        <v>595</v>
      </c>
      <c r="N478" t="s">
        <v>3804</v>
      </c>
      <c r="O478" t="s">
        <v>1370</v>
      </c>
      <c r="P478" t="s">
        <v>282</v>
      </c>
      <c r="Q478">
        <v>6.25</v>
      </c>
      <c r="R478" t="s">
        <v>1255</v>
      </c>
      <c r="S478">
        <v>4.46</v>
      </c>
      <c r="T478">
        <v>67.900000000000006</v>
      </c>
      <c r="U478" t="s">
        <v>1248</v>
      </c>
      <c r="V478" t="s">
        <v>418</v>
      </c>
      <c r="W478" t="s">
        <v>2851</v>
      </c>
      <c r="X478">
        <v>3.9</v>
      </c>
      <c r="Y478" t="s">
        <v>2608</v>
      </c>
      <c r="Z478" t="s">
        <v>1402</v>
      </c>
      <c r="AA478" t="s">
        <v>280</v>
      </c>
      <c r="AB478">
        <v>3.67</v>
      </c>
      <c r="AC478" t="s">
        <v>570</v>
      </c>
      <c r="AD478">
        <v>88</v>
      </c>
      <c r="AE478" t="s">
        <v>2156</v>
      </c>
      <c r="AF478">
        <v>1.03</v>
      </c>
      <c r="AG478">
        <v>0</v>
      </c>
      <c r="AH478">
        <v>0</v>
      </c>
      <c r="AI478" s="4">
        <v>35331</v>
      </c>
    </row>
    <row r="479" spans="1:35">
      <c r="A479">
        <v>478</v>
      </c>
      <c r="B479" t="str">
        <f>"002462"</f>
        <v>002462</v>
      </c>
      <c r="C479" t="s">
        <v>3805</v>
      </c>
      <c r="D479" s="4">
        <v>43190</v>
      </c>
      <c r="E479" t="s">
        <v>1905</v>
      </c>
      <c r="F479" t="s">
        <v>3535</v>
      </c>
      <c r="G479" t="s">
        <v>1763</v>
      </c>
      <c r="H479">
        <v>0.35</v>
      </c>
      <c r="I479">
        <v>9.16</v>
      </c>
      <c r="J479">
        <v>3.9</v>
      </c>
      <c r="K479" t="s">
        <v>2667</v>
      </c>
      <c r="L479">
        <v>25</v>
      </c>
      <c r="M479" t="s">
        <v>2123</v>
      </c>
      <c r="N479" t="s">
        <v>1342</v>
      </c>
      <c r="O479" t="s">
        <v>95</v>
      </c>
      <c r="P479" t="s">
        <v>3806</v>
      </c>
      <c r="Q479">
        <v>23.54</v>
      </c>
      <c r="R479" t="s">
        <v>250</v>
      </c>
      <c r="S479">
        <v>4.72</v>
      </c>
      <c r="T479">
        <v>10.34</v>
      </c>
      <c r="U479" t="s">
        <v>1254</v>
      </c>
      <c r="V479" t="s">
        <v>3807</v>
      </c>
      <c r="W479" t="s">
        <v>499</v>
      </c>
      <c r="X479">
        <v>3.9</v>
      </c>
      <c r="Y479" t="s">
        <v>2497</v>
      </c>
      <c r="Z479" t="s">
        <v>530</v>
      </c>
      <c r="AA479" t="s">
        <v>2264</v>
      </c>
      <c r="AB479">
        <v>2.17</v>
      </c>
      <c r="AC479" t="s">
        <v>865</v>
      </c>
      <c r="AD479">
        <v>22.85</v>
      </c>
      <c r="AE479" t="s">
        <v>46</v>
      </c>
      <c r="AF479">
        <v>2.94</v>
      </c>
      <c r="AG479">
        <v>0</v>
      </c>
      <c r="AH479">
        <v>0</v>
      </c>
      <c r="AI479" s="4">
        <v>40408</v>
      </c>
    </row>
    <row r="480" spans="1:35">
      <c r="A480">
        <v>479</v>
      </c>
      <c r="B480" t="str">
        <f>"002117"</f>
        <v>002117</v>
      </c>
      <c r="C480" t="s">
        <v>3808</v>
      </c>
      <c r="D480" s="4">
        <v>43190</v>
      </c>
      <c r="E480" t="s">
        <v>707</v>
      </c>
      <c r="F480" t="s">
        <v>707</v>
      </c>
      <c r="G480" t="s">
        <v>3809</v>
      </c>
      <c r="H480">
        <v>0.17</v>
      </c>
      <c r="I480">
        <v>3.93</v>
      </c>
      <c r="J480">
        <v>3.9</v>
      </c>
      <c r="K480" t="s">
        <v>48</v>
      </c>
      <c r="L480">
        <v>12.32</v>
      </c>
      <c r="M480" t="s">
        <v>3810</v>
      </c>
      <c r="N480" t="s">
        <v>3811</v>
      </c>
      <c r="O480" t="s">
        <v>3812</v>
      </c>
      <c r="P480" t="s">
        <v>3813</v>
      </c>
      <c r="Q480">
        <v>40.47</v>
      </c>
      <c r="R480" t="s">
        <v>598</v>
      </c>
      <c r="S480">
        <v>1.66</v>
      </c>
      <c r="T480">
        <v>39.06</v>
      </c>
      <c r="U480" t="s">
        <v>1920</v>
      </c>
      <c r="V480" t="s">
        <v>323</v>
      </c>
      <c r="W480" t="s">
        <v>2177</v>
      </c>
      <c r="X480">
        <v>3.9</v>
      </c>
      <c r="Y480" t="s">
        <v>611</v>
      </c>
      <c r="Z480" t="s">
        <v>3376</v>
      </c>
      <c r="AA480" t="s">
        <v>3814</v>
      </c>
      <c r="AB480">
        <v>3.66</v>
      </c>
      <c r="AC480" t="s">
        <v>1367</v>
      </c>
      <c r="AD480">
        <v>76.75</v>
      </c>
      <c r="AE480" t="s">
        <v>126</v>
      </c>
      <c r="AF480">
        <v>0.69</v>
      </c>
      <c r="AG480">
        <v>0</v>
      </c>
      <c r="AH480">
        <v>0</v>
      </c>
      <c r="AI480" s="4">
        <v>39143</v>
      </c>
    </row>
    <row r="481" spans="1:35">
      <c r="A481">
        <v>480</v>
      </c>
      <c r="B481" t="str">
        <f>"600668"</f>
        <v>600668</v>
      </c>
      <c r="C481" t="s">
        <v>3815</v>
      </c>
      <c r="D481" s="4">
        <v>43190</v>
      </c>
      <c r="E481" t="s">
        <v>2041</v>
      </c>
      <c r="F481" t="s">
        <v>2041</v>
      </c>
      <c r="G481" t="s">
        <v>915</v>
      </c>
      <c r="H481">
        <v>0.3</v>
      </c>
      <c r="I481">
        <v>8.01</v>
      </c>
      <c r="J481">
        <v>3.89</v>
      </c>
      <c r="K481" t="s">
        <v>563</v>
      </c>
      <c r="L481">
        <v>18.11</v>
      </c>
      <c r="M481" t="s">
        <v>1724</v>
      </c>
      <c r="N481" t="s">
        <v>3816</v>
      </c>
      <c r="O481" t="s">
        <v>745</v>
      </c>
      <c r="P481" t="s">
        <v>1119</v>
      </c>
      <c r="Q481">
        <v>-7</v>
      </c>
      <c r="R481" t="s">
        <v>1062</v>
      </c>
      <c r="S481">
        <v>4.71</v>
      </c>
      <c r="T481">
        <v>40.450000000000003</v>
      </c>
      <c r="U481" t="s">
        <v>3770</v>
      </c>
      <c r="V481" t="s">
        <v>919</v>
      </c>
      <c r="W481" t="s">
        <v>926</v>
      </c>
      <c r="X481">
        <v>3.89</v>
      </c>
      <c r="Y481" t="s">
        <v>173</v>
      </c>
      <c r="Z481" t="s">
        <v>295</v>
      </c>
      <c r="AA481" t="s">
        <v>204</v>
      </c>
      <c r="AB481">
        <v>1.5</v>
      </c>
      <c r="AC481" t="s">
        <v>2523</v>
      </c>
      <c r="AD481">
        <v>63.15</v>
      </c>
      <c r="AE481" t="s">
        <v>2751</v>
      </c>
      <c r="AF481">
        <v>1.08</v>
      </c>
      <c r="AG481">
        <v>0</v>
      </c>
      <c r="AH481">
        <v>0</v>
      </c>
      <c r="AI481" s="4">
        <v>34178</v>
      </c>
    </row>
    <row r="482" spans="1:35">
      <c r="A482">
        <v>481</v>
      </c>
      <c r="B482" t="str">
        <f>"300258"</f>
        <v>300258</v>
      </c>
      <c r="C482" t="s">
        <v>3817</v>
      </c>
      <c r="D482" s="4">
        <v>43190</v>
      </c>
      <c r="E482" t="s">
        <v>338</v>
      </c>
      <c r="F482" t="s">
        <v>138</v>
      </c>
      <c r="G482" t="s">
        <v>3195</v>
      </c>
      <c r="H482">
        <v>0.16</v>
      </c>
      <c r="I482">
        <v>4.16</v>
      </c>
      <c r="J482">
        <v>3.89</v>
      </c>
      <c r="K482" t="s">
        <v>1797</v>
      </c>
      <c r="L482">
        <v>21.72</v>
      </c>
      <c r="M482" t="s">
        <v>3818</v>
      </c>
      <c r="N482" t="s">
        <v>1401</v>
      </c>
      <c r="O482" t="s">
        <v>3819</v>
      </c>
      <c r="P482" t="s">
        <v>3820</v>
      </c>
      <c r="Q482">
        <v>16</v>
      </c>
      <c r="R482" t="s">
        <v>274</v>
      </c>
      <c r="S482">
        <v>2.06</v>
      </c>
      <c r="T482">
        <v>40.270000000000003</v>
      </c>
      <c r="U482" t="s">
        <v>706</v>
      </c>
      <c r="V482" t="s">
        <v>1173</v>
      </c>
      <c r="W482" t="s">
        <v>613</v>
      </c>
      <c r="X482">
        <v>3.89</v>
      </c>
      <c r="Y482" t="s">
        <v>2569</v>
      </c>
      <c r="Z482" t="s">
        <v>190</v>
      </c>
      <c r="AA482" t="s">
        <v>3821</v>
      </c>
      <c r="AB482">
        <v>3.15</v>
      </c>
      <c r="AC482" t="s">
        <v>79</v>
      </c>
      <c r="AD482">
        <v>70.83</v>
      </c>
      <c r="AE482" t="s">
        <v>1712</v>
      </c>
      <c r="AF482">
        <v>0.87</v>
      </c>
      <c r="AG482">
        <v>0</v>
      </c>
      <c r="AH482">
        <v>0</v>
      </c>
      <c r="AI482" s="4">
        <v>40781</v>
      </c>
    </row>
    <row r="483" spans="1:35">
      <c r="A483">
        <v>482</v>
      </c>
      <c r="B483" t="str">
        <f>"002450"</f>
        <v>002450</v>
      </c>
      <c r="C483" t="s">
        <v>3822</v>
      </c>
      <c r="D483" s="4">
        <v>43190</v>
      </c>
      <c r="E483" t="s">
        <v>816</v>
      </c>
      <c r="F483" t="s">
        <v>2499</v>
      </c>
      <c r="G483" t="s">
        <v>2927</v>
      </c>
      <c r="H483">
        <v>0.2</v>
      </c>
      <c r="I483">
        <v>5.3</v>
      </c>
      <c r="J483">
        <v>3.89</v>
      </c>
      <c r="K483" t="s">
        <v>431</v>
      </c>
      <c r="L483">
        <v>31.48</v>
      </c>
      <c r="M483" t="s">
        <v>1509</v>
      </c>
      <c r="N483" t="s">
        <v>3823</v>
      </c>
      <c r="O483" t="s">
        <v>1509</v>
      </c>
      <c r="P483" t="s">
        <v>3802</v>
      </c>
      <c r="Q483">
        <v>32.1</v>
      </c>
      <c r="R483" t="s">
        <v>3824</v>
      </c>
      <c r="S483">
        <v>2.1800000000000002</v>
      </c>
      <c r="T483">
        <v>38.78</v>
      </c>
      <c r="U483" t="s">
        <v>3825</v>
      </c>
      <c r="V483" t="s">
        <v>1811</v>
      </c>
      <c r="W483" t="s">
        <v>1601</v>
      </c>
      <c r="X483">
        <v>3.89</v>
      </c>
      <c r="Y483" t="s">
        <v>3446</v>
      </c>
      <c r="Z483" t="s">
        <v>410</v>
      </c>
      <c r="AA483" t="s">
        <v>3125</v>
      </c>
      <c r="AB483">
        <v>3.22</v>
      </c>
      <c r="AC483" t="s">
        <v>432</v>
      </c>
      <c r="AD483">
        <v>52.6</v>
      </c>
      <c r="AE483" t="s">
        <v>3826</v>
      </c>
      <c r="AF483">
        <v>1.93</v>
      </c>
      <c r="AG483">
        <v>0</v>
      </c>
      <c r="AH483">
        <v>0</v>
      </c>
      <c r="AI483" s="4">
        <v>40375</v>
      </c>
    </row>
    <row r="484" spans="1:35">
      <c r="A484">
        <v>483</v>
      </c>
      <c r="B484" t="str">
        <f>"603035"</f>
        <v>603035</v>
      </c>
      <c r="C484" t="s">
        <v>3827</v>
      </c>
      <c r="D484" s="4">
        <v>43190</v>
      </c>
      <c r="E484" t="s">
        <v>1664</v>
      </c>
      <c r="F484" t="s">
        <v>1457</v>
      </c>
      <c r="G484">
        <v>7717</v>
      </c>
      <c r="H484">
        <v>0.32</v>
      </c>
      <c r="I484">
        <v>8.61</v>
      </c>
      <c r="J484">
        <v>3.88</v>
      </c>
      <c r="K484" t="s">
        <v>1578</v>
      </c>
      <c r="L484">
        <v>4.79</v>
      </c>
      <c r="M484" t="s">
        <v>3828</v>
      </c>
      <c r="N484" t="s">
        <v>3829</v>
      </c>
      <c r="O484" t="s">
        <v>3830</v>
      </c>
      <c r="P484" t="s">
        <v>3831</v>
      </c>
      <c r="Q484">
        <v>54.91</v>
      </c>
      <c r="R484" t="s">
        <v>1709</v>
      </c>
      <c r="S484">
        <v>3.21</v>
      </c>
      <c r="T484">
        <v>24.22</v>
      </c>
      <c r="U484" t="s">
        <v>785</v>
      </c>
      <c r="V484" t="s">
        <v>1033</v>
      </c>
      <c r="W484" t="s">
        <v>1756</v>
      </c>
      <c r="X484">
        <v>3.88</v>
      </c>
      <c r="Y484" t="s">
        <v>1082</v>
      </c>
      <c r="Z484" t="s">
        <v>625</v>
      </c>
      <c r="AA484" t="s">
        <v>3832</v>
      </c>
      <c r="AB484">
        <v>1.5</v>
      </c>
      <c r="AC484" t="s">
        <v>1213</v>
      </c>
      <c r="AD484">
        <v>65.239999999999995</v>
      </c>
      <c r="AE484" t="s">
        <v>354</v>
      </c>
      <c r="AF484">
        <v>4.0599999999999996</v>
      </c>
      <c r="AG484">
        <v>0</v>
      </c>
      <c r="AH484">
        <v>0</v>
      </c>
      <c r="AI484" s="4">
        <v>42740</v>
      </c>
    </row>
    <row r="485" spans="1:35">
      <c r="A485">
        <v>484</v>
      </c>
      <c r="B485" t="str">
        <f>"300596"</f>
        <v>300596</v>
      </c>
      <c r="C485" t="s">
        <v>3833</v>
      </c>
      <c r="D485" s="4">
        <v>43190</v>
      </c>
      <c r="E485" t="s">
        <v>1839</v>
      </c>
      <c r="F485" t="s">
        <v>3834</v>
      </c>
      <c r="G485">
        <v>7895</v>
      </c>
      <c r="H485">
        <v>0.2</v>
      </c>
      <c r="I485">
        <v>5.07</v>
      </c>
      <c r="J485">
        <v>3.88</v>
      </c>
      <c r="K485" t="s">
        <v>1797</v>
      </c>
      <c r="L485">
        <v>13.6</v>
      </c>
      <c r="M485" t="s">
        <v>3835</v>
      </c>
      <c r="N485" t="s">
        <v>3836</v>
      </c>
      <c r="O485" t="s">
        <v>3837</v>
      </c>
      <c r="P485" t="s">
        <v>3838</v>
      </c>
      <c r="Q485">
        <v>16.41</v>
      </c>
      <c r="R485" t="s">
        <v>3259</v>
      </c>
      <c r="S485">
        <v>2.0099999999999998</v>
      </c>
      <c r="T485">
        <v>29.8</v>
      </c>
      <c r="U485" t="s">
        <v>848</v>
      </c>
      <c r="V485" t="s">
        <v>3839</v>
      </c>
      <c r="W485" t="s">
        <v>1968</v>
      </c>
      <c r="X485">
        <v>3.88</v>
      </c>
      <c r="Y485" t="s">
        <v>1241</v>
      </c>
      <c r="Z485" t="s">
        <v>2111</v>
      </c>
      <c r="AA485" t="s">
        <v>3840</v>
      </c>
      <c r="AB485">
        <v>4.6500000000000004</v>
      </c>
      <c r="AC485" t="s">
        <v>903</v>
      </c>
      <c r="AD485">
        <v>59.27</v>
      </c>
      <c r="AE485" t="s">
        <v>344</v>
      </c>
      <c r="AF485">
        <v>1.89</v>
      </c>
      <c r="AG485">
        <v>0</v>
      </c>
      <c r="AH485">
        <v>0</v>
      </c>
      <c r="AI485" s="4">
        <v>42754</v>
      </c>
    </row>
    <row r="486" spans="1:35">
      <c r="A486">
        <v>485</v>
      </c>
      <c r="B486" t="str">
        <f>"300285"</f>
        <v>300285</v>
      </c>
      <c r="C486" t="s">
        <v>3841</v>
      </c>
      <c r="D486" s="4">
        <v>43190</v>
      </c>
      <c r="E486" t="s">
        <v>424</v>
      </c>
      <c r="F486" t="s">
        <v>2811</v>
      </c>
      <c r="G486" t="s">
        <v>3842</v>
      </c>
      <c r="H486">
        <v>0.12</v>
      </c>
      <c r="I486">
        <v>4.3</v>
      </c>
      <c r="J486">
        <v>3.88</v>
      </c>
      <c r="K486" t="s">
        <v>1797</v>
      </c>
      <c r="L486">
        <v>53.72</v>
      </c>
      <c r="M486" t="s">
        <v>3843</v>
      </c>
      <c r="N486" t="s">
        <v>875</v>
      </c>
      <c r="O486" t="s">
        <v>3844</v>
      </c>
      <c r="P486" t="s">
        <v>3845</v>
      </c>
      <c r="Q486">
        <v>69.7</v>
      </c>
      <c r="R486" t="s">
        <v>2295</v>
      </c>
      <c r="S486">
        <v>0.94</v>
      </c>
      <c r="T486">
        <v>41.39</v>
      </c>
      <c r="U486" t="s">
        <v>2238</v>
      </c>
      <c r="V486" t="s">
        <v>855</v>
      </c>
      <c r="W486" t="s">
        <v>2569</v>
      </c>
      <c r="X486">
        <v>3.88</v>
      </c>
      <c r="Y486" t="s">
        <v>1496</v>
      </c>
      <c r="Z486" t="s">
        <v>3557</v>
      </c>
      <c r="AA486" t="s">
        <v>337</v>
      </c>
      <c r="AB486">
        <v>4.0599999999999996</v>
      </c>
      <c r="AC486" t="s">
        <v>691</v>
      </c>
      <c r="AD486">
        <v>60.05</v>
      </c>
      <c r="AE486" t="s">
        <v>1671</v>
      </c>
      <c r="AF486">
        <v>2.31</v>
      </c>
      <c r="AG486">
        <v>0</v>
      </c>
      <c r="AH486">
        <v>0</v>
      </c>
      <c r="AI486" s="4">
        <v>40921</v>
      </c>
    </row>
    <row r="487" spans="1:35">
      <c r="A487">
        <v>486</v>
      </c>
      <c r="B487" t="str">
        <f>"000501"</f>
        <v>000501</v>
      </c>
      <c r="C487" t="s">
        <v>3846</v>
      </c>
      <c r="D487" s="4">
        <v>43190</v>
      </c>
      <c r="E487" t="s">
        <v>1204</v>
      </c>
      <c r="F487" t="s">
        <v>189</v>
      </c>
      <c r="G487" t="s">
        <v>1577</v>
      </c>
      <c r="H487">
        <v>0.37</v>
      </c>
      <c r="I487">
        <v>9.73</v>
      </c>
      <c r="J487">
        <v>3.88</v>
      </c>
      <c r="K487" t="s">
        <v>2567</v>
      </c>
      <c r="L487">
        <v>3.51</v>
      </c>
      <c r="M487" t="s">
        <v>2224</v>
      </c>
      <c r="N487" t="s">
        <v>3847</v>
      </c>
      <c r="O487" t="s">
        <v>375</v>
      </c>
      <c r="P487" t="s">
        <v>2729</v>
      </c>
      <c r="Q487">
        <v>-0.41</v>
      </c>
      <c r="R487" t="s">
        <v>1291</v>
      </c>
      <c r="S487">
        <v>5.56</v>
      </c>
      <c r="T487">
        <v>20.72</v>
      </c>
      <c r="U487" t="s">
        <v>462</v>
      </c>
      <c r="V487" t="s">
        <v>886</v>
      </c>
      <c r="W487" t="s">
        <v>3278</v>
      </c>
      <c r="X487">
        <v>3.88</v>
      </c>
      <c r="Y487" t="s">
        <v>1089</v>
      </c>
      <c r="Z487" t="s">
        <v>1086</v>
      </c>
      <c r="AA487" t="s">
        <v>2568</v>
      </c>
      <c r="AB487">
        <v>1.26</v>
      </c>
      <c r="AC487" t="s">
        <v>688</v>
      </c>
      <c r="AD487">
        <v>38.36</v>
      </c>
      <c r="AE487" t="s">
        <v>173</v>
      </c>
      <c r="AF487">
        <v>1.84</v>
      </c>
      <c r="AG487">
        <v>0</v>
      </c>
      <c r="AH487">
        <v>0</v>
      </c>
      <c r="AI487" s="4">
        <v>33928</v>
      </c>
    </row>
    <row r="488" spans="1:35">
      <c r="A488">
        <v>487</v>
      </c>
      <c r="B488" t="str">
        <f>"601933"</f>
        <v>601933</v>
      </c>
      <c r="C488" t="s">
        <v>3848</v>
      </c>
      <c r="D488" s="4">
        <v>43190</v>
      </c>
      <c r="E488" t="s">
        <v>3450</v>
      </c>
      <c r="F488" t="s">
        <v>635</v>
      </c>
      <c r="G488" t="s">
        <v>3849</v>
      </c>
      <c r="H488">
        <v>0.08</v>
      </c>
      <c r="I488">
        <v>1.87</v>
      </c>
      <c r="J488">
        <v>3.87</v>
      </c>
      <c r="K488" t="s">
        <v>432</v>
      </c>
      <c r="L488">
        <v>22.97</v>
      </c>
      <c r="M488" t="s">
        <v>605</v>
      </c>
      <c r="N488" t="s">
        <v>3850</v>
      </c>
      <c r="O488" t="s">
        <v>226</v>
      </c>
      <c r="P488" t="s">
        <v>598</v>
      </c>
      <c r="Q488">
        <v>0.56000000000000005</v>
      </c>
      <c r="R488" t="s">
        <v>1031</v>
      </c>
      <c r="S488">
        <v>0.27</v>
      </c>
      <c r="T488">
        <v>22.79</v>
      </c>
      <c r="U488" t="s">
        <v>3851</v>
      </c>
      <c r="V488" t="s">
        <v>432</v>
      </c>
      <c r="W488" t="s">
        <v>2541</v>
      </c>
      <c r="X488">
        <v>3.87</v>
      </c>
      <c r="Y488" t="s">
        <v>719</v>
      </c>
      <c r="Z488" t="s">
        <v>311</v>
      </c>
      <c r="AA488" t="s">
        <v>609</v>
      </c>
      <c r="AB488">
        <v>4.3</v>
      </c>
      <c r="AC488" t="s">
        <v>3385</v>
      </c>
      <c r="AD488">
        <v>59.21</v>
      </c>
      <c r="AE488" t="s">
        <v>3852</v>
      </c>
      <c r="AF488">
        <v>0.71</v>
      </c>
      <c r="AG488">
        <v>0</v>
      </c>
      <c r="AH488">
        <v>0</v>
      </c>
      <c r="AI488" s="4">
        <v>40527</v>
      </c>
    </row>
    <row r="489" spans="1:35">
      <c r="A489">
        <v>488</v>
      </c>
      <c r="B489" t="str">
        <f>"600160"</f>
        <v>600160</v>
      </c>
      <c r="C489" t="s">
        <v>3853</v>
      </c>
      <c r="D489" s="4">
        <v>43190</v>
      </c>
      <c r="E489" t="s">
        <v>239</v>
      </c>
      <c r="F489" t="s">
        <v>1308</v>
      </c>
      <c r="G489" t="s">
        <v>3854</v>
      </c>
      <c r="H489">
        <v>0.16</v>
      </c>
      <c r="I489">
        <v>4.03</v>
      </c>
      <c r="J489">
        <v>3.87</v>
      </c>
      <c r="K489" t="s">
        <v>1031</v>
      </c>
      <c r="L489">
        <v>36.619999999999997</v>
      </c>
      <c r="M489" t="s">
        <v>2111</v>
      </c>
      <c r="N489" t="s">
        <v>3855</v>
      </c>
      <c r="O489" t="s">
        <v>289</v>
      </c>
      <c r="P489" t="s">
        <v>1317</v>
      </c>
      <c r="Q489">
        <v>132.12</v>
      </c>
      <c r="R489" t="s">
        <v>693</v>
      </c>
      <c r="S489">
        <v>1.1000000000000001</v>
      </c>
      <c r="T489">
        <v>25.96</v>
      </c>
      <c r="U489" t="s">
        <v>398</v>
      </c>
      <c r="V489" t="s">
        <v>2797</v>
      </c>
      <c r="W489" t="s">
        <v>1410</v>
      </c>
      <c r="X489">
        <v>3.87</v>
      </c>
      <c r="Y489" t="s">
        <v>239</v>
      </c>
      <c r="Z489" t="s">
        <v>774</v>
      </c>
      <c r="AA489" t="s">
        <v>1624</v>
      </c>
      <c r="AB489">
        <v>1.75</v>
      </c>
      <c r="AC489" t="s">
        <v>466</v>
      </c>
      <c r="AD489">
        <v>80.040000000000006</v>
      </c>
      <c r="AE489" t="s">
        <v>2396</v>
      </c>
      <c r="AF489">
        <v>1.72</v>
      </c>
      <c r="AG489">
        <v>0</v>
      </c>
      <c r="AH489">
        <v>0</v>
      </c>
      <c r="AI489" s="4">
        <v>35972</v>
      </c>
    </row>
    <row r="490" spans="1:35">
      <c r="A490">
        <v>489</v>
      </c>
      <c r="B490" t="str">
        <f>"000786"</f>
        <v>000786</v>
      </c>
      <c r="C490" t="s">
        <v>3856</v>
      </c>
      <c r="D490" s="4">
        <v>43190</v>
      </c>
      <c r="E490" t="s">
        <v>303</v>
      </c>
      <c r="F490" t="s">
        <v>1384</v>
      </c>
      <c r="G490" t="s">
        <v>1755</v>
      </c>
      <c r="H490">
        <v>0.27</v>
      </c>
      <c r="I490">
        <v>6.86</v>
      </c>
      <c r="J490">
        <v>3.87</v>
      </c>
      <c r="K490" t="s">
        <v>981</v>
      </c>
      <c r="L490">
        <v>40.36</v>
      </c>
      <c r="M490" t="s">
        <v>2490</v>
      </c>
      <c r="N490" t="s">
        <v>3857</v>
      </c>
      <c r="O490" t="s">
        <v>106</v>
      </c>
      <c r="P490" t="s">
        <v>2036</v>
      </c>
      <c r="Q490">
        <v>227.71</v>
      </c>
      <c r="R490" t="s">
        <v>3858</v>
      </c>
      <c r="S490">
        <v>3.85</v>
      </c>
      <c r="T490">
        <v>35.479999999999997</v>
      </c>
      <c r="U490" t="s">
        <v>814</v>
      </c>
      <c r="V490" t="s">
        <v>2982</v>
      </c>
      <c r="W490" t="s">
        <v>2492</v>
      </c>
      <c r="X490">
        <v>3.87</v>
      </c>
      <c r="Y490" t="s">
        <v>1219</v>
      </c>
      <c r="Z490" t="s">
        <v>1661</v>
      </c>
      <c r="AA490" t="s">
        <v>3859</v>
      </c>
      <c r="AB490">
        <v>3.1</v>
      </c>
      <c r="AC490" t="s">
        <v>1929</v>
      </c>
      <c r="AD490">
        <v>78.89</v>
      </c>
      <c r="AE490" t="s">
        <v>1161</v>
      </c>
      <c r="AF490">
        <v>1.7</v>
      </c>
      <c r="AG490">
        <v>0</v>
      </c>
      <c r="AH490">
        <v>0</v>
      </c>
      <c r="AI490" s="4">
        <v>35587</v>
      </c>
    </row>
    <row r="491" spans="1:35">
      <c r="A491">
        <v>490</v>
      </c>
      <c r="B491" t="str">
        <f>"601398"</f>
        <v>601398</v>
      </c>
      <c r="C491" t="s">
        <v>3860</v>
      </c>
      <c r="D491" s="4">
        <v>43190</v>
      </c>
      <c r="E491" t="s">
        <v>3861</v>
      </c>
      <c r="F491" t="s">
        <v>3862</v>
      </c>
      <c r="G491" t="s">
        <v>3863</v>
      </c>
      <c r="H491">
        <v>0.22</v>
      </c>
      <c r="I491">
        <v>5.85</v>
      </c>
      <c r="J491">
        <v>3.85</v>
      </c>
      <c r="K491" t="s">
        <v>3864</v>
      </c>
      <c r="L491">
        <v>4.05</v>
      </c>
      <c r="M491" t="s">
        <v>3865</v>
      </c>
      <c r="N491" t="s">
        <v>2100</v>
      </c>
      <c r="O491" t="s">
        <v>3866</v>
      </c>
      <c r="P491" t="s">
        <v>3867</v>
      </c>
      <c r="Q491">
        <v>3.98</v>
      </c>
      <c r="R491" t="s">
        <v>3868</v>
      </c>
      <c r="S491">
        <v>3.15</v>
      </c>
      <c r="T491">
        <v>0</v>
      </c>
      <c r="U491" t="s">
        <v>3869</v>
      </c>
      <c r="V491">
        <v>0</v>
      </c>
      <c r="W491" t="s">
        <v>3870</v>
      </c>
      <c r="X491">
        <v>3.85</v>
      </c>
      <c r="Y491" t="s">
        <v>3871</v>
      </c>
      <c r="Z491">
        <v>0</v>
      </c>
      <c r="AA491">
        <v>0</v>
      </c>
      <c r="AB491">
        <v>0.98</v>
      </c>
      <c r="AC491" t="s">
        <v>3872</v>
      </c>
      <c r="AD491">
        <v>8.1999999999999993</v>
      </c>
      <c r="AE491" t="s">
        <v>3873</v>
      </c>
      <c r="AF491">
        <v>0.43</v>
      </c>
      <c r="AG491">
        <v>0</v>
      </c>
      <c r="AH491" t="s">
        <v>3874</v>
      </c>
      <c r="AI491" s="4">
        <v>39017</v>
      </c>
    </row>
    <row r="492" spans="1:35">
      <c r="A492">
        <v>491</v>
      </c>
      <c r="B492" t="str">
        <f>"000828"</f>
        <v>000828</v>
      </c>
      <c r="C492" t="s">
        <v>3875</v>
      </c>
      <c r="D492" s="4">
        <v>43190</v>
      </c>
      <c r="E492" t="s">
        <v>919</v>
      </c>
      <c r="F492" t="s">
        <v>919</v>
      </c>
      <c r="G492" t="s">
        <v>520</v>
      </c>
      <c r="H492">
        <v>0.21</v>
      </c>
      <c r="I492">
        <v>5.65</v>
      </c>
      <c r="J492">
        <v>3.85</v>
      </c>
      <c r="K492" t="s">
        <v>2224</v>
      </c>
      <c r="L492">
        <v>14.77</v>
      </c>
      <c r="M492" t="s">
        <v>1067</v>
      </c>
      <c r="N492" t="s">
        <v>3876</v>
      </c>
      <c r="O492" t="s">
        <v>2102</v>
      </c>
      <c r="P492" t="s">
        <v>262</v>
      </c>
      <c r="Q492">
        <v>4.01</v>
      </c>
      <c r="R492" t="s">
        <v>386</v>
      </c>
      <c r="S492">
        <v>2.91</v>
      </c>
      <c r="T492">
        <v>64.81</v>
      </c>
      <c r="U492" t="s">
        <v>3472</v>
      </c>
      <c r="V492" t="s">
        <v>370</v>
      </c>
      <c r="W492" t="s">
        <v>1569</v>
      </c>
      <c r="X492">
        <v>3.85</v>
      </c>
      <c r="Y492" t="s">
        <v>2567</v>
      </c>
      <c r="Z492" t="s">
        <v>1285</v>
      </c>
      <c r="AA492" t="s">
        <v>646</v>
      </c>
      <c r="AB492">
        <v>1.41</v>
      </c>
      <c r="AC492" t="s">
        <v>3877</v>
      </c>
      <c r="AD492">
        <v>54.69</v>
      </c>
      <c r="AE492" t="s">
        <v>354</v>
      </c>
      <c r="AF492">
        <v>1.1000000000000001</v>
      </c>
      <c r="AG492">
        <v>0</v>
      </c>
      <c r="AH492">
        <v>0</v>
      </c>
      <c r="AI492" s="4">
        <v>35598</v>
      </c>
    </row>
    <row r="493" spans="1:35">
      <c r="A493">
        <v>492</v>
      </c>
      <c r="B493" t="str">
        <f>"603676"</f>
        <v>603676</v>
      </c>
      <c r="C493" t="s">
        <v>3878</v>
      </c>
      <c r="D493" s="4">
        <v>43190</v>
      </c>
      <c r="E493" t="s">
        <v>3376</v>
      </c>
      <c r="F493" t="s">
        <v>3879</v>
      </c>
      <c r="G493">
        <v>1845</v>
      </c>
      <c r="H493">
        <v>0.08</v>
      </c>
      <c r="I493">
        <v>2.0299999999999998</v>
      </c>
      <c r="J493">
        <v>3.84</v>
      </c>
      <c r="K493" t="s">
        <v>845</v>
      </c>
      <c r="L493">
        <v>98.27</v>
      </c>
      <c r="M493" t="s">
        <v>3880</v>
      </c>
      <c r="N493" t="s">
        <v>3110</v>
      </c>
      <c r="O493" t="s">
        <v>2362</v>
      </c>
      <c r="P493" t="s">
        <v>3881</v>
      </c>
      <c r="Q493">
        <v>67.069999999999993</v>
      </c>
      <c r="R493" t="s">
        <v>1077</v>
      </c>
      <c r="S493">
        <v>0.35</v>
      </c>
      <c r="T493">
        <v>42.23</v>
      </c>
      <c r="U493" t="s">
        <v>1223</v>
      </c>
      <c r="V493" t="s">
        <v>1073</v>
      </c>
      <c r="W493" t="s">
        <v>45</v>
      </c>
      <c r="X493">
        <v>3.84</v>
      </c>
      <c r="Y493" t="s">
        <v>1853</v>
      </c>
      <c r="Z493" t="s">
        <v>1624</v>
      </c>
      <c r="AA493" t="s">
        <v>3882</v>
      </c>
      <c r="AB493">
        <v>8.65</v>
      </c>
      <c r="AC493" t="s">
        <v>299</v>
      </c>
      <c r="AD493">
        <v>81.52</v>
      </c>
      <c r="AE493" t="s">
        <v>217</v>
      </c>
      <c r="AF493">
        <v>0.61</v>
      </c>
      <c r="AG493">
        <v>0</v>
      </c>
      <c r="AH493">
        <v>0</v>
      </c>
      <c r="AI493" s="4">
        <v>42937</v>
      </c>
    </row>
    <row r="494" spans="1:35">
      <c r="A494">
        <v>493</v>
      </c>
      <c r="B494" t="str">
        <f>"000813"</f>
        <v>000813</v>
      </c>
      <c r="C494" t="s">
        <v>3883</v>
      </c>
      <c r="D494" s="4">
        <v>43190</v>
      </c>
      <c r="E494" t="s">
        <v>243</v>
      </c>
      <c r="F494" t="s">
        <v>699</v>
      </c>
      <c r="G494" t="s">
        <v>3884</v>
      </c>
      <c r="H494">
        <v>0.08</v>
      </c>
      <c r="I494">
        <v>2.11</v>
      </c>
      <c r="J494">
        <v>3.84</v>
      </c>
      <c r="K494" t="s">
        <v>130</v>
      </c>
      <c r="L494">
        <v>125.04</v>
      </c>
      <c r="M494" t="s">
        <v>454</v>
      </c>
      <c r="N494" t="s">
        <v>3885</v>
      </c>
      <c r="O494" t="s">
        <v>1417</v>
      </c>
      <c r="P494" t="s">
        <v>1202</v>
      </c>
      <c r="Q494">
        <v>9.23</v>
      </c>
      <c r="R494" t="s">
        <v>756</v>
      </c>
      <c r="S494">
        <v>1.36</v>
      </c>
      <c r="T494">
        <v>92.28</v>
      </c>
      <c r="U494" t="s">
        <v>2167</v>
      </c>
      <c r="V494" t="s">
        <v>3886</v>
      </c>
      <c r="W494" t="s">
        <v>1563</v>
      </c>
      <c r="X494">
        <v>3.84</v>
      </c>
      <c r="Y494" t="s">
        <v>3293</v>
      </c>
      <c r="Z494" t="s">
        <v>2110</v>
      </c>
      <c r="AA494" t="s">
        <v>2037</v>
      </c>
      <c r="AB494">
        <v>4.1900000000000004</v>
      </c>
      <c r="AC494" t="s">
        <v>3887</v>
      </c>
      <c r="AD494">
        <v>87.42</v>
      </c>
      <c r="AE494" t="s">
        <v>1770</v>
      </c>
      <c r="AF494">
        <v>0.32</v>
      </c>
      <c r="AG494">
        <v>0</v>
      </c>
      <c r="AH494">
        <v>0</v>
      </c>
      <c r="AI494" s="4">
        <v>35934</v>
      </c>
    </row>
    <row r="495" spans="1:35">
      <c r="A495">
        <v>494</v>
      </c>
      <c r="B495" t="str">
        <f>"603600"</f>
        <v>603600</v>
      </c>
      <c r="C495" t="s">
        <v>3888</v>
      </c>
      <c r="D495" s="4">
        <v>43190</v>
      </c>
      <c r="E495" t="s">
        <v>1791</v>
      </c>
      <c r="F495" t="s">
        <v>126</v>
      </c>
      <c r="G495" t="s">
        <v>3310</v>
      </c>
      <c r="H495">
        <v>0.09</v>
      </c>
      <c r="I495">
        <v>3.84</v>
      </c>
      <c r="J495">
        <v>3.83</v>
      </c>
      <c r="K495" t="s">
        <v>860</v>
      </c>
      <c r="L495">
        <v>37.42</v>
      </c>
      <c r="M495" t="s">
        <v>3889</v>
      </c>
      <c r="N495" t="s">
        <v>3890</v>
      </c>
      <c r="O495" t="s">
        <v>3891</v>
      </c>
      <c r="P495" t="s">
        <v>3892</v>
      </c>
      <c r="Q495">
        <v>5.78</v>
      </c>
      <c r="R495" t="s">
        <v>1001</v>
      </c>
      <c r="S495">
        <v>1.02</v>
      </c>
      <c r="T495">
        <v>13.43</v>
      </c>
      <c r="U495" t="s">
        <v>699</v>
      </c>
      <c r="V495" t="s">
        <v>424</v>
      </c>
      <c r="W495" t="s">
        <v>1699</v>
      </c>
      <c r="X495">
        <v>3.83</v>
      </c>
      <c r="Y495" t="s">
        <v>165</v>
      </c>
      <c r="Z495" t="s">
        <v>1229</v>
      </c>
      <c r="AA495" t="s">
        <v>3893</v>
      </c>
      <c r="AB495">
        <v>2.2999999999999998</v>
      </c>
      <c r="AC495" t="s">
        <v>3894</v>
      </c>
      <c r="AD495">
        <v>63.96</v>
      </c>
      <c r="AE495" t="s">
        <v>3895</v>
      </c>
      <c r="AF495">
        <v>1.81</v>
      </c>
      <c r="AG495">
        <v>0</v>
      </c>
      <c r="AH495">
        <v>0</v>
      </c>
      <c r="AI495" s="4">
        <v>42027</v>
      </c>
    </row>
    <row r="496" spans="1:35">
      <c r="A496">
        <v>495</v>
      </c>
      <c r="B496" t="str">
        <f>"603585"</f>
        <v>603585</v>
      </c>
      <c r="C496" t="s">
        <v>3896</v>
      </c>
      <c r="D496" s="4">
        <v>43190</v>
      </c>
      <c r="E496" t="s">
        <v>1839</v>
      </c>
      <c r="F496" t="s">
        <v>3897</v>
      </c>
      <c r="G496">
        <v>4078</v>
      </c>
      <c r="H496">
        <v>0.33</v>
      </c>
      <c r="I496">
        <v>8.35</v>
      </c>
      <c r="J496">
        <v>3.83</v>
      </c>
      <c r="K496" t="s">
        <v>1682</v>
      </c>
      <c r="L496">
        <v>7.7</v>
      </c>
      <c r="M496" t="s">
        <v>533</v>
      </c>
      <c r="N496" t="s">
        <v>3898</v>
      </c>
      <c r="O496" t="s">
        <v>533</v>
      </c>
      <c r="P496" t="s">
        <v>3899</v>
      </c>
      <c r="Q496">
        <v>27.7</v>
      </c>
      <c r="R496" t="s">
        <v>3900</v>
      </c>
      <c r="S496">
        <v>3.02</v>
      </c>
      <c r="T496">
        <v>42.54</v>
      </c>
      <c r="U496" t="s">
        <v>420</v>
      </c>
      <c r="V496" t="s">
        <v>1367</v>
      </c>
      <c r="W496" t="s">
        <v>160</v>
      </c>
      <c r="X496">
        <v>3.83</v>
      </c>
      <c r="Y496" t="s">
        <v>1855</v>
      </c>
      <c r="Z496" t="s">
        <v>319</v>
      </c>
      <c r="AA496" t="s">
        <v>3901</v>
      </c>
      <c r="AB496">
        <v>2.62</v>
      </c>
      <c r="AC496" t="s">
        <v>1367</v>
      </c>
      <c r="AD496">
        <v>73.709999999999994</v>
      </c>
      <c r="AE496" t="s">
        <v>1867</v>
      </c>
      <c r="AF496">
        <v>3.83</v>
      </c>
      <c r="AG496">
        <v>0</v>
      </c>
      <c r="AH496">
        <v>0</v>
      </c>
      <c r="AI496" s="4">
        <v>42718</v>
      </c>
    </row>
    <row r="497" spans="1:35">
      <c r="A497">
        <v>496</v>
      </c>
      <c r="B497" t="str">
        <f>"603239"</f>
        <v>603239</v>
      </c>
      <c r="C497" t="s">
        <v>3902</v>
      </c>
      <c r="D497" s="4">
        <v>43190</v>
      </c>
      <c r="E497" t="s">
        <v>798</v>
      </c>
      <c r="F497" t="s">
        <v>3903</v>
      </c>
      <c r="G497">
        <v>6054</v>
      </c>
      <c r="H497">
        <v>0.14000000000000001</v>
      </c>
      <c r="I497">
        <v>3.31</v>
      </c>
      <c r="J497">
        <v>3.82</v>
      </c>
      <c r="K497" t="s">
        <v>608</v>
      </c>
      <c r="L497">
        <v>-1.2</v>
      </c>
      <c r="M497" t="s">
        <v>3904</v>
      </c>
      <c r="N497" t="s">
        <v>3905</v>
      </c>
      <c r="O497" t="s">
        <v>3906</v>
      </c>
      <c r="P497" t="s">
        <v>3907</v>
      </c>
      <c r="Q497">
        <v>-36.450000000000003</v>
      </c>
      <c r="R497" t="s">
        <v>498</v>
      </c>
      <c r="S497">
        <v>0.99</v>
      </c>
      <c r="T497">
        <v>41.4</v>
      </c>
      <c r="U497" t="s">
        <v>405</v>
      </c>
      <c r="V497" t="s">
        <v>125</v>
      </c>
      <c r="W497" t="s">
        <v>94</v>
      </c>
      <c r="X497">
        <v>3.82</v>
      </c>
      <c r="Y497" t="s">
        <v>1860</v>
      </c>
      <c r="Z497" t="s">
        <v>1624</v>
      </c>
      <c r="AA497" t="s">
        <v>3908</v>
      </c>
      <c r="AB497">
        <v>3.7</v>
      </c>
      <c r="AC497" t="s">
        <v>978</v>
      </c>
      <c r="AD497">
        <v>83.96</v>
      </c>
      <c r="AE497" t="s">
        <v>296</v>
      </c>
      <c r="AF497">
        <v>1.1100000000000001</v>
      </c>
      <c r="AG497">
        <v>0</v>
      </c>
      <c r="AH497">
        <v>0</v>
      </c>
      <c r="AI497" s="4">
        <v>42734</v>
      </c>
    </row>
    <row r="498" spans="1:35">
      <c r="A498">
        <v>497</v>
      </c>
      <c r="B498" t="str">
        <f>"600600"</f>
        <v>600600</v>
      </c>
      <c r="C498" t="s">
        <v>3909</v>
      </c>
      <c r="D498" s="4">
        <v>43190</v>
      </c>
      <c r="E498" t="s">
        <v>1214</v>
      </c>
      <c r="F498" t="s">
        <v>1993</v>
      </c>
      <c r="G498" t="s">
        <v>1179</v>
      </c>
      <c r="H498">
        <v>0.49</v>
      </c>
      <c r="I498">
        <v>13.19</v>
      </c>
      <c r="J498">
        <v>3.82</v>
      </c>
      <c r="K498" t="s">
        <v>2492</v>
      </c>
      <c r="L498">
        <v>3.01</v>
      </c>
      <c r="M498" t="s">
        <v>3184</v>
      </c>
      <c r="N498" t="s">
        <v>3910</v>
      </c>
      <c r="O498" t="s">
        <v>3752</v>
      </c>
      <c r="P498" t="s">
        <v>1117</v>
      </c>
      <c r="Q498">
        <v>15.16</v>
      </c>
      <c r="R498" t="s">
        <v>689</v>
      </c>
      <c r="S498">
        <v>8.49</v>
      </c>
      <c r="T498">
        <v>40.1</v>
      </c>
      <c r="U498" t="s">
        <v>3911</v>
      </c>
      <c r="V498" t="s">
        <v>3912</v>
      </c>
      <c r="W498" t="s">
        <v>1159</v>
      </c>
      <c r="X498">
        <v>3.82</v>
      </c>
      <c r="Y498" t="s">
        <v>1753</v>
      </c>
      <c r="Z498" t="s">
        <v>466</v>
      </c>
      <c r="AA498" t="s">
        <v>371</v>
      </c>
      <c r="AB498">
        <v>3.36</v>
      </c>
      <c r="AC498" t="s">
        <v>928</v>
      </c>
      <c r="AD498">
        <v>54.49</v>
      </c>
      <c r="AE498" t="s">
        <v>1248</v>
      </c>
      <c r="AF498">
        <v>2.5499999999999998</v>
      </c>
      <c r="AG498">
        <v>0</v>
      </c>
      <c r="AH498" t="s">
        <v>2921</v>
      </c>
      <c r="AI498" s="4">
        <v>34208</v>
      </c>
    </row>
    <row r="499" spans="1:35">
      <c r="A499">
        <v>498</v>
      </c>
      <c r="B499" t="str">
        <f>"600081"</f>
        <v>600081</v>
      </c>
      <c r="C499" t="s">
        <v>3913</v>
      </c>
      <c r="D499" s="4">
        <v>43190</v>
      </c>
      <c r="E499" t="s">
        <v>2185</v>
      </c>
      <c r="F499" t="s">
        <v>2185</v>
      </c>
      <c r="G499" t="s">
        <v>135</v>
      </c>
      <c r="H499">
        <v>0.16</v>
      </c>
      <c r="I499">
        <v>4.1500000000000004</v>
      </c>
      <c r="J499">
        <v>3.82</v>
      </c>
      <c r="K499" t="s">
        <v>983</v>
      </c>
      <c r="L499">
        <v>20.32</v>
      </c>
      <c r="M499" t="s">
        <v>3914</v>
      </c>
      <c r="N499" t="s">
        <v>3915</v>
      </c>
      <c r="O499" t="s">
        <v>3916</v>
      </c>
      <c r="P499" t="s">
        <v>3917</v>
      </c>
      <c r="Q499">
        <v>28.14</v>
      </c>
      <c r="R499" t="s">
        <v>3312</v>
      </c>
      <c r="S499">
        <v>2.65</v>
      </c>
      <c r="T499">
        <v>14.66</v>
      </c>
      <c r="U499" t="s">
        <v>1064</v>
      </c>
      <c r="V499" t="s">
        <v>464</v>
      </c>
      <c r="W499" t="s">
        <v>264</v>
      </c>
      <c r="X499">
        <v>3.82</v>
      </c>
      <c r="Y499" t="s">
        <v>1314</v>
      </c>
      <c r="Z499" t="s">
        <v>940</v>
      </c>
      <c r="AA499" t="s">
        <v>3918</v>
      </c>
      <c r="AB499">
        <v>2.29</v>
      </c>
      <c r="AC499" t="s">
        <v>1025</v>
      </c>
      <c r="AD499">
        <v>23.52</v>
      </c>
      <c r="AE499" t="s">
        <v>3919</v>
      </c>
      <c r="AF499">
        <v>0.05</v>
      </c>
      <c r="AG499">
        <v>0</v>
      </c>
      <c r="AH499">
        <v>0</v>
      </c>
      <c r="AI499" s="4">
        <v>35614</v>
      </c>
    </row>
    <row r="500" spans="1:35">
      <c r="A500">
        <v>499</v>
      </c>
      <c r="B500" t="str">
        <f>"601838"</f>
        <v>601838</v>
      </c>
      <c r="C500" t="s">
        <v>3920</v>
      </c>
      <c r="D500" s="4">
        <v>43190</v>
      </c>
      <c r="E500" t="s">
        <v>940</v>
      </c>
      <c r="F500" t="s">
        <v>265</v>
      </c>
      <c r="G500">
        <v>2527</v>
      </c>
      <c r="H500">
        <v>0.28999999999999998</v>
      </c>
      <c r="I500">
        <v>7.59</v>
      </c>
      <c r="J500">
        <v>3.81</v>
      </c>
      <c r="K500" t="s">
        <v>710</v>
      </c>
      <c r="L500">
        <v>23.59</v>
      </c>
      <c r="M500" t="s">
        <v>1223</v>
      </c>
      <c r="N500" t="s">
        <v>2222</v>
      </c>
      <c r="O500" t="s">
        <v>1223</v>
      </c>
      <c r="P500" t="s">
        <v>978</v>
      </c>
      <c r="Q500">
        <v>20.45</v>
      </c>
      <c r="R500" t="s">
        <v>466</v>
      </c>
      <c r="S500">
        <v>2.85</v>
      </c>
      <c r="T500">
        <v>0</v>
      </c>
      <c r="U500" t="s">
        <v>3921</v>
      </c>
      <c r="V500">
        <v>0</v>
      </c>
      <c r="W500" t="s">
        <v>1496</v>
      </c>
      <c r="X500">
        <v>3.81</v>
      </c>
      <c r="Y500" t="s">
        <v>3922</v>
      </c>
      <c r="Z500">
        <v>0</v>
      </c>
      <c r="AA500">
        <v>0</v>
      </c>
      <c r="AB500">
        <v>1.17</v>
      </c>
      <c r="AC500" t="s">
        <v>2335</v>
      </c>
      <c r="AD500">
        <v>6.26</v>
      </c>
      <c r="AE500" t="s">
        <v>1878</v>
      </c>
      <c r="AF500">
        <v>1.69</v>
      </c>
      <c r="AG500">
        <v>0</v>
      </c>
      <c r="AH500">
        <v>0</v>
      </c>
      <c r="AI500" s="4">
        <v>43131</v>
      </c>
    </row>
    <row r="501" spans="1:35">
      <c r="A501">
        <v>500</v>
      </c>
      <c r="B501" t="str">
        <f>"600329"</f>
        <v>600329</v>
      </c>
      <c r="C501" t="s">
        <v>3923</v>
      </c>
      <c r="D501" s="4">
        <v>43190</v>
      </c>
      <c r="E501" t="s">
        <v>1204</v>
      </c>
      <c r="F501" t="s">
        <v>2398</v>
      </c>
      <c r="G501">
        <v>0</v>
      </c>
      <c r="H501">
        <v>0.23</v>
      </c>
      <c r="I501">
        <v>6.03</v>
      </c>
      <c r="J501">
        <v>3.81</v>
      </c>
      <c r="K501" t="s">
        <v>1062</v>
      </c>
      <c r="L501">
        <v>9</v>
      </c>
      <c r="M501" t="s">
        <v>148</v>
      </c>
      <c r="N501" t="s">
        <v>3924</v>
      </c>
      <c r="O501" t="s">
        <v>1264</v>
      </c>
      <c r="P501" t="s">
        <v>1855</v>
      </c>
      <c r="Q501">
        <v>29.62</v>
      </c>
      <c r="R501" t="s">
        <v>877</v>
      </c>
      <c r="S501">
        <v>2.71</v>
      </c>
      <c r="T501">
        <v>44.61</v>
      </c>
      <c r="U501" t="s">
        <v>951</v>
      </c>
      <c r="V501" t="s">
        <v>524</v>
      </c>
      <c r="W501" t="s">
        <v>3925</v>
      </c>
      <c r="X501">
        <v>3.81</v>
      </c>
      <c r="Y501" t="s">
        <v>514</v>
      </c>
      <c r="Z501" t="s">
        <v>119</v>
      </c>
      <c r="AA501" t="s">
        <v>372</v>
      </c>
      <c r="AB501">
        <v>3.04</v>
      </c>
      <c r="AC501" t="s">
        <v>3926</v>
      </c>
      <c r="AD501">
        <v>67.23</v>
      </c>
      <c r="AE501" t="s">
        <v>1307</v>
      </c>
      <c r="AF501">
        <v>1.71</v>
      </c>
      <c r="AG501">
        <v>0</v>
      </c>
      <c r="AH501">
        <v>0</v>
      </c>
      <c r="AI501" s="4">
        <v>37048</v>
      </c>
    </row>
    <row r="502" spans="1:35">
      <c r="A502">
        <v>501</v>
      </c>
      <c r="B502" t="str">
        <f>"300547"</f>
        <v>300547</v>
      </c>
      <c r="C502" t="s">
        <v>3927</v>
      </c>
      <c r="D502" s="4">
        <v>43190</v>
      </c>
      <c r="E502" t="s">
        <v>2360</v>
      </c>
      <c r="F502" t="s">
        <v>3659</v>
      </c>
      <c r="G502">
        <v>2830</v>
      </c>
      <c r="H502">
        <v>0.22</v>
      </c>
      <c r="I502">
        <v>5.45</v>
      </c>
      <c r="J502">
        <v>3.81</v>
      </c>
      <c r="K502" t="s">
        <v>845</v>
      </c>
      <c r="L502">
        <v>19.440000000000001</v>
      </c>
      <c r="M502" t="s">
        <v>3928</v>
      </c>
      <c r="N502">
        <v>0</v>
      </c>
      <c r="O502" t="s">
        <v>3929</v>
      </c>
      <c r="P502" t="s">
        <v>3930</v>
      </c>
      <c r="Q502">
        <v>23.13</v>
      </c>
      <c r="R502" t="s">
        <v>167</v>
      </c>
      <c r="S502">
        <v>2.06</v>
      </c>
      <c r="T502">
        <v>36.380000000000003</v>
      </c>
      <c r="U502" t="s">
        <v>2620</v>
      </c>
      <c r="V502" t="s">
        <v>1778</v>
      </c>
      <c r="W502" t="s">
        <v>93</v>
      </c>
      <c r="X502">
        <v>3.81</v>
      </c>
      <c r="Y502" t="s">
        <v>726</v>
      </c>
      <c r="Z502" t="s">
        <v>1417</v>
      </c>
      <c r="AA502" t="s">
        <v>3931</v>
      </c>
      <c r="AB502">
        <v>3.46</v>
      </c>
      <c r="AC502" t="s">
        <v>2010</v>
      </c>
      <c r="AD502">
        <v>74.06</v>
      </c>
      <c r="AE502" t="s">
        <v>1229</v>
      </c>
      <c r="AF502">
        <v>2.6</v>
      </c>
      <c r="AG502">
        <v>0</v>
      </c>
      <c r="AH502">
        <v>0</v>
      </c>
      <c r="AI502" s="4">
        <v>42643</v>
      </c>
    </row>
    <row r="503" spans="1:35">
      <c r="A503">
        <v>502</v>
      </c>
      <c r="B503" t="str">
        <f>"603808"</f>
        <v>603808</v>
      </c>
      <c r="C503" t="s">
        <v>3932</v>
      </c>
      <c r="D503" s="4">
        <v>43190</v>
      </c>
      <c r="E503" t="s">
        <v>678</v>
      </c>
      <c r="F503" t="s">
        <v>47</v>
      </c>
      <c r="G503">
        <v>9609</v>
      </c>
      <c r="H503">
        <v>0.24</v>
      </c>
      <c r="I503">
        <v>6.41</v>
      </c>
      <c r="J503">
        <v>3.8</v>
      </c>
      <c r="K503" t="s">
        <v>2450</v>
      </c>
      <c r="L503">
        <v>69.28</v>
      </c>
      <c r="M503" t="s">
        <v>2306</v>
      </c>
      <c r="N503" t="s">
        <v>3933</v>
      </c>
      <c r="O503" t="s">
        <v>1376</v>
      </c>
      <c r="P503" t="s">
        <v>3934</v>
      </c>
      <c r="Q503">
        <v>33.18</v>
      </c>
      <c r="R503" t="s">
        <v>909</v>
      </c>
      <c r="S503">
        <v>2.44</v>
      </c>
      <c r="T503">
        <v>67.05</v>
      </c>
      <c r="U503" t="s">
        <v>464</v>
      </c>
      <c r="V503" t="s">
        <v>1126</v>
      </c>
      <c r="W503" t="s">
        <v>1245</v>
      </c>
      <c r="X503">
        <v>3.8</v>
      </c>
      <c r="Y503" t="s">
        <v>323</v>
      </c>
      <c r="Z503" t="s">
        <v>1774</v>
      </c>
      <c r="AA503" t="s">
        <v>507</v>
      </c>
      <c r="AB503">
        <v>3.46</v>
      </c>
      <c r="AC503" t="s">
        <v>114</v>
      </c>
      <c r="AD503">
        <v>59.97</v>
      </c>
      <c r="AE503" t="s">
        <v>602</v>
      </c>
      <c r="AF503">
        <v>3.26</v>
      </c>
      <c r="AG503">
        <v>0</v>
      </c>
      <c r="AH503">
        <v>0</v>
      </c>
      <c r="AI503" s="4">
        <v>42116</v>
      </c>
    </row>
    <row r="504" spans="1:35">
      <c r="A504">
        <v>503</v>
      </c>
      <c r="B504" t="str">
        <f>"000031"</f>
        <v>000031</v>
      </c>
      <c r="C504" t="s">
        <v>3935</v>
      </c>
      <c r="D504" s="4">
        <v>43190</v>
      </c>
      <c r="E504" t="s">
        <v>1455</v>
      </c>
      <c r="F504" t="s">
        <v>1455</v>
      </c>
      <c r="G504">
        <v>9472</v>
      </c>
      <c r="H504">
        <v>0.14000000000000001</v>
      </c>
      <c r="I504">
        <v>3.81</v>
      </c>
      <c r="J504">
        <v>3.8</v>
      </c>
      <c r="K504" t="s">
        <v>789</v>
      </c>
      <c r="L504">
        <v>27.06</v>
      </c>
      <c r="M504" t="s">
        <v>44</v>
      </c>
      <c r="N504" t="s">
        <v>804</v>
      </c>
      <c r="O504" t="s">
        <v>1243</v>
      </c>
      <c r="P504" t="s">
        <v>726</v>
      </c>
      <c r="Q504">
        <v>80.459999999999994</v>
      </c>
      <c r="R504" t="s">
        <v>113</v>
      </c>
      <c r="S504">
        <v>2.13</v>
      </c>
      <c r="T504">
        <v>48.04</v>
      </c>
      <c r="U504" t="s">
        <v>3936</v>
      </c>
      <c r="V504" t="s">
        <v>3937</v>
      </c>
      <c r="W504" t="s">
        <v>1128</v>
      </c>
      <c r="X504">
        <v>3.8</v>
      </c>
      <c r="Y504" t="s">
        <v>3938</v>
      </c>
      <c r="Z504" t="s">
        <v>3939</v>
      </c>
      <c r="AA504" t="s">
        <v>388</v>
      </c>
      <c r="AB504">
        <v>1.63</v>
      </c>
      <c r="AC504" t="s">
        <v>2795</v>
      </c>
      <c r="AD504">
        <v>8.57</v>
      </c>
      <c r="AE504">
        <v>0</v>
      </c>
      <c r="AF504">
        <v>0</v>
      </c>
      <c r="AG504">
        <v>0</v>
      </c>
      <c r="AH504">
        <v>0</v>
      </c>
      <c r="AI504" s="4">
        <v>34250</v>
      </c>
    </row>
    <row r="505" spans="1:35">
      <c r="A505">
        <v>504</v>
      </c>
      <c r="B505" t="str">
        <f>"603319"</f>
        <v>603319</v>
      </c>
      <c r="C505" t="s">
        <v>3940</v>
      </c>
      <c r="D505" s="4">
        <v>43190</v>
      </c>
      <c r="E505" t="s">
        <v>3941</v>
      </c>
      <c r="F505" t="s">
        <v>3942</v>
      </c>
      <c r="G505">
        <v>5059</v>
      </c>
      <c r="H505">
        <v>0.34</v>
      </c>
      <c r="I505">
        <v>8.49</v>
      </c>
      <c r="J505">
        <v>3.79</v>
      </c>
      <c r="K505" t="s">
        <v>696</v>
      </c>
      <c r="L505">
        <v>22.83</v>
      </c>
      <c r="M505" t="s">
        <v>3943</v>
      </c>
      <c r="N505" t="s">
        <v>495</v>
      </c>
      <c r="O505" t="s">
        <v>3944</v>
      </c>
      <c r="P505" t="s">
        <v>3663</v>
      </c>
      <c r="Q505">
        <v>41.85</v>
      </c>
      <c r="R505" t="s">
        <v>2098</v>
      </c>
      <c r="S505">
        <v>4.3499999999999996</v>
      </c>
      <c r="T505">
        <v>29.43</v>
      </c>
      <c r="U505" t="s">
        <v>264</v>
      </c>
      <c r="V505" t="s">
        <v>1909</v>
      </c>
      <c r="W505" t="s">
        <v>165</v>
      </c>
      <c r="X505">
        <v>3.79</v>
      </c>
      <c r="Y505" t="s">
        <v>216</v>
      </c>
      <c r="Z505" t="s">
        <v>1939</v>
      </c>
      <c r="AA505" t="s">
        <v>3945</v>
      </c>
      <c r="AB505">
        <v>2.9</v>
      </c>
      <c r="AC505" t="s">
        <v>1487</v>
      </c>
      <c r="AD505">
        <v>59.99</v>
      </c>
      <c r="AE505" t="s">
        <v>1853</v>
      </c>
      <c r="AF505">
        <v>2.5</v>
      </c>
      <c r="AG505">
        <v>0</v>
      </c>
      <c r="AH505">
        <v>0</v>
      </c>
      <c r="AI505" s="4">
        <v>42704</v>
      </c>
    </row>
    <row r="506" spans="1:35">
      <c r="A506">
        <v>505</v>
      </c>
      <c r="B506" t="str">
        <f>"002587"</f>
        <v>002587</v>
      </c>
      <c r="C506" t="s">
        <v>3946</v>
      </c>
      <c r="D506" s="4">
        <v>43190</v>
      </c>
      <c r="E506" t="s">
        <v>2674</v>
      </c>
      <c r="F506" t="s">
        <v>750</v>
      </c>
      <c r="G506" t="s">
        <v>2449</v>
      </c>
      <c r="H506">
        <v>7.0000000000000007E-2</v>
      </c>
      <c r="I506">
        <v>1.84</v>
      </c>
      <c r="J506">
        <v>3.79</v>
      </c>
      <c r="K506" t="s">
        <v>623</v>
      </c>
      <c r="L506">
        <v>172.76</v>
      </c>
      <c r="M506" t="s">
        <v>3690</v>
      </c>
      <c r="N506" t="s">
        <v>3947</v>
      </c>
      <c r="O506" t="s">
        <v>3948</v>
      </c>
      <c r="P506" t="s">
        <v>3949</v>
      </c>
      <c r="Q506">
        <v>385.12</v>
      </c>
      <c r="R506" t="s">
        <v>1359</v>
      </c>
      <c r="S506">
        <v>0.49</v>
      </c>
      <c r="T506">
        <v>29.21</v>
      </c>
      <c r="U506" t="s">
        <v>389</v>
      </c>
      <c r="V506" t="s">
        <v>263</v>
      </c>
      <c r="W506" t="s">
        <v>382</v>
      </c>
      <c r="X506">
        <v>3.79</v>
      </c>
      <c r="Y506" t="s">
        <v>3281</v>
      </c>
      <c r="Z506" t="s">
        <v>1392</v>
      </c>
      <c r="AA506" t="s">
        <v>3950</v>
      </c>
      <c r="AB506">
        <v>3.22</v>
      </c>
      <c r="AC506" t="s">
        <v>1033</v>
      </c>
      <c r="AD506">
        <v>62.11</v>
      </c>
      <c r="AE506" t="s">
        <v>2123</v>
      </c>
      <c r="AF506">
        <v>0.31</v>
      </c>
      <c r="AG506">
        <v>0</v>
      </c>
      <c r="AH506">
        <v>0</v>
      </c>
      <c r="AI506" s="4">
        <v>40704</v>
      </c>
    </row>
    <row r="507" spans="1:35">
      <c r="A507">
        <v>506</v>
      </c>
      <c r="B507" t="str">
        <f>"601088"</f>
        <v>601088</v>
      </c>
      <c r="C507" t="s">
        <v>3951</v>
      </c>
      <c r="D507" s="4">
        <v>43190</v>
      </c>
      <c r="E507" t="s">
        <v>3952</v>
      </c>
      <c r="F507" t="s">
        <v>2634</v>
      </c>
      <c r="G507" t="s">
        <v>3953</v>
      </c>
      <c r="H507">
        <v>0.57999999999999996</v>
      </c>
      <c r="I507">
        <v>15.77</v>
      </c>
      <c r="J507">
        <v>3.78</v>
      </c>
      <c r="K507" t="s">
        <v>3954</v>
      </c>
      <c r="L507">
        <v>3.14</v>
      </c>
      <c r="M507" t="s">
        <v>1114</v>
      </c>
      <c r="N507" t="s">
        <v>3955</v>
      </c>
      <c r="O507" t="s">
        <v>1114</v>
      </c>
      <c r="P507" t="s">
        <v>590</v>
      </c>
      <c r="Q507">
        <v>-4.92</v>
      </c>
      <c r="R507" t="s">
        <v>3956</v>
      </c>
      <c r="S507">
        <v>9.76</v>
      </c>
      <c r="T507">
        <v>40.1</v>
      </c>
      <c r="U507" t="s">
        <v>3957</v>
      </c>
      <c r="V507" t="s">
        <v>3958</v>
      </c>
      <c r="W507" t="s">
        <v>3959</v>
      </c>
      <c r="X507">
        <v>3.78</v>
      </c>
      <c r="Y507" t="s">
        <v>3960</v>
      </c>
      <c r="Z507" t="s">
        <v>3961</v>
      </c>
      <c r="AA507" t="s">
        <v>3962</v>
      </c>
      <c r="AB507">
        <v>1.36</v>
      </c>
      <c r="AC507" t="s">
        <v>3963</v>
      </c>
      <c r="AD507">
        <v>54.68</v>
      </c>
      <c r="AE507" t="s">
        <v>2210</v>
      </c>
      <c r="AF507">
        <v>3.76</v>
      </c>
      <c r="AG507">
        <v>0</v>
      </c>
      <c r="AH507" t="s">
        <v>1127</v>
      </c>
      <c r="AI507" s="4">
        <v>39364</v>
      </c>
    </row>
    <row r="508" spans="1:35">
      <c r="A508">
        <v>507</v>
      </c>
      <c r="B508" t="str">
        <f>"300207"</f>
        <v>300207</v>
      </c>
      <c r="C508" t="s">
        <v>3964</v>
      </c>
      <c r="D508" s="4">
        <v>43190</v>
      </c>
      <c r="E508" t="s">
        <v>747</v>
      </c>
      <c r="F508" t="s">
        <v>835</v>
      </c>
      <c r="G508" t="s">
        <v>3965</v>
      </c>
      <c r="H508">
        <v>7.0000000000000007E-2</v>
      </c>
      <c r="I508">
        <v>3.42</v>
      </c>
      <c r="J508">
        <v>3.78</v>
      </c>
      <c r="K508" t="s">
        <v>2498</v>
      </c>
      <c r="L508">
        <v>59.53</v>
      </c>
      <c r="M508" t="s">
        <v>2360</v>
      </c>
      <c r="N508" t="s">
        <v>3966</v>
      </c>
      <c r="O508" t="s">
        <v>642</v>
      </c>
      <c r="P508" t="s">
        <v>1627</v>
      </c>
      <c r="Q508">
        <v>58.81</v>
      </c>
      <c r="R508" t="s">
        <v>1367</v>
      </c>
      <c r="S508">
        <v>0.82</v>
      </c>
      <c r="T508">
        <v>12.33</v>
      </c>
      <c r="U508" t="s">
        <v>571</v>
      </c>
      <c r="V508" t="s">
        <v>525</v>
      </c>
      <c r="W508" t="s">
        <v>789</v>
      </c>
      <c r="X508">
        <v>3.78</v>
      </c>
      <c r="Y508" t="s">
        <v>3028</v>
      </c>
      <c r="Z508" t="s">
        <v>1280</v>
      </c>
      <c r="AA508" t="s">
        <v>391</v>
      </c>
      <c r="AB508">
        <v>2.67</v>
      </c>
      <c r="AC508" t="s">
        <v>1095</v>
      </c>
      <c r="AD508">
        <v>37.049999999999997</v>
      </c>
      <c r="AE508" t="s">
        <v>242</v>
      </c>
      <c r="AF508">
        <v>1.51</v>
      </c>
      <c r="AG508">
        <v>0</v>
      </c>
      <c r="AH508">
        <v>0</v>
      </c>
      <c r="AI508" s="4">
        <v>40654</v>
      </c>
    </row>
    <row r="509" spans="1:35">
      <c r="A509">
        <v>508</v>
      </c>
      <c r="B509" t="str">
        <f>"002888"</f>
        <v>002888</v>
      </c>
      <c r="C509" t="s">
        <v>3967</v>
      </c>
      <c r="D509" s="4">
        <v>43190</v>
      </c>
      <c r="E509" t="s">
        <v>2603</v>
      </c>
      <c r="F509" t="s">
        <v>3968</v>
      </c>
      <c r="G509">
        <v>2309</v>
      </c>
      <c r="H509">
        <v>0.05</v>
      </c>
      <c r="I509">
        <v>3.39</v>
      </c>
      <c r="J509">
        <v>3.78</v>
      </c>
      <c r="K509" t="s">
        <v>3969</v>
      </c>
      <c r="L509">
        <v>17.989999999999998</v>
      </c>
      <c r="M509" t="s">
        <v>1027</v>
      </c>
      <c r="N509">
        <v>0</v>
      </c>
      <c r="O509" t="s">
        <v>3970</v>
      </c>
      <c r="P509" t="s">
        <v>990</v>
      </c>
      <c r="Q509">
        <v>-4.82</v>
      </c>
      <c r="R509" t="s">
        <v>136</v>
      </c>
      <c r="S509">
        <v>1.1599999999999999</v>
      </c>
      <c r="T509">
        <v>35.340000000000003</v>
      </c>
      <c r="U509" t="s">
        <v>1483</v>
      </c>
      <c r="V509" t="s">
        <v>1383</v>
      </c>
      <c r="W509" t="s">
        <v>209</v>
      </c>
      <c r="X509">
        <v>3.78</v>
      </c>
      <c r="Y509" t="s">
        <v>3971</v>
      </c>
      <c r="Z509" t="s">
        <v>3971</v>
      </c>
      <c r="AA509">
        <v>0</v>
      </c>
      <c r="AB509">
        <v>5.89</v>
      </c>
      <c r="AC509" t="s">
        <v>1768</v>
      </c>
      <c r="AD509">
        <v>89.23</v>
      </c>
      <c r="AE509" t="s">
        <v>1288</v>
      </c>
      <c r="AF509">
        <v>1.1200000000000001</v>
      </c>
      <c r="AG509">
        <v>0</v>
      </c>
      <c r="AH509">
        <v>0</v>
      </c>
      <c r="AI509" s="4">
        <v>42937</v>
      </c>
    </row>
    <row r="510" spans="1:35">
      <c r="A510">
        <v>509</v>
      </c>
      <c r="B510" t="str">
        <f>"300685"</f>
        <v>300685</v>
      </c>
      <c r="C510" t="s">
        <v>3972</v>
      </c>
      <c r="D510" s="4">
        <v>43190</v>
      </c>
      <c r="E510" t="s">
        <v>2575</v>
      </c>
      <c r="F510" t="s">
        <v>2576</v>
      </c>
      <c r="G510">
        <v>1998</v>
      </c>
      <c r="H510">
        <v>0.31</v>
      </c>
      <c r="I510">
        <v>8.43</v>
      </c>
      <c r="J510">
        <v>3.77</v>
      </c>
      <c r="K510" t="s">
        <v>3973</v>
      </c>
      <c r="L510">
        <v>43.51</v>
      </c>
      <c r="M510" t="s">
        <v>2226</v>
      </c>
      <c r="N510" t="s">
        <v>3136</v>
      </c>
      <c r="O510" t="s">
        <v>3974</v>
      </c>
      <c r="P510" t="s">
        <v>3975</v>
      </c>
      <c r="Q510">
        <v>51.51</v>
      </c>
      <c r="R510" t="s">
        <v>1839</v>
      </c>
      <c r="S510">
        <v>2.25</v>
      </c>
      <c r="T510">
        <v>92.46</v>
      </c>
      <c r="U510" t="s">
        <v>1872</v>
      </c>
      <c r="V510" t="s">
        <v>2178</v>
      </c>
      <c r="W510" t="s">
        <v>2306</v>
      </c>
      <c r="X510">
        <v>3.77</v>
      </c>
      <c r="Y510" t="s">
        <v>3976</v>
      </c>
      <c r="Z510" t="s">
        <v>3977</v>
      </c>
      <c r="AA510" t="s">
        <v>3978</v>
      </c>
      <c r="AB510">
        <v>11.19</v>
      </c>
      <c r="AC510" t="s">
        <v>2089</v>
      </c>
      <c r="AD510">
        <v>94.12</v>
      </c>
      <c r="AE510" t="s">
        <v>2915</v>
      </c>
      <c r="AF510">
        <v>4.96</v>
      </c>
      <c r="AG510">
        <v>0</v>
      </c>
      <c r="AH510">
        <v>0</v>
      </c>
      <c r="AI510" s="4">
        <v>42949</v>
      </c>
    </row>
    <row r="511" spans="1:35">
      <c r="A511">
        <v>510</v>
      </c>
      <c r="B511" t="str">
        <f>"601012"</f>
        <v>601012</v>
      </c>
      <c r="C511" t="s">
        <v>3979</v>
      </c>
      <c r="D511" s="4">
        <v>43190</v>
      </c>
      <c r="E511" t="s">
        <v>502</v>
      </c>
      <c r="F511" t="s">
        <v>450</v>
      </c>
      <c r="G511" t="s">
        <v>3980</v>
      </c>
      <c r="H511">
        <v>0.19</v>
      </c>
      <c r="I511">
        <v>4.93</v>
      </c>
      <c r="J511">
        <v>3.76</v>
      </c>
      <c r="K511" t="s">
        <v>1175</v>
      </c>
      <c r="L511">
        <v>29.14</v>
      </c>
      <c r="M511" t="s">
        <v>181</v>
      </c>
      <c r="N511" t="s">
        <v>3011</v>
      </c>
      <c r="O511" t="s">
        <v>105</v>
      </c>
      <c r="P511" t="s">
        <v>3471</v>
      </c>
      <c r="Q511">
        <v>23.57</v>
      </c>
      <c r="R511" t="s">
        <v>879</v>
      </c>
      <c r="S511">
        <v>2.1800000000000002</v>
      </c>
      <c r="T511">
        <v>21.91</v>
      </c>
      <c r="U511" t="s">
        <v>3981</v>
      </c>
      <c r="V511" t="s">
        <v>1098</v>
      </c>
      <c r="W511" t="s">
        <v>900</v>
      </c>
      <c r="X511">
        <v>3.76</v>
      </c>
      <c r="Y511" t="s">
        <v>388</v>
      </c>
      <c r="Z511" t="s">
        <v>1149</v>
      </c>
      <c r="AA511" t="s">
        <v>3982</v>
      </c>
      <c r="AB511">
        <v>3.09</v>
      </c>
      <c r="AC511" t="s">
        <v>1453</v>
      </c>
      <c r="AD511">
        <v>42.37</v>
      </c>
      <c r="AE511" t="s">
        <v>1776</v>
      </c>
      <c r="AF511">
        <v>1.66</v>
      </c>
      <c r="AG511">
        <v>0</v>
      </c>
      <c r="AH511">
        <v>0</v>
      </c>
      <c r="AI511" s="4">
        <v>41010</v>
      </c>
    </row>
    <row r="512" spans="1:35">
      <c r="A512">
        <v>511</v>
      </c>
      <c r="B512" t="str">
        <f>"300347"</f>
        <v>300347</v>
      </c>
      <c r="C512" t="s">
        <v>3983</v>
      </c>
      <c r="D512" s="4">
        <v>43190</v>
      </c>
      <c r="E512" t="s">
        <v>999</v>
      </c>
      <c r="F512" t="s">
        <v>976</v>
      </c>
      <c r="G512" t="s">
        <v>1755</v>
      </c>
      <c r="H512">
        <v>0.19</v>
      </c>
      <c r="I512">
        <v>5.08</v>
      </c>
      <c r="J512">
        <v>3.76</v>
      </c>
      <c r="K512" t="s">
        <v>476</v>
      </c>
      <c r="L512">
        <v>33.159999999999997</v>
      </c>
      <c r="M512" t="s">
        <v>1627</v>
      </c>
      <c r="N512" t="s">
        <v>3984</v>
      </c>
      <c r="O512" t="s">
        <v>282</v>
      </c>
      <c r="P512" t="s">
        <v>3985</v>
      </c>
      <c r="Q512">
        <v>121.07</v>
      </c>
      <c r="R512" t="s">
        <v>3712</v>
      </c>
      <c r="S512">
        <v>1.33</v>
      </c>
      <c r="T512">
        <v>44.93</v>
      </c>
      <c r="U512" t="s">
        <v>230</v>
      </c>
      <c r="V512" t="s">
        <v>848</v>
      </c>
      <c r="W512" t="s">
        <v>415</v>
      </c>
      <c r="X512">
        <v>3.76</v>
      </c>
      <c r="Y512" t="s">
        <v>2705</v>
      </c>
      <c r="Z512" t="s">
        <v>3986</v>
      </c>
      <c r="AA512" t="s">
        <v>3987</v>
      </c>
      <c r="AB512">
        <v>11.36</v>
      </c>
      <c r="AC512" t="s">
        <v>1785</v>
      </c>
      <c r="AD512">
        <v>67.09</v>
      </c>
      <c r="AE512" t="s">
        <v>840</v>
      </c>
      <c r="AF512">
        <v>2.61</v>
      </c>
      <c r="AG512">
        <v>0</v>
      </c>
      <c r="AH512">
        <v>0</v>
      </c>
      <c r="AI512" s="4">
        <v>41138</v>
      </c>
    </row>
    <row r="513" spans="1:35">
      <c r="A513">
        <v>512</v>
      </c>
      <c r="B513" t="str">
        <f>"002878"</f>
        <v>002878</v>
      </c>
      <c r="C513" t="s">
        <v>3988</v>
      </c>
      <c r="D513" s="4">
        <v>43190</v>
      </c>
      <c r="E513" t="s">
        <v>802</v>
      </c>
      <c r="F513" t="s">
        <v>3989</v>
      </c>
      <c r="G513">
        <v>1543</v>
      </c>
      <c r="H513">
        <v>0.15</v>
      </c>
      <c r="I513">
        <v>3.92</v>
      </c>
      <c r="J513">
        <v>3.76</v>
      </c>
      <c r="K513" t="s">
        <v>975</v>
      </c>
      <c r="L513">
        <v>62.23</v>
      </c>
      <c r="M513" t="s">
        <v>3990</v>
      </c>
      <c r="N513" t="s">
        <v>3991</v>
      </c>
      <c r="O513" t="s">
        <v>3990</v>
      </c>
      <c r="P513" t="s">
        <v>3992</v>
      </c>
      <c r="Q513">
        <v>90.03</v>
      </c>
      <c r="R513" t="s">
        <v>1689</v>
      </c>
      <c r="S513">
        <v>0.98</v>
      </c>
      <c r="T513">
        <v>24.25</v>
      </c>
      <c r="U513" t="s">
        <v>3716</v>
      </c>
      <c r="V513" t="s">
        <v>475</v>
      </c>
      <c r="W513" t="s">
        <v>3993</v>
      </c>
      <c r="X513">
        <v>3.76</v>
      </c>
      <c r="Y513" t="s">
        <v>748</v>
      </c>
      <c r="Z513" t="s">
        <v>1077</v>
      </c>
      <c r="AA513" t="s">
        <v>1854</v>
      </c>
      <c r="AB513">
        <v>5.84</v>
      </c>
      <c r="AC513" t="s">
        <v>2922</v>
      </c>
      <c r="AD513">
        <v>74.02</v>
      </c>
      <c r="AE513" t="s">
        <v>3297</v>
      </c>
      <c r="AF513">
        <v>1.95</v>
      </c>
      <c r="AG513">
        <v>0</v>
      </c>
      <c r="AH513">
        <v>0</v>
      </c>
      <c r="AI513" s="4">
        <v>42892</v>
      </c>
    </row>
    <row r="514" spans="1:35">
      <c r="A514">
        <v>513</v>
      </c>
      <c r="B514" t="str">
        <f>"603912"</f>
        <v>603912</v>
      </c>
      <c r="C514" t="s">
        <v>3994</v>
      </c>
      <c r="D514" s="4">
        <v>43190</v>
      </c>
      <c r="E514" t="s">
        <v>118</v>
      </c>
      <c r="F514" t="s">
        <v>3995</v>
      </c>
      <c r="G514">
        <v>1728</v>
      </c>
      <c r="H514">
        <v>0.11</v>
      </c>
      <c r="I514">
        <v>2.89</v>
      </c>
      <c r="J514">
        <v>3.75</v>
      </c>
      <c r="K514" t="s">
        <v>3996</v>
      </c>
      <c r="L514">
        <v>3.79</v>
      </c>
      <c r="M514" t="s">
        <v>3997</v>
      </c>
      <c r="N514" t="s">
        <v>921</v>
      </c>
      <c r="O514" t="s">
        <v>3998</v>
      </c>
      <c r="P514" t="s">
        <v>3999</v>
      </c>
      <c r="Q514">
        <v>8.9</v>
      </c>
      <c r="R514" t="s">
        <v>3111</v>
      </c>
      <c r="S514">
        <v>0.52</v>
      </c>
      <c r="T514">
        <v>45.63</v>
      </c>
      <c r="U514" t="s">
        <v>903</v>
      </c>
      <c r="V514" t="s">
        <v>4000</v>
      </c>
      <c r="W514" t="s">
        <v>4001</v>
      </c>
      <c r="X514">
        <v>3.75</v>
      </c>
      <c r="Y514" t="s">
        <v>2729</v>
      </c>
      <c r="Z514" t="s">
        <v>3535</v>
      </c>
      <c r="AA514" t="s">
        <v>3046</v>
      </c>
      <c r="AB514">
        <v>5.16</v>
      </c>
      <c r="AC514" t="s">
        <v>4002</v>
      </c>
      <c r="AD514">
        <v>69.44</v>
      </c>
      <c r="AE514" t="s">
        <v>340</v>
      </c>
      <c r="AF514">
        <v>1.45</v>
      </c>
      <c r="AG514">
        <v>0</v>
      </c>
      <c r="AH514">
        <v>0</v>
      </c>
      <c r="AI514" s="4">
        <v>43040</v>
      </c>
    </row>
    <row r="515" spans="1:35">
      <c r="A515">
        <v>514</v>
      </c>
      <c r="B515" t="str">
        <f>"300398"</f>
        <v>300398</v>
      </c>
      <c r="C515" t="s">
        <v>4003</v>
      </c>
      <c r="D515" s="4">
        <v>43190</v>
      </c>
      <c r="E515" t="s">
        <v>1317</v>
      </c>
      <c r="F515" t="s">
        <v>707</v>
      </c>
      <c r="G515" t="s">
        <v>2183</v>
      </c>
      <c r="H515">
        <v>0.17</v>
      </c>
      <c r="I515">
        <v>4.62</v>
      </c>
      <c r="J515">
        <v>3.75</v>
      </c>
      <c r="K515" t="s">
        <v>204</v>
      </c>
      <c r="L515">
        <v>226.64</v>
      </c>
      <c r="M515" t="s">
        <v>4004</v>
      </c>
      <c r="N515" t="s">
        <v>4005</v>
      </c>
      <c r="O515" t="s">
        <v>4006</v>
      </c>
      <c r="P515" t="s">
        <v>4007</v>
      </c>
      <c r="Q515">
        <v>398.28</v>
      </c>
      <c r="R515" t="s">
        <v>2255</v>
      </c>
      <c r="S515">
        <v>1.1499999999999999</v>
      </c>
      <c r="T515">
        <v>46.67</v>
      </c>
      <c r="U515" t="s">
        <v>386</v>
      </c>
      <c r="V515" t="s">
        <v>192</v>
      </c>
      <c r="W515" t="s">
        <v>4008</v>
      </c>
      <c r="X515">
        <v>3.75</v>
      </c>
      <c r="Y515" t="s">
        <v>722</v>
      </c>
      <c r="Z515" t="s">
        <v>4009</v>
      </c>
      <c r="AA515" t="s">
        <v>603</v>
      </c>
      <c r="AB515">
        <v>3.97</v>
      </c>
      <c r="AC515" t="s">
        <v>119</v>
      </c>
      <c r="AD515">
        <v>65.959999999999994</v>
      </c>
      <c r="AE515" t="s">
        <v>978</v>
      </c>
      <c r="AF515">
        <v>2.42</v>
      </c>
      <c r="AG515">
        <v>0</v>
      </c>
      <c r="AH515">
        <v>0</v>
      </c>
      <c r="AI515" s="4">
        <v>41921</v>
      </c>
    </row>
    <row r="516" spans="1:35">
      <c r="A516">
        <v>515</v>
      </c>
      <c r="B516" t="str">
        <f>"000525"</f>
        <v>000525</v>
      </c>
      <c r="C516" t="s">
        <v>4010</v>
      </c>
      <c r="D516" s="4">
        <v>43190</v>
      </c>
      <c r="E516" t="s">
        <v>108</v>
      </c>
      <c r="F516" t="s">
        <v>1959</v>
      </c>
      <c r="G516" t="s">
        <v>4011</v>
      </c>
      <c r="H516">
        <v>0.36</v>
      </c>
      <c r="I516">
        <v>9.6300000000000008</v>
      </c>
      <c r="J516">
        <v>3.75</v>
      </c>
      <c r="K516" t="s">
        <v>538</v>
      </c>
      <c r="L516">
        <v>14.64</v>
      </c>
      <c r="M516" t="s">
        <v>985</v>
      </c>
      <c r="N516" t="s">
        <v>4012</v>
      </c>
      <c r="O516" t="s">
        <v>807</v>
      </c>
      <c r="P516" t="s">
        <v>1970</v>
      </c>
      <c r="Q516">
        <v>30.51</v>
      </c>
      <c r="R516" t="s">
        <v>1343</v>
      </c>
      <c r="S516">
        <v>3.01</v>
      </c>
      <c r="T516">
        <v>32.4</v>
      </c>
      <c r="U516" t="s">
        <v>465</v>
      </c>
      <c r="V516" t="s">
        <v>3164</v>
      </c>
      <c r="W516" t="s">
        <v>1258</v>
      </c>
      <c r="X516">
        <v>3.75</v>
      </c>
      <c r="Y516" t="s">
        <v>4013</v>
      </c>
      <c r="Z516" t="s">
        <v>4014</v>
      </c>
      <c r="AA516" t="s">
        <v>1909</v>
      </c>
      <c r="AB516">
        <v>1.6</v>
      </c>
      <c r="AC516" t="s">
        <v>4015</v>
      </c>
      <c r="AD516">
        <v>44.02</v>
      </c>
      <c r="AE516" t="s">
        <v>1252</v>
      </c>
      <c r="AF516">
        <v>5.0599999999999996</v>
      </c>
      <c r="AG516">
        <v>0</v>
      </c>
      <c r="AH516">
        <v>0</v>
      </c>
      <c r="AI516" s="4">
        <v>34270</v>
      </c>
    </row>
    <row r="517" spans="1:35">
      <c r="A517">
        <v>516</v>
      </c>
      <c r="B517" t="str">
        <f>"300567"</f>
        <v>300567</v>
      </c>
      <c r="C517" t="s">
        <v>4016</v>
      </c>
      <c r="D517" s="4">
        <v>43190</v>
      </c>
      <c r="E517" t="s">
        <v>2031</v>
      </c>
      <c r="F517" t="s">
        <v>4017</v>
      </c>
      <c r="G517">
        <v>8337</v>
      </c>
      <c r="H517">
        <v>0.3</v>
      </c>
      <c r="I517">
        <v>5.27</v>
      </c>
      <c r="J517">
        <v>3.74</v>
      </c>
      <c r="K517" t="s">
        <v>1970</v>
      </c>
      <c r="L517">
        <v>62.66</v>
      </c>
      <c r="M517" t="s">
        <v>4018</v>
      </c>
      <c r="N517" t="s">
        <v>1673</v>
      </c>
      <c r="O517" t="s">
        <v>4019</v>
      </c>
      <c r="P517" t="s">
        <v>4020</v>
      </c>
      <c r="Q517">
        <v>124.28</v>
      </c>
      <c r="R517" t="s">
        <v>623</v>
      </c>
      <c r="S517">
        <v>2.25</v>
      </c>
      <c r="T517">
        <v>55.17</v>
      </c>
      <c r="U517" t="s">
        <v>1307</v>
      </c>
      <c r="V517" t="s">
        <v>613</v>
      </c>
      <c r="W517" t="s">
        <v>4021</v>
      </c>
      <c r="X517">
        <v>3.74</v>
      </c>
      <c r="Y517" t="s">
        <v>800</v>
      </c>
      <c r="Z517" t="s">
        <v>3482</v>
      </c>
      <c r="AA517" t="s">
        <v>4022</v>
      </c>
      <c r="AB517">
        <v>13.18</v>
      </c>
      <c r="AC517" t="s">
        <v>3494</v>
      </c>
      <c r="AD517">
        <v>68.47</v>
      </c>
      <c r="AE517" t="s">
        <v>2222</v>
      </c>
      <c r="AF517">
        <v>2.54</v>
      </c>
      <c r="AG517">
        <v>0</v>
      </c>
      <c r="AH517">
        <v>0</v>
      </c>
      <c r="AI517" s="4">
        <v>42696</v>
      </c>
    </row>
    <row r="518" spans="1:35">
      <c r="A518">
        <v>517</v>
      </c>
      <c r="B518" t="str">
        <f>"002860"</f>
        <v>002860</v>
      </c>
      <c r="C518" t="s">
        <v>4023</v>
      </c>
      <c r="D518" s="4">
        <v>43190</v>
      </c>
      <c r="E518" t="s">
        <v>256</v>
      </c>
      <c r="F518" t="s">
        <v>4024</v>
      </c>
      <c r="G518">
        <v>1202</v>
      </c>
      <c r="H518">
        <v>0.21</v>
      </c>
      <c r="I518">
        <v>5.59</v>
      </c>
      <c r="J518">
        <v>3.74</v>
      </c>
      <c r="K518" t="s">
        <v>4025</v>
      </c>
      <c r="L518">
        <v>12.5</v>
      </c>
      <c r="M518" t="s">
        <v>4026</v>
      </c>
      <c r="N518" t="s">
        <v>4027</v>
      </c>
      <c r="O518" t="s">
        <v>3617</v>
      </c>
      <c r="P518" t="s">
        <v>4028</v>
      </c>
      <c r="Q518">
        <v>10.52</v>
      </c>
      <c r="R518" t="s">
        <v>798</v>
      </c>
      <c r="S518">
        <v>2.1800000000000002</v>
      </c>
      <c r="T518">
        <v>40.69</v>
      </c>
      <c r="U518" t="s">
        <v>1978</v>
      </c>
      <c r="V518" t="s">
        <v>483</v>
      </c>
      <c r="W518" t="s">
        <v>651</v>
      </c>
      <c r="X518">
        <v>3.74</v>
      </c>
      <c r="Y518" t="s">
        <v>209</v>
      </c>
      <c r="Z518" t="s">
        <v>209</v>
      </c>
      <c r="AA518" t="s">
        <v>4029</v>
      </c>
      <c r="AB518">
        <v>3.37</v>
      </c>
      <c r="AC518" t="s">
        <v>1408</v>
      </c>
      <c r="AD518">
        <v>81.23</v>
      </c>
      <c r="AE518" t="s">
        <v>958</v>
      </c>
      <c r="AF518">
        <v>2.11</v>
      </c>
      <c r="AG518">
        <v>0</v>
      </c>
      <c r="AH518">
        <v>0</v>
      </c>
      <c r="AI518" s="4">
        <v>42837</v>
      </c>
    </row>
    <row r="519" spans="1:35">
      <c r="A519">
        <v>518</v>
      </c>
      <c r="B519" t="str">
        <f>"603393"</f>
        <v>603393</v>
      </c>
      <c r="C519" t="s">
        <v>4030</v>
      </c>
      <c r="D519" s="4">
        <v>43190</v>
      </c>
      <c r="E519" t="s">
        <v>1203</v>
      </c>
      <c r="F519" t="s">
        <v>4031</v>
      </c>
      <c r="G519">
        <v>3546</v>
      </c>
      <c r="H519">
        <v>0.46</v>
      </c>
      <c r="I519">
        <v>12.61</v>
      </c>
      <c r="J519">
        <v>3.73</v>
      </c>
      <c r="K519" t="s">
        <v>2661</v>
      </c>
      <c r="L519">
        <v>19.68</v>
      </c>
      <c r="M519" t="s">
        <v>4032</v>
      </c>
      <c r="N519" t="s">
        <v>4033</v>
      </c>
      <c r="O519" t="s">
        <v>4034</v>
      </c>
      <c r="P519" t="s">
        <v>4035</v>
      </c>
      <c r="Q519">
        <v>32.880000000000003</v>
      </c>
      <c r="R519" t="s">
        <v>1212</v>
      </c>
      <c r="S519">
        <v>3.37</v>
      </c>
      <c r="T519">
        <v>26.71</v>
      </c>
      <c r="U519" t="s">
        <v>276</v>
      </c>
      <c r="V519" t="s">
        <v>983</v>
      </c>
      <c r="W519" t="s">
        <v>2996</v>
      </c>
      <c r="X519">
        <v>3.73</v>
      </c>
      <c r="Y519" t="s">
        <v>1621</v>
      </c>
      <c r="Z519" t="s">
        <v>985</v>
      </c>
      <c r="AA519" t="s">
        <v>3336</v>
      </c>
      <c r="AB519">
        <v>2.7</v>
      </c>
      <c r="AC519" t="s">
        <v>418</v>
      </c>
      <c r="AD519">
        <v>87.08</v>
      </c>
      <c r="AE519" t="s">
        <v>192</v>
      </c>
      <c r="AF519">
        <v>7.32</v>
      </c>
      <c r="AG519">
        <v>0</v>
      </c>
      <c r="AH519">
        <v>0</v>
      </c>
      <c r="AI519" s="4">
        <v>42625</v>
      </c>
    </row>
    <row r="520" spans="1:35">
      <c r="A520">
        <v>519</v>
      </c>
      <c r="B520" t="str">
        <f>"603726"</f>
        <v>603726</v>
      </c>
      <c r="C520" t="s">
        <v>4036</v>
      </c>
      <c r="D520" s="4">
        <v>43190</v>
      </c>
      <c r="E520" t="s">
        <v>45</v>
      </c>
      <c r="F520" t="s">
        <v>4037</v>
      </c>
      <c r="G520">
        <v>2276</v>
      </c>
      <c r="H520">
        <v>0.23</v>
      </c>
      <c r="I520">
        <v>6.04</v>
      </c>
      <c r="J520">
        <v>3.72</v>
      </c>
      <c r="K520" t="s">
        <v>1789</v>
      </c>
      <c r="L520">
        <v>38.340000000000003</v>
      </c>
      <c r="M520" t="s">
        <v>4038</v>
      </c>
      <c r="N520">
        <v>0</v>
      </c>
      <c r="O520" t="s">
        <v>4039</v>
      </c>
      <c r="P520" t="s">
        <v>4040</v>
      </c>
      <c r="Q520">
        <v>-6.53</v>
      </c>
      <c r="R520" t="s">
        <v>1243</v>
      </c>
      <c r="S520">
        <v>3.54</v>
      </c>
      <c r="T520">
        <v>24.81</v>
      </c>
      <c r="U520" t="s">
        <v>124</v>
      </c>
      <c r="V520" t="s">
        <v>4041</v>
      </c>
      <c r="W520" t="s">
        <v>2953</v>
      </c>
      <c r="X520">
        <v>3.72</v>
      </c>
      <c r="Y520" t="s">
        <v>3006</v>
      </c>
      <c r="Z520" t="s">
        <v>1476</v>
      </c>
      <c r="AA520" t="s">
        <v>4042</v>
      </c>
      <c r="AB520">
        <v>2.95</v>
      </c>
      <c r="AC520" t="s">
        <v>1274</v>
      </c>
      <c r="AD520">
        <v>63.98</v>
      </c>
      <c r="AE520" t="s">
        <v>862</v>
      </c>
      <c r="AF520">
        <v>1.31</v>
      </c>
      <c r="AG520">
        <v>0</v>
      </c>
      <c r="AH520">
        <v>0</v>
      </c>
      <c r="AI520" s="4">
        <v>42481</v>
      </c>
    </row>
    <row r="521" spans="1:35">
      <c r="A521">
        <v>520</v>
      </c>
      <c r="B521" t="str">
        <f>"600508"</f>
        <v>600508</v>
      </c>
      <c r="C521" t="s">
        <v>4043</v>
      </c>
      <c r="D521" s="4">
        <v>43190</v>
      </c>
      <c r="E521" t="s">
        <v>1487</v>
      </c>
      <c r="F521" t="s">
        <v>1487</v>
      </c>
      <c r="G521" t="s">
        <v>1448</v>
      </c>
      <c r="H521">
        <v>0.47</v>
      </c>
      <c r="I521">
        <v>12.93</v>
      </c>
      <c r="J521">
        <v>3.72</v>
      </c>
      <c r="K521" t="s">
        <v>1343</v>
      </c>
      <c r="L521">
        <v>24.46</v>
      </c>
      <c r="M521" t="s">
        <v>4044</v>
      </c>
      <c r="N521">
        <v>0</v>
      </c>
      <c r="O521" t="s">
        <v>1059</v>
      </c>
      <c r="P521" t="s">
        <v>1074</v>
      </c>
      <c r="Q521">
        <v>105.05</v>
      </c>
      <c r="R521" t="s">
        <v>3286</v>
      </c>
      <c r="S521">
        <v>9.77</v>
      </c>
      <c r="T521">
        <v>39.26</v>
      </c>
      <c r="U521" t="s">
        <v>1741</v>
      </c>
      <c r="V521" t="s">
        <v>431</v>
      </c>
      <c r="W521" t="s">
        <v>3645</v>
      </c>
      <c r="X521">
        <v>3.72</v>
      </c>
      <c r="Y521" t="s">
        <v>2396</v>
      </c>
      <c r="Z521" t="s">
        <v>1164</v>
      </c>
      <c r="AA521" t="s">
        <v>1062</v>
      </c>
      <c r="AB521">
        <v>0.86</v>
      </c>
      <c r="AC521" t="s">
        <v>4045</v>
      </c>
      <c r="AD521">
        <v>62.67</v>
      </c>
      <c r="AE521" t="s">
        <v>62</v>
      </c>
      <c r="AF521">
        <v>1.29</v>
      </c>
      <c r="AG521">
        <v>0</v>
      </c>
      <c r="AH521">
        <v>0</v>
      </c>
      <c r="AI521" s="4">
        <v>37132</v>
      </c>
    </row>
    <row r="522" spans="1:35">
      <c r="A522">
        <v>521</v>
      </c>
      <c r="B522" t="str">
        <f>"300316"</f>
        <v>300316</v>
      </c>
      <c r="C522" t="s">
        <v>4046</v>
      </c>
      <c r="D522" s="4">
        <v>43190</v>
      </c>
      <c r="E522" t="s">
        <v>926</v>
      </c>
      <c r="F522" t="s">
        <v>625</v>
      </c>
      <c r="G522" t="s">
        <v>4047</v>
      </c>
      <c r="H522">
        <v>0.11</v>
      </c>
      <c r="I522">
        <v>2.83</v>
      </c>
      <c r="J522">
        <v>3.72</v>
      </c>
      <c r="K522" t="s">
        <v>2398</v>
      </c>
      <c r="L522">
        <v>53.25</v>
      </c>
      <c r="M522" t="s">
        <v>845</v>
      </c>
      <c r="N522" t="s">
        <v>4048</v>
      </c>
      <c r="O522" t="s">
        <v>845</v>
      </c>
      <c r="P522" t="s">
        <v>1370</v>
      </c>
      <c r="Q522">
        <v>122.85</v>
      </c>
      <c r="R522" t="s">
        <v>521</v>
      </c>
      <c r="S522">
        <v>0.75</v>
      </c>
      <c r="T522">
        <v>39.369999999999997</v>
      </c>
      <c r="U522" t="s">
        <v>1081</v>
      </c>
      <c r="V522" t="s">
        <v>3422</v>
      </c>
      <c r="W522" t="s">
        <v>424</v>
      </c>
      <c r="X522">
        <v>3.72</v>
      </c>
      <c r="Y522" t="s">
        <v>565</v>
      </c>
      <c r="Z522" t="s">
        <v>2753</v>
      </c>
      <c r="AA522" t="s">
        <v>4049</v>
      </c>
      <c r="AB522">
        <v>4.25</v>
      </c>
      <c r="AC522" t="s">
        <v>2871</v>
      </c>
      <c r="AD522">
        <v>60.95</v>
      </c>
      <c r="AE522" t="s">
        <v>833</v>
      </c>
      <c r="AF522">
        <v>0.99</v>
      </c>
      <c r="AG522">
        <v>0</v>
      </c>
      <c r="AH522">
        <v>0</v>
      </c>
      <c r="AI522" s="4">
        <v>41040</v>
      </c>
    </row>
    <row r="523" spans="1:35">
      <c r="A523">
        <v>522</v>
      </c>
      <c r="B523" t="str">
        <f>"000998"</f>
        <v>000998</v>
      </c>
      <c r="C523" t="s">
        <v>4050</v>
      </c>
      <c r="D523" s="4">
        <v>43190</v>
      </c>
      <c r="E523" t="s">
        <v>164</v>
      </c>
      <c r="F523" t="s">
        <v>960</v>
      </c>
      <c r="G523" t="s">
        <v>2676</v>
      </c>
      <c r="H523">
        <v>0.18</v>
      </c>
      <c r="I523">
        <v>4.8499999999999996</v>
      </c>
      <c r="J523">
        <v>3.72</v>
      </c>
      <c r="K523" t="s">
        <v>1414</v>
      </c>
      <c r="L523">
        <v>-0.69</v>
      </c>
      <c r="M523" t="s">
        <v>217</v>
      </c>
      <c r="N523" t="s">
        <v>4051</v>
      </c>
      <c r="O523" t="s">
        <v>217</v>
      </c>
      <c r="P523" t="s">
        <v>1484</v>
      </c>
      <c r="Q523">
        <v>-2.84</v>
      </c>
      <c r="R523" t="s">
        <v>728</v>
      </c>
      <c r="S523">
        <v>1.77</v>
      </c>
      <c r="T523">
        <v>44.06</v>
      </c>
      <c r="U523" t="s">
        <v>719</v>
      </c>
      <c r="V523" t="s">
        <v>1134</v>
      </c>
      <c r="W523" t="s">
        <v>250</v>
      </c>
      <c r="X523">
        <v>3.72</v>
      </c>
      <c r="Y523" t="s">
        <v>1619</v>
      </c>
      <c r="Z523" t="s">
        <v>4052</v>
      </c>
      <c r="AA523" t="s">
        <v>370</v>
      </c>
      <c r="AB523">
        <v>3.8</v>
      </c>
      <c r="AC523" t="s">
        <v>4053</v>
      </c>
      <c r="AD523">
        <v>46.67</v>
      </c>
      <c r="AE523" t="s">
        <v>1347</v>
      </c>
      <c r="AF523">
        <v>2.0099999999999998</v>
      </c>
      <c r="AG523">
        <v>0</v>
      </c>
      <c r="AH523">
        <v>0</v>
      </c>
      <c r="AI523" s="4">
        <v>36871</v>
      </c>
    </row>
    <row r="524" spans="1:35">
      <c r="A524">
        <v>523</v>
      </c>
      <c r="B524" t="str">
        <f>"603197"</f>
        <v>603197</v>
      </c>
      <c r="C524" t="s">
        <v>4054</v>
      </c>
      <c r="D524" s="4">
        <v>43190</v>
      </c>
      <c r="E524" t="s">
        <v>677</v>
      </c>
      <c r="F524" t="s">
        <v>4055</v>
      </c>
      <c r="G524">
        <v>3055</v>
      </c>
      <c r="H524">
        <v>0.41</v>
      </c>
      <c r="I524">
        <v>11.34</v>
      </c>
      <c r="J524">
        <v>3.71</v>
      </c>
      <c r="K524" t="s">
        <v>181</v>
      </c>
      <c r="L524">
        <v>15.57</v>
      </c>
      <c r="M524" t="s">
        <v>4056</v>
      </c>
      <c r="N524" t="s">
        <v>4057</v>
      </c>
      <c r="O524" t="s">
        <v>4058</v>
      </c>
      <c r="P524" t="s">
        <v>727</v>
      </c>
      <c r="Q524">
        <v>9.0399999999999991</v>
      </c>
      <c r="R524" t="s">
        <v>2479</v>
      </c>
      <c r="S524">
        <v>4.3600000000000003</v>
      </c>
      <c r="T524">
        <v>33.22</v>
      </c>
      <c r="U524" t="s">
        <v>774</v>
      </c>
      <c r="V524" t="s">
        <v>1101</v>
      </c>
      <c r="W524" t="s">
        <v>3006</v>
      </c>
      <c r="X524">
        <v>3.71</v>
      </c>
      <c r="Y524" t="s">
        <v>919</v>
      </c>
      <c r="Z524" t="s">
        <v>1477</v>
      </c>
      <c r="AA524" t="s">
        <v>1435</v>
      </c>
      <c r="AB524">
        <v>3.54</v>
      </c>
      <c r="AC524" t="s">
        <v>1214</v>
      </c>
      <c r="AD524">
        <v>53.01</v>
      </c>
      <c r="AE524" t="s">
        <v>2783</v>
      </c>
      <c r="AF524">
        <v>6.28</v>
      </c>
      <c r="AG524">
        <v>0</v>
      </c>
      <c r="AH524">
        <v>0</v>
      </c>
      <c r="AI524" s="4">
        <v>42874</v>
      </c>
    </row>
    <row r="525" spans="1:35">
      <c r="A525">
        <v>524</v>
      </c>
      <c r="B525" t="str">
        <f>"600251"</f>
        <v>600251</v>
      </c>
      <c r="C525" t="s">
        <v>4059</v>
      </c>
      <c r="D525" s="4">
        <v>43190</v>
      </c>
      <c r="E525" t="s">
        <v>3925</v>
      </c>
      <c r="F525" t="s">
        <v>3925</v>
      </c>
      <c r="G525" t="s">
        <v>2234</v>
      </c>
      <c r="H525">
        <v>0.09</v>
      </c>
      <c r="I525">
        <v>2.56</v>
      </c>
      <c r="J525">
        <v>3.71</v>
      </c>
      <c r="K525" t="s">
        <v>2156</v>
      </c>
      <c r="L525">
        <v>99.71</v>
      </c>
      <c r="M525" t="s">
        <v>4060</v>
      </c>
      <c r="N525" t="s">
        <v>4061</v>
      </c>
      <c r="O525" t="s">
        <v>4062</v>
      </c>
      <c r="P525" t="s">
        <v>4063</v>
      </c>
      <c r="Q525">
        <v>35.1</v>
      </c>
      <c r="R525" t="s">
        <v>2149</v>
      </c>
      <c r="S525">
        <v>0.9</v>
      </c>
      <c r="T525">
        <v>7.28</v>
      </c>
      <c r="U525" t="s">
        <v>1738</v>
      </c>
      <c r="V525" t="s">
        <v>223</v>
      </c>
      <c r="W525" t="s">
        <v>2235</v>
      </c>
      <c r="X525">
        <v>3.71</v>
      </c>
      <c r="Y525" t="s">
        <v>565</v>
      </c>
      <c r="Z525" t="s">
        <v>891</v>
      </c>
      <c r="AA525" t="s">
        <v>185</v>
      </c>
      <c r="AB525">
        <v>2.15</v>
      </c>
      <c r="AC525" t="s">
        <v>712</v>
      </c>
      <c r="AD525">
        <v>44.01</v>
      </c>
      <c r="AE525" t="s">
        <v>1461</v>
      </c>
      <c r="AF525">
        <v>0.47</v>
      </c>
      <c r="AG525">
        <v>0</v>
      </c>
      <c r="AH525">
        <v>0</v>
      </c>
      <c r="AI525" s="4">
        <v>37781</v>
      </c>
    </row>
    <row r="526" spans="1:35">
      <c r="A526">
        <v>525</v>
      </c>
      <c r="B526" t="str">
        <f>"300406"</f>
        <v>300406</v>
      </c>
      <c r="C526" t="s">
        <v>4064</v>
      </c>
      <c r="D526" s="4">
        <v>43190</v>
      </c>
      <c r="E526" t="s">
        <v>1346</v>
      </c>
      <c r="F526" t="s">
        <v>167</v>
      </c>
      <c r="G526" t="s">
        <v>3215</v>
      </c>
      <c r="H526">
        <v>0.12</v>
      </c>
      <c r="I526">
        <v>2.97</v>
      </c>
      <c r="J526">
        <v>3.71</v>
      </c>
      <c r="K526" t="s">
        <v>552</v>
      </c>
      <c r="L526">
        <v>16.77</v>
      </c>
      <c r="M526" t="s">
        <v>4065</v>
      </c>
      <c r="N526">
        <v>0</v>
      </c>
      <c r="O526" t="s">
        <v>4066</v>
      </c>
      <c r="P526" t="s">
        <v>936</v>
      </c>
      <c r="Q526">
        <v>12.32</v>
      </c>
      <c r="R526" t="s">
        <v>3986</v>
      </c>
      <c r="S526">
        <v>1.69</v>
      </c>
      <c r="T526">
        <v>68.95</v>
      </c>
      <c r="U526" t="s">
        <v>79</v>
      </c>
      <c r="V526" t="s">
        <v>405</v>
      </c>
      <c r="W526" t="s">
        <v>321</v>
      </c>
      <c r="X526">
        <v>3.71</v>
      </c>
      <c r="Y526" t="s">
        <v>321</v>
      </c>
      <c r="Z526" t="s">
        <v>4067</v>
      </c>
      <c r="AA526" t="s">
        <v>4068</v>
      </c>
      <c r="AB526">
        <v>4.68</v>
      </c>
      <c r="AC526" t="s">
        <v>1792</v>
      </c>
      <c r="AD526">
        <v>90.34</v>
      </c>
      <c r="AE526" t="s">
        <v>4069</v>
      </c>
      <c r="AF526">
        <v>0.11</v>
      </c>
      <c r="AG526">
        <v>0</v>
      </c>
      <c r="AH526">
        <v>0</v>
      </c>
      <c r="AI526" s="4">
        <v>41942</v>
      </c>
    </row>
    <row r="527" spans="1:35">
      <c r="A527">
        <v>526</v>
      </c>
      <c r="B527" t="str">
        <f>"000429"</f>
        <v>000429</v>
      </c>
      <c r="C527" t="s">
        <v>4070</v>
      </c>
      <c r="D527" s="4">
        <v>43190</v>
      </c>
      <c r="E527" t="s">
        <v>159</v>
      </c>
      <c r="F527" t="s">
        <v>2686</v>
      </c>
      <c r="G527">
        <v>0</v>
      </c>
      <c r="H527">
        <v>0.16</v>
      </c>
      <c r="I527">
        <v>3.97</v>
      </c>
      <c r="J527">
        <v>3.71</v>
      </c>
      <c r="K527" t="s">
        <v>2646</v>
      </c>
      <c r="L527">
        <v>4.82</v>
      </c>
      <c r="M527" t="s">
        <v>3374</v>
      </c>
      <c r="N527" t="s">
        <v>197</v>
      </c>
      <c r="O527" t="s">
        <v>3374</v>
      </c>
      <c r="P527" t="s">
        <v>143</v>
      </c>
      <c r="Q527">
        <v>19.14</v>
      </c>
      <c r="R527" t="s">
        <v>1803</v>
      </c>
      <c r="S527">
        <v>1.36</v>
      </c>
      <c r="T527">
        <v>65.930000000000007</v>
      </c>
      <c r="U527" t="s">
        <v>3446</v>
      </c>
      <c r="V527" t="s">
        <v>1329</v>
      </c>
      <c r="W527" t="s">
        <v>4071</v>
      </c>
      <c r="X527">
        <v>3.71</v>
      </c>
      <c r="Y527" t="s">
        <v>1024</v>
      </c>
      <c r="Z527" t="s">
        <v>512</v>
      </c>
      <c r="AA527" t="s">
        <v>893</v>
      </c>
      <c r="AB527">
        <v>1.86</v>
      </c>
      <c r="AC527" t="s">
        <v>1952</v>
      </c>
      <c r="AD527">
        <v>55.51</v>
      </c>
      <c r="AE527" t="s">
        <v>2280</v>
      </c>
      <c r="AF527">
        <v>1.2</v>
      </c>
      <c r="AG527" t="s">
        <v>330</v>
      </c>
      <c r="AH527">
        <v>0</v>
      </c>
      <c r="AI527" s="4">
        <v>35846</v>
      </c>
    </row>
    <row r="528" spans="1:35">
      <c r="A528">
        <v>527</v>
      </c>
      <c r="B528" t="str">
        <f>"600163"</f>
        <v>600163</v>
      </c>
      <c r="C528" t="s">
        <v>4072</v>
      </c>
      <c r="D528" s="4">
        <v>43190</v>
      </c>
      <c r="E528" t="s">
        <v>4073</v>
      </c>
      <c r="F528" t="s">
        <v>4073</v>
      </c>
      <c r="G528" t="s">
        <v>4074</v>
      </c>
      <c r="H528">
        <v>7.0000000000000007E-2</v>
      </c>
      <c r="I528">
        <v>1.8</v>
      </c>
      <c r="J528">
        <v>3.7</v>
      </c>
      <c r="K528" t="s">
        <v>505</v>
      </c>
      <c r="L528">
        <v>32.67</v>
      </c>
      <c r="M528" t="s">
        <v>4075</v>
      </c>
      <c r="N528">
        <v>0</v>
      </c>
      <c r="O528" t="s">
        <v>4076</v>
      </c>
      <c r="P528" t="s">
        <v>4077</v>
      </c>
      <c r="Q528">
        <v>31.75</v>
      </c>
      <c r="R528" t="s">
        <v>4078</v>
      </c>
      <c r="S528">
        <v>-1.36</v>
      </c>
      <c r="T528">
        <v>66.290000000000006</v>
      </c>
      <c r="U528" t="s">
        <v>2725</v>
      </c>
      <c r="V528" t="s">
        <v>3716</v>
      </c>
      <c r="W528" t="s">
        <v>981</v>
      </c>
      <c r="X528">
        <v>3.7</v>
      </c>
      <c r="Y528" t="s">
        <v>980</v>
      </c>
      <c r="Z528" t="s">
        <v>2230</v>
      </c>
      <c r="AA528" t="s">
        <v>1307</v>
      </c>
      <c r="AB528">
        <v>1.86</v>
      </c>
      <c r="AC528" t="s">
        <v>757</v>
      </c>
      <c r="AD528">
        <v>48.46</v>
      </c>
      <c r="AE528" t="s">
        <v>159</v>
      </c>
      <c r="AF528">
        <v>2.09</v>
      </c>
      <c r="AG528">
        <v>0</v>
      </c>
      <c r="AH528">
        <v>0</v>
      </c>
      <c r="AI528" s="4">
        <v>35948</v>
      </c>
    </row>
    <row r="529" spans="1:35">
      <c r="A529">
        <v>528</v>
      </c>
      <c r="B529" t="str">
        <f>"601668"</f>
        <v>601668</v>
      </c>
      <c r="C529" t="s">
        <v>4079</v>
      </c>
      <c r="D529" s="4">
        <v>43190</v>
      </c>
      <c r="E529" t="s">
        <v>554</v>
      </c>
      <c r="F529" t="s">
        <v>3127</v>
      </c>
      <c r="G529" t="s">
        <v>3338</v>
      </c>
      <c r="H529">
        <v>0.27</v>
      </c>
      <c r="I529">
        <v>6.84</v>
      </c>
      <c r="J529">
        <v>3.7</v>
      </c>
      <c r="K529" t="s">
        <v>4080</v>
      </c>
      <c r="L529">
        <v>15.05</v>
      </c>
      <c r="M529" t="s">
        <v>1279</v>
      </c>
      <c r="N529" t="s">
        <v>1837</v>
      </c>
      <c r="O529" t="s">
        <v>1279</v>
      </c>
      <c r="P529" t="s">
        <v>635</v>
      </c>
      <c r="Q529">
        <v>14.98</v>
      </c>
      <c r="R529" t="s">
        <v>1115</v>
      </c>
      <c r="S529">
        <v>4.88</v>
      </c>
      <c r="T529">
        <v>8.8699999999999992</v>
      </c>
      <c r="U529" t="s">
        <v>4081</v>
      </c>
      <c r="V529" t="s">
        <v>2500</v>
      </c>
      <c r="W529" t="s">
        <v>4082</v>
      </c>
      <c r="X529">
        <v>3.7</v>
      </c>
      <c r="Y529" t="s">
        <v>4083</v>
      </c>
      <c r="Z529" t="s">
        <v>4084</v>
      </c>
      <c r="AA529" t="s">
        <v>4085</v>
      </c>
      <c r="AB529">
        <v>1.22</v>
      </c>
      <c r="AC529" t="s">
        <v>4086</v>
      </c>
      <c r="AD529">
        <v>14.07</v>
      </c>
      <c r="AE529" t="s">
        <v>2201</v>
      </c>
      <c r="AF529">
        <v>0.83</v>
      </c>
      <c r="AG529">
        <v>0</v>
      </c>
      <c r="AH529">
        <v>0</v>
      </c>
      <c r="AI529" s="4">
        <v>40023</v>
      </c>
    </row>
    <row r="530" spans="1:35">
      <c r="A530">
        <v>529</v>
      </c>
      <c r="B530" t="str">
        <f>"600085"</f>
        <v>600085</v>
      </c>
      <c r="C530" t="s">
        <v>4087</v>
      </c>
      <c r="D530" s="4">
        <v>43190</v>
      </c>
      <c r="E530" t="s">
        <v>971</v>
      </c>
      <c r="F530" t="s">
        <v>971</v>
      </c>
      <c r="G530" t="s">
        <v>1694</v>
      </c>
      <c r="H530">
        <v>0.23</v>
      </c>
      <c r="I530">
        <v>6.34</v>
      </c>
      <c r="J530">
        <v>3.7</v>
      </c>
      <c r="K530" t="s">
        <v>1314</v>
      </c>
      <c r="L530">
        <v>-0.09</v>
      </c>
      <c r="M530" t="s">
        <v>846</v>
      </c>
      <c r="N530" t="s">
        <v>4088</v>
      </c>
      <c r="O530" t="s">
        <v>846</v>
      </c>
      <c r="P530" t="s">
        <v>1964</v>
      </c>
      <c r="Q530">
        <v>7.81</v>
      </c>
      <c r="R530" t="s">
        <v>3887</v>
      </c>
      <c r="S530">
        <v>3.44</v>
      </c>
      <c r="T530">
        <v>48.14</v>
      </c>
      <c r="U530" t="s">
        <v>3385</v>
      </c>
      <c r="V530" t="s">
        <v>1894</v>
      </c>
      <c r="W530" t="s">
        <v>702</v>
      </c>
      <c r="X530">
        <v>3.7</v>
      </c>
      <c r="Y530" t="s">
        <v>2300</v>
      </c>
      <c r="Z530" t="s">
        <v>740</v>
      </c>
      <c r="AA530" t="s">
        <v>699</v>
      </c>
      <c r="AB530">
        <v>5.81</v>
      </c>
      <c r="AC530" t="s">
        <v>4089</v>
      </c>
      <c r="AD530">
        <v>44.93</v>
      </c>
      <c r="AE530" t="s">
        <v>1255</v>
      </c>
      <c r="AF530">
        <v>1.46</v>
      </c>
      <c r="AG530">
        <v>0</v>
      </c>
      <c r="AH530">
        <v>0</v>
      </c>
      <c r="AI530" s="4">
        <v>35606</v>
      </c>
    </row>
    <row r="531" spans="1:35">
      <c r="A531">
        <v>530</v>
      </c>
      <c r="B531" t="str">
        <f>"002408"</f>
        <v>002408</v>
      </c>
      <c r="C531" t="s">
        <v>4090</v>
      </c>
      <c r="D531" s="4">
        <v>43190</v>
      </c>
      <c r="E531" t="s">
        <v>1678</v>
      </c>
      <c r="F531" t="s">
        <v>1569</v>
      </c>
      <c r="G531" t="s">
        <v>4091</v>
      </c>
      <c r="H531">
        <v>0.14000000000000001</v>
      </c>
      <c r="I531">
        <v>3.77</v>
      </c>
      <c r="J531">
        <v>3.7</v>
      </c>
      <c r="K531" t="s">
        <v>1285</v>
      </c>
      <c r="L531">
        <v>46.43</v>
      </c>
      <c r="M531" t="s">
        <v>1791</v>
      </c>
      <c r="N531" t="s">
        <v>4092</v>
      </c>
      <c r="O531" t="s">
        <v>145</v>
      </c>
      <c r="P531" t="s">
        <v>1905</v>
      </c>
      <c r="Q531">
        <v>26.55</v>
      </c>
      <c r="R531" t="s">
        <v>370</v>
      </c>
      <c r="S531">
        <v>1.34</v>
      </c>
      <c r="T531">
        <v>13.81</v>
      </c>
      <c r="U531" t="s">
        <v>4093</v>
      </c>
      <c r="V531" t="s">
        <v>2643</v>
      </c>
      <c r="W531" t="s">
        <v>1601</v>
      </c>
      <c r="X531">
        <v>3.7</v>
      </c>
      <c r="Y531" t="s">
        <v>570</v>
      </c>
      <c r="Z531" t="s">
        <v>2941</v>
      </c>
      <c r="AA531" t="s">
        <v>1457</v>
      </c>
      <c r="AB531">
        <v>3.29</v>
      </c>
      <c r="AC531" t="s">
        <v>930</v>
      </c>
      <c r="AD531">
        <v>69.31</v>
      </c>
      <c r="AE531" t="s">
        <v>2753</v>
      </c>
      <c r="AF531">
        <v>1.22</v>
      </c>
      <c r="AG531">
        <v>0</v>
      </c>
      <c r="AH531">
        <v>0</v>
      </c>
      <c r="AI531" s="4">
        <v>40316</v>
      </c>
    </row>
    <row r="532" spans="1:35">
      <c r="A532">
        <v>531</v>
      </c>
      <c r="B532" t="str">
        <f>"603881"</f>
        <v>603881</v>
      </c>
      <c r="C532" t="s">
        <v>4094</v>
      </c>
      <c r="D532" s="4">
        <v>43190</v>
      </c>
      <c r="E532" t="s">
        <v>862</v>
      </c>
      <c r="F532" t="s">
        <v>86</v>
      </c>
      <c r="G532">
        <v>4100</v>
      </c>
      <c r="H532">
        <v>0.16</v>
      </c>
      <c r="I532">
        <v>4.24</v>
      </c>
      <c r="J532">
        <v>3.69</v>
      </c>
      <c r="K532" t="s">
        <v>2034</v>
      </c>
      <c r="L532">
        <v>31.57</v>
      </c>
      <c r="M532" t="s">
        <v>4095</v>
      </c>
      <c r="N532">
        <v>0</v>
      </c>
      <c r="O532" t="s">
        <v>339</v>
      </c>
      <c r="P532" t="s">
        <v>4096</v>
      </c>
      <c r="Q532">
        <v>40.32</v>
      </c>
      <c r="R532" t="s">
        <v>976</v>
      </c>
      <c r="S532">
        <v>1.41</v>
      </c>
      <c r="T532">
        <v>38.659999999999997</v>
      </c>
      <c r="U532" t="s">
        <v>115</v>
      </c>
      <c r="V532" t="s">
        <v>2792</v>
      </c>
      <c r="W532" t="s">
        <v>407</v>
      </c>
      <c r="X532">
        <v>3.69</v>
      </c>
      <c r="Y532" t="s">
        <v>871</v>
      </c>
      <c r="Z532" t="s">
        <v>914</v>
      </c>
      <c r="AA532" t="s">
        <v>52</v>
      </c>
      <c r="AB532">
        <v>8.5</v>
      </c>
      <c r="AC532" t="s">
        <v>4097</v>
      </c>
      <c r="AD532">
        <v>54.81</v>
      </c>
      <c r="AE532" t="s">
        <v>160</v>
      </c>
      <c r="AF532">
        <v>1.74</v>
      </c>
      <c r="AG532">
        <v>0</v>
      </c>
      <c r="AH532">
        <v>0</v>
      </c>
      <c r="AI532" s="4">
        <v>42774</v>
      </c>
    </row>
    <row r="533" spans="1:35">
      <c r="A533">
        <v>532</v>
      </c>
      <c r="B533" t="str">
        <f>"002701"</f>
        <v>002701</v>
      </c>
      <c r="C533" t="s">
        <v>4098</v>
      </c>
      <c r="D533" s="4">
        <v>43190</v>
      </c>
      <c r="E533" t="s">
        <v>826</v>
      </c>
      <c r="F533" t="s">
        <v>757</v>
      </c>
      <c r="G533" t="s">
        <v>4099</v>
      </c>
      <c r="H533">
        <v>0.09</v>
      </c>
      <c r="I533">
        <v>2.4700000000000002</v>
      </c>
      <c r="J533">
        <v>3.69</v>
      </c>
      <c r="K533" t="s">
        <v>119</v>
      </c>
      <c r="L533">
        <v>53.81</v>
      </c>
      <c r="M533" t="s">
        <v>1791</v>
      </c>
      <c r="N533" t="s">
        <v>4100</v>
      </c>
      <c r="O533" t="s">
        <v>3297</v>
      </c>
      <c r="P533" t="s">
        <v>1417</v>
      </c>
      <c r="Q533">
        <v>31.13</v>
      </c>
      <c r="R533" t="s">
        <v>273</v>
      </c>
      <c r="S533">
        <v>1.39</v>
      </c>
      <c r="T533">
        <v>26.87</v>
      </c>
      <c r="U533" t="s">
        <v>1753</v>
      </c>
      <c r="V533" t="s">
        <v>2060</v>
      </c>
      <c r="W533" t="s">
        <v>1090</v>
      </c>
      <c r="X533">
        <v>3.69</v>
      </c>
      <c r="Y533" t="s">
        <v>1514</v>
      </c>
      <c r="Z533" t="s">
        <v>739</v>
      </c>
      <c r="AA533" t="s">
        <v>685</v>
      </c>
      <c r="AB533">
        <v>2.16</v>
      </c>
      <c r="AC533" t="s">
        <v>1600</v>
      </c>
      <c r="AD533">
        <v>41.05</v>
      </c>
      <c r="AE533" t="s">
        <v>4101</v>
      </c>
      <c r="AF533">
        <v>-0.01</v>
      </c>
      <c r="AG533">
        <v>0</v>
      </c>
      <c r="AH533">
        <v>0</v>
      </c>
      <c r="AI533" s="4">
        <v>41193</v>
      </c>
    </row>
    <row r="534" spans="1:35">
      <c r="A534">
        <v>533</v>
      </c>
      <c r="B534" t="str">
        <f>"002646"</f>
        <v>002646</v>
      </c>
      <c r="C534" t="s">
        <v>4102</v>
      </c>
      <c r="D534" s="4">
        <v>43190</v>
      </c>
      <c r="E534" t="s">
        <v>3321</v>
      </c>
      <c r="F534" t="s">
        <v>3321</v>
      </c>
      <c r="G534" t="s">
        <v>1422</v>
      </c>
      <c r="H534">
        <v>0.19</v>
      </c>
      <c r="I534">
        <v>5.32</v>
      </c>
      <c r="J534">
        <v>3.69</v>
      </c>
      <c r="K534" t="s">
        <v>611</v>
      </c>
      <c r="L534">
        <v>5.04</v>
      </c>
      <c r="M534" t="s">
        <v>677</v>
      </c>
      <c r="N534" t="s">
        <v>4103</v>
      </c>
      <c r="O534" t="s">
        <v>677</v>
      </c>
      <c r="P534" t="s">
        <v>4104</v>
      </c>
      <c r="Q534">
        <v>-14.93</v>
      </c>
      <c r="R534" t="s">
        <v>88</v>
      </c>
      <c r="S534">
        <v>2.11</v>
      </c>
      <c r="T534">
        <v>67.61</v>
      </c>
      <c r="U534" t="s">
        <v>502</v>
      </c>
      <c r="V534" t="s">
        <v>173</v>
      </c>
      <c r="W534" t="s">
        <v>2329</v>
      </c>
      <c r="X534">
        <v>3.69</v>
      </c>
      <c r="Y534" t="s">
        <v>623</v>
      </c>
      <c r="Z534" t="s">
        <v>184</v>
      </c>
      <c r="AA534" t="s">
        <v>4105</v>
      </c>
      <c r="AB534">
        <v>2.3199999999999998</v>
      </c>
      <c r="AC534" t="s">
        <v>1348</v>
      </c>
      <c r="AD534">
        <v>85.76</v>
      </c>
      <c r="AE534" t="s">
        <v>1509</v>
      </c>
      <c r="AF534">
        <v>1.9</v>
      </c>
      <c r="AG534">
        <v>0</v>
      </c>
      <c r="AH534">
        <v>0</v>
      </c>
      <c r="AI534" s="4">
        <v>40899</v>
      </c>
    </row>
    <row r="535" spans="1:35">
      <c r="A535">
        <v>534</v>
      </c>
      <c r="B535" t="str">
        <f>"601233"</f>
        <v>601233</v>
      </c>
      <c r="C535" t="s">
        <v>4106</v>
      </c>
      <c r="D535" s="4">
        <v>43190</v>
      </c>
      <c r="E535" t="s">
        <v>754</v>
      </c>
      <c r="F535" t="s">
        <v>115</v>
      </c>
      <c r="G535" t="s">
        <v>2381</v>
      </c>
      <c r="H535">
        <v>0.28000000000000003</v>
      </c>
      <c r="I535">
        <v>7.52</v>
      </c>
      <c r="J535">
        <v>3.68</v>
      </c>
      <c r="K535" t="s">
        <v>3468</v>
      </c>
      <c r="L535">
        <v>27.46</v>
      </c>
      <c r="M535" t="s">
        <v>190</v>
      </c>
      <c r="N535" t="s">
        <v>4107</v>
      </c>
      <c r="O535" t="s">
        <v>1276</v>
      </c>
      <c r="P535" t="s">
        <v>2563</v>
      </c>
      <c r="Q535">
        <v>55.86</v>
      </c>
      <c r="R535" t="s">
        <v>1095</v>
      </c>
      <c r="S535">
        <v>2.98</v>
      </c>
      <c r="T535">
        <v>11.65</v>
      </c>
      <c r="U535" t="s">
        <v>2335</v>
      </c>
      <c r="V535" t="s">
        <v>4108</v>
      </c>
      <c r="W535" t="s">
        <v>558</v>
      </c>
      <c r="X535">
        <v>3.68</v>
      </c>
      <c r="Y535" t="s">
        <v>1222</v>
      </c>
      <c r="Z535" t="s">
        <v>465</v>
      </c>
      <c r="AA535" t="s">
        <v>757</v>
      </c>
      <c r="AB535">
        <v>2.12</v>
      </c>
      <c r="AC535" t="s">
        <v>229</v>
      </c>
      <c r="AD535">
        <v>48.88</v>
      </c>
      <c r="AE535" t="s">
        <v>879</v>
      </c>
      <c r="AF535">
        <v>3.25</v>
      </c>
      <c r="AG535">
        <v>0</v>
      </c>
      <c r="AH535">
        <v>0</v>
      </c>
      <c r="AI535" s="4">
        <v>40681</v>
      </c>
    </row>
    <row r="536" spans="1:35">
      <c r="A536">
        <v>535</v>
      </c>
      <c r="B536" t="str">
        <f>"002085"</f>
        <v>002085</v>
      </c>
      <c r="C536" t="s">
        <v>4109</v>
      </c>
      <c r="D536" s="4">
        <v>43190</v>
      </c>
      <c r="E536" t="s">
        <v>2568</v>
      </c>
      <c r="F536" t="s">
        <v>576</v>
      </c>
      <c r="G536" t="s">
        <v>4110</v>
      </c>
      <c r="H536">
        <v>0.1</v>
      </c>
      <c r="I536">
        <v>2.54</v>
      </c>
      <c r="J536">
        <v>3.68</v>
      </c>
      <c r="K536" t="s">
        <v>1504</v>
      </c>
      <c r="L536">
        <v>3.25</v>
      </c>
      <c r="M536" t="s">
        <v>1621</v>
      </c>
      <c r="N536" t="s">
        <v>4111</v>
      </c>
      <c r="O536" t="s">
        <v>1206</v>
      </c>
      <c r="P536" t="s">
        <v>2733</v>
      </c>
      <c r="Q536">
        <v>12.77</v>
      </c>
      <c r="R536" t="s">
        <v>1593</v>
      </c>
      <c r="S536">
        <v>1.34</v>
      </c>
      <c r="T536">
        <v>20.059999999999999</v>
      </c>
      <c r="U536" t="s">
        <v>232</v>
      </c>
      <c r="V536" t="s">
        <v>1326</v>
      </c>
      <c r="W536" t="s">
        <v>2700</v>
      </c>
      <c r="X536">
        <v>3.68</v>
      </c>
      <c r="Y536" t="s">
        <v>1488</v>
      </c>
      <c r="Z536" t="s">
        <v>2280</v>
      </c>
      <c r="AA536" t="s">
        <v>605</v>
      </c>
      <c r="AB536">
        <v>3.78</v>
      </c>
      <c r="AC536" t="s">
        <v>4112</v>
      </c>
      <c r="AD536">
        <v>61.62</v>
      </c>
      <c r="AE536" t="s">
        <v>1627</v>
      </c>
      <c r="AF536">
        <v>0.05</v>
      </c>
      <c r="AG536">
        <v>0</v>
      </c>
      <c r="AH536">
        <v>0</v>
      </c>
      <c r="AI536" s="4">
        <v>39049</v>
      </c>
    </row>
    <row r="537" spans="1:35">
      <c r="A537">
        <v>536</v>
      </c>
      <c r="B537" t="str">
        <f>"603608"</f>
        <v>603608</v>
      </c>
      <c r="C537" t="s">
        <v>4113</v>
      </c>
      <c r="D537" s="4">
        <v>43190</v>
      </c>
      <c r="E537" t="s">
        <v>1295</v>
      </c>
      <c r="F537" t="s">
        <v>2115</v>
      </c>
      <c r="G537">
        <v>5164</v>
      </c>
      <c r="H537">
        <v>0.17</v>
      </c>
      <c r="I537">
        <v>4.58</v>
      </c>
      <c r="J537">
        <v>3.67</v>
      </c>
      <c r="K537" t="s">
        <v>1721</v>
      </c>
      <c r="L537">
        <v>27.64</v>
      </c>
      <c r="M537" t="s">
        <v>4114</v>
      </c>
      <c r="N537" t="s">
        <v>3062</v>
      </c>
      <c r="O537" t="s">
        <v>4115</v>
      </c>
      <c r="P537" t="s">
        <v>4116</v>
      </c>
      <c r="Q537">
        <v>125.55</v>
      </c>
      <c r="R537" t="s">
        <v>1346</v>
      </c>
      <c r="S537">
        <v>0.91</v>
      </c>
      <c r="T537">
        <v>56.48</v>
      </c>
      <c r="U537" t="s">
        <v>158</v>
      </c>
      <c r="V537" t="s">
        <v>584</v>
      </c>
      <c r="W537" t="s">
        <v>535</v>
      </c>
      <c r="X537">
        <v>3.67</v>
      </c>
      <c r="Y537" t="s">
        <v>607</v>
      </c>
      <c r="Z537" t="s">
        <v>1088</v>
      </c>
      <c r="AA537" t="s">
        <v>4117</v>
      </c>
      <c r="AB537">
        <v>1.92</v>
      </c>
      <c r="AC537" t="s">
        <v>877</v>
      </c>
      <c r="AD537">
        <v>77.03</v>
      </c>
      <c r="AE537" t="s">
        <v>323</v>
      </c>
      <c r="AF537">
        <v>2.57</v>
      </c>
      <c r="AG537">
        <v>0</v>
      </c>
      <c r="AH537">
        <v>0</v>
      </c>
      <c r="AI537" s="4">
        <v>42418</v>
      </c>
    </row>
    <row r="538" spans="1:35">
      <c r="A538">
        <v>537</v>
      </c>
      <c r="B538" t="str">
        <f>"600683"</f>
        <v>600683</v>
      </c>
      <c r="C538" t="s">
        <v>4118</v>
      </c>
      <c r="D538" s="4">
        <v>43190</v>
      </c>
      <c r="E538" t="s">
        <v>1042</v>
      </c>
      <c r="F538" t="s">
        <v>1042</v>
      </c>
      <c r="G538" t="s">
        <v>4119</v>
      </c>
      <c r="H538">
        <v>0.12</v>
      </c>
      <c r="I538">
        <v>3.09</v>
      </c>
      <c r="J538">
        <v>3.67</v>
      </c>
      <c r="K538" t="s">
        <v>895</v>
      </c>
      <c r="L538">
        <v>519.65</v>
      </c>
      <c r="M538" t="s">
        <v>1245</v>
      </c>
      <c r="N538" t="s">
        <v>4120</v>
      </c>
      <c r="O538" t="s">
        <v>1245</v>
      </c>
      <c r="P538" t="s">
        <v>4121</v>
      </c>
      <c r="Q538">
        <v>247.62</v>
      </c>
      <c r="R538" t="s">
        <v>164</v>
      </c>
      <c r="S538">
        <v>1.5</v>
      </c>
      <c r="T538">
        <v>35.97</v>
      </c>
      <c r="U538" t="s">
        <v>4122</v>
      </c>
      <c r="V538" t="s">
        <v>2201</v>
      </c>
      <c r="W538" t="s">
        <v>4123</v>
      </c>
      <c r="X538">
        <v>3.67</v>
      </c>
      <c r="Y538" t="s">
        <v>3410</v>
      </c>
      <c r="Z538" t="s">
        <v>1524</v>
      </c>
      <c r="AA538" t="s">
        <v>580</v>
      </c>
      <c r="AB538">
        <v>1.49</v>
      </c>
      <c r="AC538" t="s">
        <v>352</v>
      </c>
      <c r="AD538">
        <v>8.16</v>
      </c>
      <c r="AE538" t="s">
        <v>593</v>
      </c>
      <c r="AF538">
        <v>0.44</v>
      </c>
      <c r="AG538">
        <v>0</v>
      </c>
      <c r="AH538">
        <v>0</v>
      </c>
      <c r="AI538" s="4">
        <v>34267</v>
      </c>
    </row>
    <row r="539" spans="1:35">
      <c r="A539">
        <v>538</v>
      </c>
      <c r="B539" t="str">
        <f>"300076"</f>
        <v>300076</v>
      </c>
      <c r="C539" t="s">
        <v>4124</v>
      </c>
      <c r="D539" s="4">
        <v>43190</v>
      </c>
      <c r="E539" t="s">
        <v>806</v>
      </c>
      <c r="F539" t="s">
        <v>2268</v>
      </c>
      <c r="G539">
        <v>9978</v>
      </c>
      <c r="H539">
        <v>0.09</v>
      </c>
      <c r="I539">
        <v>2.42</v>
      </c>
      <c r="J539">
        <v>3.67</v>
      </c>
      <c r="K539" t="s">
        <v>4125</v>
      </c>
      <c r="L539">
        <v>528.77</v>
      </c>
      <c r="M539" t="s">
        <v>4126</v>
      </c>
      <c r="N539" t="s">
        <v>4127</v>
      </c>
      <c r="O539" t="s">
        <v>4128</v>
      </c>
      <c r="P539" t="s">
        <v>4129</v>
      </c>
      <c r="Q539">
        <v>296.92</v>
      </c>
      <c r="R539" t="s">
        <v>4130</v>
      </c>
      <c r="S539">
        <v>0.16</v>
      </c>
      <c r="T539">
        <v>70.989999999999995</v>
      </c>
      <c r="U539" t="s">
        <v>323</v>
      </c>
      <c r="V539" t="s">
        <v>1608</v>
      </c>
      <c r="W539" t="s">
        <v>618</v>
      </c>
      <c r="X539">
        <v>3.67</v>
      </c>
      <c r="Y539" t="s">
        <v>4131</v>
      </c>
      <c r="Z539" t="s">
        <v>4132</v>
      </c>
      <c r="AA539" t="s">
        <v>4133</v>
      </c>
      <c r="AB539">
        <v>1.91</v>
      </c>
      <c r="AC539" t="s">
        <v>978</v>
      </c>
      <c r="AD539">
        <v>92.36</v>
      </c>
      <c r="AE539" t="s">
        <v>1012</v>
      </c>
      <c r="AF539">
        <v>1.2</v>
      </c>
      <c r="AG539">
        <v>0</v>
      </c>
      <c r="AH539">
        <v>0</v>
      </c>
      <c r="AI539" s="4">
        <v>40298</v>
      </c>
    </row>
    <row r="540" spans="1:35">
      <c r="A540">
        <v>539</v>
      </c>
      <c r="B540" t="str">
        <f>"600846"</f>
        <v>600846</v>
      </c>
      <c r="C540" t="s">
        <v>4134</v>
      </c>
      <c r="D540" s="4">
        <v>43190</v>
      </c>
      <c r="E540" t="s">
        <v>1015</v>
      </c>
      <c r="F540" t="s">
        <v>1015</v>
      </c>
      <c r="G540">
        <v>6619</v>
      </c>
      <c r="H540">
        <v>0.12</v>
      </c>
      <c r="I540">
        <v>3.43</v>
      </c>
      <c r="J540">
        <v>3.66</v>
      </c>
      <c r="K540" t="s">
        <v>295</v>
      </c>
      <c r="L540">
        <v>38.340000000000003</v>
      </c>
      <c r="M540" t="s">
        <v>282</v>
      </c>
      <c r="N540" t="s">
        <v>4135</v>
      </c>
      <c r="O540" t="s">
        <v>1627</v>
      </c>
      <c r="P540" t="s">
        <v>195</v>
      </c>
      <c r="Q540">
        <v>153.49</v>
      </c>
      <c r="R540" t="s">
        <v>192</v>
      </c>
      <c r="S540">
        <v>1.88</v>
      </c>
      <c r="T540">
        <v>16.52</v>
      </c>
      <c r="U540" t="s">
        <v>252</v>
      </c>
      <c r="V540" t="s">
        <v>4136</v>
      </c>
      <c r="W540" t="s">
        <v>2031</v>
      </c>
      <c r="X540">
        <v>3.66</v>
      </c>
      <c r="Y540" t="s">
        <v>1986</v>
      </c>
      <c r="Z540" t="s">
        <v>2396</v>
      </c>
      <c r="AA540" t="s">
        <v>1693</v>
      </c>
      <c r="AB540">
        <v>2.08</v>
      </c>
      <c r="AC540" t="s">
        <v>449</v>
      </c>
      <c r="AD540">
        <v>20.61</v>
      </c>
      <c r="AE540" t="s">
        <v>148</v>
      </c>
      <c r="AF540">
        <v>0.32</v>
      </c>
      <c r="AG540">
        <v>0</v>
      </c>
      <c r="AH540">
        <v>0</v>
      </c>
      <c r="AI540" s="4">
        <v>34404</v>
      </c>
    </row>
    <row r="541" spans="1:35">
      <c r="A541">
        <v>540</v>
      </c>
      <c r="B541" t="str">
        <f>"300246"</f>
        <v>300246</v>
      </c>
      <c r="C541" t="s">
        <v>4137</v>
      </c>
      <c r="D541" s="4">
        <v>43190</v>
      </c>
      <c r="E541" t="s">
        <v>93</v>
      </c>
      <c r="F541" t="s">
        <v>71</v>
      </c>
      <c r="G541">
        <v>5762</v>
      </c>
      <c r="H541">
        <v>0.13</v>
      </c>
      <c r="I541">
        <v>3.59</v>
      </c>
      <c r="J541">
        <v>3.66</v>
      </c>
      <c r="K541" t="s">
        <v>748</v>
      </c>
      <c r="L541">
        <v>17.739999999999998</v>
      </c>
      <c r="M541" t="s">
        <v>4138</v>
      </c>
      <c r="N541" t="s">
        <v>4139</v>
      </c>
      <c r="O541" t="s">
        <v>4140</v>
      </c>
      <c r="P541" t="s">
        <v>4141</v>
      </c>
      <c r="Q541">
        <v>10.07</v>
      </c>
      <c r="R541" t="s">
        <v>3011</v>
      </c>
      <c r="S541">
        <v>1.84</v>
      </c>
      <c r="T541">
        <v>37.35</v>
      </c>
      <c r="U541" t="s">
        <v>226</v>
      </c>
      <c r="V541" t="s">
        <v>860</v>
      </c>
      <c r="W541" t="s">
        <v>4142</v>
      </c>
      <c r="X541">
        <v>3.66</v>
      </c>
      <c r="Y541" t="s">
        <v>478</v>
      </c>
      <c r="Z541" t="s">
        <v>66</v>
      </c>
      <c r="AA541" t="s">
        <v>4143</v>
      </c>
      <c r="AB541">
        <v>4.46</v>
      </c>
      <c r="AC541" t="s">
        <v>1037</v>
      </c>
      <c r="AD541">
        <v>61.11</v>
      </c>
      <c r="AE541" t="s">
        <v>4144</v>
      </c>
      <c r="AF541">
        <v>0.56000000000000005</v>
      </c>
      <c r="AG541">
        <v>0</v>
      </c>
      <c r="AH541">
        <v>0</v>
      </c>
      <c r="AI541" s="4">
        <v>40743</v>
      </c>
    </row>
    <row r="542" spans="1:35">
      <c r="A542">
        <v>541</v>
      </c>
      <c r="B542" t="str">
        <f>"002182"</f>
        <v>002182</v>
      </c>
      <c r="C542" t="s">
        <v>4145</v>
      </c>
      <c r="D542" s="4">
        <v>43190</v>
      </c>
      <c r="E542" t="s">
        <v>359</v>
      </c>
      <c r="F542" t="s">
        <v>3321</v>
      </c>
      <c r="G542">
        <v>6598</v>
      </c>
      <c r="H542">
        <v>0.09</v>
      </c>
      <c r="I542">
        <v>2.4900000000000002</v>
      </c>
      <c r="J542">
        <v>3.65</v>
      </c>
      <c r="K542" t="s">
        <v>613</v>
      </c>
      <c r="L542">
        <v>1.51</v>
      </c>
      <c r="M542" t="s">
        <v>651</v>
      </c>
      <c r="N542" t="s">
        <v>4146</v>
      </c>
      <c r="O542" t="s">
        <v>4147</v>
      </c>
      <c r="P542" t="s">
        <v>4148</v>
      </c>
      <c r="Q542">
        <v>-5.58</v>
      </c>
      <c r="R542" t="s">
        <v>545</v>
      </c>
      <c r="S542">
        <v>0.69</v>
      </c>
      <c r="T542">
        <v>12.3</v>
      </c>
      <c r="U542" t="s">
        <v>3160</v>
      </c>
      <c r="V542" t="s">
        <v>389</v>
      </c>
      <c r="W542" t="s">
        <v>926</v>
      </c>
      <c r="X542">
        <v>3.65</v>
      </c>
      <c r="Y542" t="s">
        <v>1390</v>
      </c>
      <c r="Z542" t="s">
        <v>3356</v>
      </c>
      <c r="AA542" t="s">
        <v>326</v>
      </c>
      <c r="AB542">
        <v>2.4</v>
      </c>
      <c r="AC542" t="s">
        <v>50</v>
      </c>
      <c r="AD542">
        <v>42.02</v>
      </c>
      <c r="AE542" t="s">
        <v>381</v>
      </c>
      <c r="AF542">
        <v>0.72</v>
      </c>
      <c r="AG542">
        <v>0</v>
      </c>
      <c r="AH542">
        <v>0</v>
      </c>
      <c r="AI542" s="4">
        <v>39399</v>
      </c>
    </row>
    <row r="543" spans="1:35">
      <c r="A543">
        <v>542</v>
      </c>
      <c r="B543" t="str">
        <f>"603348"</f>
        <v>603348</v>
      </c>
      <c r="C543" t="s">
        <v>4149</v>
      </c>
      <c r="D543" s="4">
        <v>43190</v>
      </c>
      <c r="E543" t="s">
        <v>1004</v>
      </c>
      <c r="F543" t="s">
        <v>4150</v>
      </c>
      <c r="G543" t="s">
        <v>4151</v>
      </c>
      <c r="H543">
        <v>0.19</v>
      </c>
      <c r="I543">
        <v>8.89</v>
      </c>
      <c r="J543">
        <v>3.64</v>
      </c>
      <c r="K543" t="s">
        <v>330</v>
      </c>
      <c r="L543">
        <v>13.34</v>
      </c>
      <c r="M543" t="s">
        <v>4152</v>
      </c>
      <c r="N543">
        <v>0</v>
      </c>
      <c r="O543" t="s">
        <v>4153</v>
      </c>
      <c r="P543" t="s">
        <v>4154</v>
      </c>
      <c r="Q543">
        <v>23.31</v>
      </c>
      <c r="R543" t="s">
        <v>169</v>
      </c>
      <c r="S543">
        <v>2.2999999999999998</v>
      </c>
      <c r="T543">
        <v>29.12</v>
      </c>
      <c r="U543" t="s">
        <v>223</v>
      </c>
      <c r="V543" t="s">
        <v>1978</v>
      </c>
      <c r="W543" t="s">
        <v>1223</v>
      </c>
      <c r="X543">
        <v>3.64</v>
      </c>
      <c r="Y543" t="s">
        <v>300</v>
      </c>
      <c r="Z543" t="s">
        <v>2380</v>
      </c>
      <c r="AA543" t="s">
        <v>153</v>
      </c>
      <c r="AB543">
        <v>4.04</v>
      </c>
      <c r="AC543" t="s">
        <v>192</v>
      </c>
      <c r="AD543">
        <v>48.31</v>
      </c>
      <c r="AE543" t="s">
        <v>2685</v>
      </c>
      <c r="AF543">
        <v>5.5</v>
      </c>
      <c r="AG543">
        <v>0</v>
      </c>
      <c r="AH543">
        <v>0</v>
      </c>
      <c r="AI543" s="4">
        <v>43216</v>
      </c>
    </row>
    <row r="544" spans="1:35">
      <c r="A544">
        <v>543</v>
      </c>
      <c r="B544" t="str">
        <f>"601566"</f>
        <v>601566</v>
      </c>
      <c r="C544" t="s">
        <v>4155</v>
      </c>
      <c r="D544" s="4">
        <v>43190</v>
      </c>
      <c r="E544" t="s">
        <v>2450</v>
      </c>
      <c r="F544" t="s">
        <v>2450</v>
      </c>
      <c r="G544" t="s">
        <v>4156</v>
      </c>
      <c r="H544">
        <v>0.34</v>
      </c>
      <c r="I544">
        <v>8.1999999999999993</v>
      </c>
      <c r="J544">
        <v>3.64</v>
      </c>
      <c r="K544" t="s">
        <v>3632</v>
      </c>
      <c r="L544">
        <v>12.47</v>
      </c>
      <c r="M544" t="s">
        <v>2142</v>
      </c>
      <c r="N544" t="s">
        <v>4157</v>
      </c>
      <c r="O544" t="s">
        <v>219</v>
      </c>
      <c r="P544" t="s">
        <v>95</v>
      </c>
      <c r="Q544">
        <v>21.37</v>
      </c>
      <c r="R544" t="s">
        <v>699</v>
      </c>
      <c r="S544">
        <v>0.87</v>
      </c>
      <c r="T544">
        <v>58.23</v>
      </c>
      <c r="U544" t="s">
        <v>4158</v>
      </c>
      <c r="V544" t="s">
        <v>2523</v>
      </c>
      <c r="W544" t="s">
        <v>3376</v>
      </c>
      <c r="X544">
        <v>3.64</v>
      </c>
      <c r="Y544" t="s">
        <v>513</v>
      </c>
      <c r="Z544" t="s">
        <v>3716</v>
      </c>
      <c r="AA544" t="s">
        <v>696</v>
      </c>
      <c r="AB544">
        <v>1.76</v>
      </c>
      <c r="AC544" t="s">
        <v>4159</v>
      </c>
      <c r="AD544">
        <v>84.78</v>
      </c>
      <c r="AE544" t="s">
        <v>1504</v>
      </c>
      <c r="AF544">
        <v>4.4800000000000004</v>
      </c>
      <c r="AG544">
        <v>0</v>
      </c>
      <c r="AH544">
        <v>0</v>
      </c>
      <c r="AI544" s="4">
        <v>40693</v>
      </c>
    </row>
    <row r="545" spans="1:35">
      <c r="A545">
        <v>544</v>
      </c>
      <c r="B545" t="str">
        <f>"600648"</f>
        <v>600648</v>
      </c>
      <c r="C545" t="s">
        <v>4160</v>
      </c>
      <c r="D545" s="4">
        <v>43190</v>
      </c>
      <c r="E545" t="s">
        <v>354</v>
      </c>
      <c r="F545" t="s">
        <v>2134</v>
      </c>
      <c r="G545">
        <v>0</v>
      </c>
      <c r="H545">
        <v>0.32</v>
      </c>
      <c r="I545">
        <v>9.0399999999999991</v>
      </c>
      <c r="J545">
        <v>3.64</v>
      </c>
      <c r="K545" t="s">
        <v>243</v>
      </c>
      <c r="L545">
        <v>55.12</v>
      </c>
      <c r="M545" t="s">
        <v>647</v>
      </c>
      <c r="N545" t="s">
        <v>3460</v>
      </c>
      <c r="O545" t="s">
        <v>1731</v>
      </c>
      <c r="P545" t="s">
        <v>1461</v>
      </c>
      <c r="Q545">
        <v>297.49</v>
      </c>
      <c r="R545" t="s">
        <v>1170</v>
      </c>
      <c r="S545">
        <v>3.81</v>
      </c>
      <c r="T545">
        <v>37.799999999999997</v>
      </c>
      <c r="U545" t="s">
        <v>4161</v>
      </c>
      <c r="V545" t="s">
        <v>2016</v>
      </c>
      <c r="W545" t="s">
        <v>354</v>
      </c>
      <c r="X545">
        <v>3.64</v>
      </c>
      <c r="Y545" t="s">
        <v>1749</v>
      </c>
      <c r="Z545" t="s">
        <v>2654</v>
      </c>
      <c r="AA545" t="s">
        <v>4162</v>
      </c>
      <c r="AB545">
        <v>2</v>
      </c>
      <c r="AC545" t="s">
        <v>1820</v>
      </c>
      <c r="AD545">
        <v>32.74</v>
      </c>
      <c r="AE545" t="s">
        <v>1133</v>
      </c>
      <c r="AF545">
        <v>3.39</v>
      </c>
      <c r="AG545" t="s">
        <v>3768</v>
      </c>
      <c r="AH545">
        <v>0</v>
      </c>
      <c r="AI545" s="4">
        <v>34093</v>
      </c>
    </row>
    <row r="546" spans="1:35">
      <c r="A546">
        <v>545</v>
      </c>
      <c r="B546" t="str">
        <f>"600115"</f>
        <v>600115</v>
      </c>
      <c r="C546" t="s">
        <v>4163</v>
      </c>
      <c r="D546" s="4">
        <v>43190</v>
      </c>
      <c r="E546" t="s">
        <v>1222</v>
      </c>
      <c r="F546" t="s">
        <v>4164</v>
      </c>
      <c r="G546">
        <v>0</v>
      </c>
      <c r="H546">
        <v>0.14000000000000001</v>
      </c>
      <c r="I546">
        <v>3.83</v>
      </c>
      <c r="J546">
        <v>3.64</v>
      </c>
      <c r="K546" t="s">
        <v>2707</v>
      </c>
      <c r="L546">
        <v>9.0399999999999991</v>
      </c>
      <c r="M546" t="s">
        <v>1504</v>
      </c>
      <c r="N546" t="s">
        <v>564</v>
      </c>
      <c r="O546" t="s">
        <v>450</v>
      </c>
      <c r="P546" t="s">
        <v>691</v>
      </c>
      <c r="Q546">
        <v>-29.63</v>
      </c>
      <c r="R546" t="s">
        <v>1146</v>
      </c>
      <c r="S546">
        <v>1.1200000000000001</v>
      </c>
      <c r="T546">
        <v>11.92</v>
      </c>
      <c r="U546" t="s">
        <v>4165</v>
      </c>
      <c r="V546" t="s">
        <v>1146</v>
      </c>
      <c r="W546" t="s">
        <v>1536</v>
      </c>
      <c r="X546">
        <v>3.64</v>
      </c>
      <c r="Y546" t="s">
        <v>4166</v>
      </c>
      <c r="Z546" t="s">
        <v>1336</v>
      </c>
      <c r="AA546" t="s">
        <v>4167</v>
      </c>
      <c r="AB546">
        <v>2.14</v>
      </c>
      <c r="AC546" t="s">
        <v>4168</v>
      </c>
      <c r="AD546">
        <v>24.35</v>
      </c>
      <c r="AE546" t="s">
        <v>2707</v>
      </c>
      <c r="AF546">
        <v>1.85</v>
      </c>
      <c r="AG546">
        <v>0</v>
      </c>
      <c r="AH546" t="s">
        <v>1231</v>
      </c>
      <c r="AI546" s="4">
        <v>35739</v>
      </c>
    </row>
    <row r="547" spans="1:35">
      <c r="A547">
        <v>546</v>
      </c>
      <c r="B547" t="str">
        <f>"002402"</f>
        <v>002402</v>
      </c>
      <c r="C547" t="s">
        <v>4169</v>
      </c>
      <c r="D547" s="4">
        <v>43190</v>
      </c>
      <c r="E547" t="s">
        <v>297</v>
      </c>
      <c r="F547" t="s">
        <v>615</v>
      </c>
      <c r="G547" t="s">
        <v>2258</v>
      </c>
      <c r="H547">
        <v>0.06</v>
      </c>
      <c r="I547">
        <v>1.7</v>
      </c>
      <c r="J547">
        <v>3.64</v>
      </c>
      <c r="K547" t="s">
        <v>318</v>
      </c>
      <c r="L547">
        <v>36.01</v>
      </c>
      <c r="M547" t="s">
        <v>4170</v>
      </c>
      <c r="N547">
        <v>-5553</v>
      </c>
      <c r="O547" t="s">
        <v>4171</v>
      </c>
      <c r="P547" t="s">
        <v>4172</v>
      </c>
      <c r="Q547">
        <v>32.57</v>
      </c>
      <c r="R547" t="s">
        <v>2468</v>
      </c>
      <c r="S547">
        <v>0.44</v>
      </c>
      <c r="T547">
        <v>20.2</v>
      </c>
      <c r="U547" t="s">
        <v>243</v>
      </c>
      <c r="V547" t="s">
        <v>747</v>
      </c>
      <c r="W547" t="s">
        <v>1180</v>
      </c>
      <c r="X547">
        <v>3.64</v>
      </c>
      <c r="Y547" t="s">
        <v>1173</v>
      </c>
      <c r="Z547" t="s">
        <v>1173</v>
      </c>
      <c r="AA547" t="s">
        <v>4173</v>
      </c>
      <c r="AB547">
        <v>4.66</v>
      </c>
      <c r="AC547" t="s">
        <v>971</v>
      </c>
      <c r="AD547">
        <v>61.12</v>
      </c>
      <c r="AE547" t="s">
        <v>4174</v>
      </c>
      <c r="AF547">
        <v>0.19</v>
      </c>
      <c r="AG547">
        <v>0</v>
      </c>
      <c r="AH547">
        <v>0</v>
      </c>
      <c r="AI547" s="4">
        <v>40309</v>
      </c>
    </row>
    <row r="548" spans="1:35">
      <c r="A548">
        <v>547</v>
      </c>
      <c r="B548" t="str">
        <f>"000639"</f>
        <v>000639</v>
      </c>
      <c r="C548" t="s">
        <v>4175</v>
      </c>
      <c r="D548" s="4">
        <v>43190</v>
      </c>
      <c r="E548" t="s">
        <v>4176</v>
      </c>
      <c r="F548" t="s">
        <v>156</v>
      </c>
      <c r="G548" t="s">
        <v>168</v>
      </c>
      <c r="H548">
        <v>0.15</v>
      </c>
      <c r="I548">
        <v>7.21</v>
      </c>
      <c r="J548">
        <v>3.64</v>
      </c>
      <c r="K548" t="s">
        <v>350</v>
      </c>
      <c r="L548">
        <v>-8.77</v>
      </c>
      <c r="M548" t="s">
        <v>1627</v>
      </c>
      <c r="N548" t="s">
        <v>4177</v>
      </c>
      <c r="O548" t="s">
        <v>1627</v>
      </c>
      <c r="P548" t="s">
        <v>4178</v>
      </c>
      <c r="Q548">
        <v>10.7</v>
      </c>
      <c r="R548" t="s">
        <v>699</v>
      </c>
      <c r="S548">
        <v>1.97</v>
      </c>
      <c r="T548">
        <v>37.57</v>
      </c>
      <c r="U548" t="s">
        <v>4179</v>
      </c>
      <c r="V548" t="s">
        <v>402</v>
      </c>
      <c r="W548" t="s">
        <v>1787</v>
      </c>
      <c r="X548">
        <v>3.64</v>
      </c>
      <c r="Y548" t="s">
        <v>2301</v>
      </c>
      <c r="Z548" t="s">
        <v>1025</v>
      </c>
      <c r="AA548" t="s">
        <v>260</v>
      </c>
      <c r="AB548">
        <v>1.67</v>
      </c>
      <c r="AC548" t="s">
        <v>2301</v>
      </c>
      <c r="AD548">
        <v>46.92</v>
      </c>
      <c r="AE548" t="s">
        <v>1029</v>
      </c>
      <c r="AF548">
        <v>4.2</v>
      </c>
      <c r="AG548">
        <v>0</v>
      </c>
      <c r="AH548">
        <v>0</v>
      </c>
      <c r="AI548" s="4">
        <v>35395</v>
      </c>
    </row>
    <row r="549" spans="1:35">
      <c r="A549">
        <v>548</v>
      </c>
      <c r="B549" t="str">
        <f>"600674"</f>
        <v>600674</v>
      </c>
      <c r="C549" t="s">
        <v>4180</v>
      </c>
      <c r="D549" s="4">
        <v>43190</v>
      </c>
      <c r="E549" t="s">
        <v>773</v>
      </c>
      <c r="F549" t="s">
        <v>773</v>
      </c>
      <c r="G549" t="s">
        <v>4181</v>
      </c>
      <c r="H549">
        <v>0.19</v>
      </c>
      <c r="I549">
        <v>5.29</v>
      </c>
      <c r="J549">
        <v>3.63</v>
      </c>
      <c r="K549" t="s">
        <v>696</v>
      </c>
      <c r="L549">
        <v>2.13</v>
      </c>
      <c r="M549" t="s">
        <v>519</v>
      </c>
      <c r="N549" t="s">
        <v>2428</v>
      </c>
      <c r="O549" t="s">
        <v>2235</v>
      </c>
      <c r="P549" t="s">
        <v>3312</v>
      </c>
      <c r="Q549">
        <v>2.9</v>
      </c>
      <c r="R549" t="s">
        <v>525</v>
      </c>
      <c r="S549">
        <v>2.38</v>
      </c>
      <c r="T549">
        <v>65.83</v>
      </c>
      <c r="U549" t="s">
        <v>1983</v>
      </c>
      <c r="V549" t="s">
        <v>576</v>
      </c>
      <c r="W549" t="s">
        <v>249</v>
      </c>
      <c r="X549">
        <v>3.63</v>
      </c>
      <c r="Y549" t="s">
        <v>4182</v>
      </c>
      <c r="Z549" t="s">
        <v>1410</v>
      </c>
      <c r="AA549" t="s">
        <v>1308</v>
      </c>
      <c r="AB549">
        <v>1.71</v>
      </c>
      <c r="AC549" t="s">
        <v>2863</v>
      </c>
      <c r="AD549">
        <v>74.319999999999993</v>
      </c>
      <c r="AE549" t="s">
        <v>1545</v>
      </c>
      <c r="AF549">
        <v>0.92</v>
      </c>
      <c r="AG549">
        <v>0</v>
      </c>
      <c r="AH549">
        <v>0</v>
      </c>
      <c r="AI549" s="4">
        <v>34236</v>
      </c>
    </row>
    <row r="550" spans="1:35">
      <c r="A550">
        <v>549</v>
      </c>
      <c r="B550" t="str">
        <f>"600373"</f>
        <v>600373</v>
      </c>
      <c r="C550" t="s">
        <v>4183</v>
      </c>
      <c r="D550" s="4">
        <v>43190</v>
      </c>
      <c r="E550" t="s">
        <v>176</v>
      </c>
      <c r="F550" t="s">
        <v>176</v>
      </c>
      <c r="G550" t="s">
        <v>240</v>
      </c>
      <c r="H550">
        <v>0.33</v>
      </c>
      <c r="I550">
        <v>8.7799999999999994</v>
      </c>
      <c r="J550">
        <v>3.63</v>
      </c>
      <c r="K550" t="s">
        <v>685</v>
      </c>
      <c r="L550">
        <v>-2.4</v>
      </c>
      <c r="M550" t="s">
        <v>735</v>
      </c>
      <c r="N550" t="s">
        <v>4184</v>
      </c>
      <c r="O550" t="s">
        <v>1695</v>
      </c>
      <c r="P550" t="s">
        <v>4185</v>
      </c>
      <c r="Q550">
        <v>-4.75</v>
      </c>
      <c r="R550" t="s">
        <v>4186</v>
      </c>
      <c r="S550">
        <v>3.74</v>
      </c>
      <c r="T550">
        <v>41.78</v>
      </c>
      <c r="U550" t="s">
        <v>2616</v>
      </c>
      <c r="V550" t="s">
        <v>2654</v>
      </c>
      <c r="W550" t="s">
        <v>1214</v>
      </c>
      <c r="X550">
        <v>3.63</v>
      </c>
      <c r="Y550" t="s">
        <v>4187</v>
      </c>
      <c r="Z550" t="s">
        <v>4188</v>
      </c>
      <c r="AA550" t="s">
        <v>919</v>
      </c>
      <c r="AB550">
        <v>1.47</v>
      </c>
      <c r="AC550" t="s">
        <v>932</v>
      </c>
      <c r="AD550">
        <v>57.11</v>
      </c>
      <c r="AE550" t="s">
        <v>1776</v>
      </c>
      <c r="AF550">
        <v>3.95</v>
      </c>
      <c r="AG550">
        <v>0</v>
      </c>
      <c r="AH550">
        <v>0</v>
      </c>
      <c r="AI550" s="4">
        <v>37319</v>
      </c>
    </row>
    <row r="551" spans="1:35">
      <c r="A551">
        <v>550</v>
      </c>
      <c r="B551" t="str">
        <f>"300681"</f>
        <v>300681</v>
      </c>
      <c r="C551" t="s">
        <v>4189</v>
      </c>
      <c r="D551" s="4">
        <v>43190</v>
      </c>
      <c r="E551" t="s">
        <v>4190</v>
      </c>
      <c r="F551" t="s">
        <v>4191</v>
      </c>
      <c r="G551">
        <v>2473</v>
      </c>
      <c r="H551">
        <v>0.31</v>
      </c>
      <c r="I551">
        <v>8.2200000000000006</v>
      </c>
      <c r="J551">
        <v>3.63</v>
      </c>
      <c r="K551" t="s">
        <v>2034</v>
      </c>
      <c r="L551">
        <v>36.83</v>
      </c>
      <c r="M551" t="s">
        <v>4192</v>
      </c>
      <c r="N551">
        <v>0</v>
      </c>
      <c r="O551" t="s">
        <v>4193</v>
      </c>
      <c r="P551" t="s">
        <v>3999</v>
      </c>
      <c r="Q551">
        <v>4.62</v>
      </c>
      <c r="R551" t="s">
        <v>1970</v>
      </c>
      <c r="S551">
        <v>2.12</v>
      </c>
      <c r="T551">
        <v>26.59</v>
      </c>
      <c r="U551" t="s">
        <v>4194</v>
      </c>
      <c r="V551" t="s">
        <v>190</v>
      </c>
      <c r="W551" t="s">
        <v>610</v>
      </c>
      <c r="X551">
        <v>3.63</v>
      </c>
      <c r="Y551" t="s">
        <v>454</v>
      </c>
      <c r="Z551" t="s">
        <v>920</v>
      </c>
      <c r="AA551" t="s">
        <v>4195</v>
      </c>
      <c r="AB551">
        <v>6.83</v>
      </c>
      <c r="AC551" t="s">
        <v>43</v>
      </c>
      <c r="AD551">
        <v>75.69</v>
      </c>
      <c r="AE551" t="s">
        <v>265</v>
      </c>
      <c r="AF551">
        <v>4.7699999999999996</v>
      </c>
      <c r="AG551">
        <v>0</v>
      </c>
      <c r="AH551">
        <v>0</v>
      </c>
      <c r="AI551" s="4">
        <v>42941</v>
      </c>
    </row>
    <row r="552" spans="1:35">
      <c r="A552">
        <v>551</v>
      </c>
      <c r="B552" t="str">
        <f>"002916"</f>
        <v>002916</v>
      </c>
      <c r="C552" t="s">
        <v>4196</v>
      </c>
      <c r="D552" s="4">
        <v>43190</v>
      </c>
      <c r="E552" t="s">
        <v>1664</v>
      </c>
      <c r="F552" t="s">
        <v>564</v>
      </c>
      <c r="G552">
        <v>1348</v>
      </c>
      <c r="H552">
        <v>0.42</v>
      </c>
      <c r="I552">
        <v>11.22</v>
      </c>
      <c r="J552">
        <v>3.63</v>
      </c>
      <c r="K552" t="s">
        <v>141</v>
      </c>
      <c r="L552">
        <v>14.76</v>
      </c>
      <c r="M552" t="s">
        <v>1370</v>
      </c>
      <c r="N552">
        <v>0</v>
      </c>
      <c r="O552" t="s">
        <v>1370</v>
      </c>
      <c r="P552" t="s">
        <v>642</v>
      </c>
      <c r="Q552">
        <v>15.13</v>
      </c>
      <c r="R552" t="s">
        <v>3925</v>
      </c>
      <c r="S552">
        <v>2.29</v>
      </c>
      <c r="T552">
        <v>24.83</v>
      </c>
      <c r="U552" t="s">
        <v>3147</v>
      </c>
      <c r="V552" t="s">
        <v>2871</v>
      </c>
      <c r="W552" t="s">
        <v>1881</v>
      </c>
      <c r="X552">
        <v>3.63</v>
      </c>
      <c r="Y552" t="s">
        <v>1742</v>
      </c>
      <c r="Z552" t="s">
        <v>1504</v>
      </c>
      <c r="AA552" t="s">
        <v>162</v>
      </c>
      <c r="AB552">
        <v>5.39</v>
      </c>
      <c r="AC552" t="s">
        <v>818</v>
      </c>
      <c r="AD552">
        <v>45</v>
      </c>
      <c r="AE552" t="s">
        <v>1693</v>
      </c>
      <c r="AF552">
        <v>7.58</v>
      </c>
      <c r="AG552">
        <v>0</v>
      </c>
      <c r="AH552">
        <v>0</v>
      </c>
      <c r="AI552" s="4">
        <v>43082</v>
      </c>
    </row>
    <row r="553" spans="1:35">
      <c r="A553">
        <v>552</v>
      </c>
      <c r="B553" t="str">
        <f>"300308"</f>
        <v>300308</v>
      </c>
      <c r="C553" t="s">
        <v>4197</v>
      </c>
      <c r="D553" s="4">
        <v>43190</v>
      </c>
      <c r="E553" t="s">
        <v>364</v>
      </c>
      <c r="F553" t="s">
        <v>1364</v>
      </c>
      <c r="G553" t="s">
        <v>3746</v>
      </c>
      <c r="H553">
        <v>0.31</v>
      </c>
      <c r="I553">
        <v>8.81</v>
      </c>
      <c r="J553">
        <v>3.62</v>
      </c>
      <c r="K553" t="s">
        <v>538</v>
      </c>
      <c r="L553">
        <v>9502.74</v>
      </c>
      <c r="M553" t="s">
        <v>505</v>
      </c>
      <c r="N553" t="s">
        <v>2724</v>
      </c>
      <c r="O553" t="s">
        <v>337</v>
      </c>
      <c r="P553" t="s">
        <v>3111</v>
      </c>
      <c r="Q553">
        <v>3472.49</v>
      </c>
      <c r="R553" t="s">
        <v>150</v>
      </c>
      <c r="S553">
        <v>0.84</v>
      </c>
      <c r="T553">
        <v>24.29</v>
      </c>
      <c r="U553" t="s">
        <v>3326</v>
      </c>
      <c r="V553" t="s">
        <v>1031</v>
      </c>
      <c r="W553" t="s">
        <v>625</v>
      </c>
      <c r="X553">
        <v>3.62</v>
      </c>
      <c r="Y553" t="s">
        <v>457</v>
      </c>
      <c r="Z553" t="s">
        <v>1039</v>
      </c>
      <c r="AA553" t="s">
        <v>602</v>
      </c>
      <c r="AB553">
        <v>6.87</v>
      </c>
      <c r="AC553" t="s">
        <v>1583</v>
      </c>
      <c r="AD553">
        <v>54.89</v>
      </c>
      <c r="AE553" t="s">
        <v>1224</v>
      </c>
      <c r="AF553">
        <v>7.55</v>
      </c>
      <c r="AG553">
        <v>0</v>
      </c>
      <c r="AH553">
        <v>0</v>
      </c>
      <c r="AI553" s="4">
        <v>41009</v>
      </c>
    </row>
    <row r="554" spans="1:35">
      <c r="A554">
        <v>553</v>
      </c>
      <c r="B554" t="str">
        <f>"603306"</f>
        <v>603306</v>
      </c>
      <c r="C554" t="s">
        <v>4198</v>
      </c>
      <c r="D554" s="4">
        <v>43190</v>
      </c>
      <c r="E554" t="s">
        <v>3297</v>
      </c>
      <c r="F554" t="s">
        <v>91</v>
      </c>
      <c r="G554" t="s">
        <v>853</v>
      </c>
      <c r="H554">
        <v>0.26</v>
      </c>
      <c r="I554">
        <v>6.86</v>
      </c>
      <c r="J554">
        <v>3.61</v>
      </c>
      <c r="K554" t="s">
        <v>2387</v>
      </c>
      <c r="L554">
        <v>10.64</v>
      </c>
      <c r="M554" t="s">
        <v>4199</v>
      </c>
      <c r="N554" t="s">
        <v>921</v>
      </c>
      <c r="O554" t="s">
        <v>4200</v>
      </c>
      <c r="P554" t="s">
        <v>4201</v>
      </c>
      <c r="Q554">
        <v>9.11</v>
      </c>
      <c r="R554" t="s">
        <v>3157</v>
      </c>
      <c r="S554">
        <v>2.23</v>
      </c>
      <c r="T554">
        <v>41.68</v>
      </c>
      <c r="U554" t="s">
        <v>1213</v>
      </c>
      <c r="V554" t="s">
        <v>1455</v>
      </c>
      <c r="W554" t="s">
        <v>2112</v>
      </c>
      <c r="X554">
        <v>3.61</v>
      </c>
      <c r="Y554" t="s">
        <v>1077</v>
      </c>
      <c r="Z554" t="s">
        <v>319</v>
      </c>
      <c r="AA554" t="s">
        <v>4202</v>
      </c>
      <c r="AB554">
        <v>2.38</v>
      </c>
      <c r="AC554" t="s">
        <v>728</v>
      </c>
      <c r="AD554">
        <v>92.39</v>
      </c>
      <c r="AE554" t="s">
        <v>1223</v>
      </c>
      <c r="AF554">
        <v>3.32</v>
      </c>
      <c r="AG554">
        <v>0</v>
      </c>
      <c r="AH554">
        <v>0</v>
      </c>
      <c r="AI554" s="4">
        <v>41908</v>
      </c>
    </row>
    <row r="555" spans="1:35">
      <c r="A555">
        <v>554</v>
      </c>
      <c r="B555" t="str">
        <f>"601169"</f>
        <v>601169</v>
      </c>
      <c r="C555" t="s">
        <v>4203</v>
      </c>
      <c r="D555" s="4">
        <v>43190</v>
      </c>
      <c r="E555" t="s">
        <v>2179</v>
      </c>
      <c r="F555" t="s">
        <v>1750</v>
      </c>
      <c r="G555" t="s">
        <v>4204</v>
      </c>
      <c r="H555">
        <v>0.27</v>
      </c>
      <c r="I555">
        <v>7.74</v>
      </c>
      <c r="J555">
        <v>3.61</v>
      </c>
      <c r="K555" t="s">
        <v>246</v>
      </c>
      <c r="L555">
        <v>0.81</v>
      </c>
      <c r="M555" t="s">
        <v>4205</v>
      </c>
      <c r="N555" t="s">
        <v>86</v>
      </c>
      <c r="O555" t="s">
        <v>2237</v>
      </c>
      <c r="P555" t="s">
        <v>832</v>
      </c>
      <c r="Q555">
        <v>6.24</v>
      </c>
      <c r="R555" t="s">
        <v>4206</v>
      </c>
      <c r="S555">
        <v>2.74</v>
      </c>
      <c r="T555">
        <v>0</v>
      </c>
      <c r="U555" t="s">
        <v>4207</v>
      </c>
      <c r="V555">
        <v>0</v>
      </c>
      <c r="W555" t="s">
        <v>1089</v>
      </c>
      <c r="X555">
        <v>3.61</v>
      </c>
      <c r="Y555" t="s">
        <v>4208</v>
      </c>
      <c r="Z555">
        <v>0</v>
      </c>
      <c r="AA555">
        <v>0</v>
      </c>
      <c r="AB555">
        <v>0.78</v>
      </c>
      <c r="AC555" t="s">
        <v>4209</v>
      </c>
      <c r="AD555">
        <v>7.59</v>
      </c>
      <c r="AE555" t="s">
        <v>1554</v>
      </c>
      <c r="AF555">
        <v>2.08</v>
      </c>
      <c r="AG555">
        <v>0</v>
      </c>
      <c r="AH555">
        <v>0</v>
      </c>
      <c r="AI555" s="4">
        <v>39344</v>
      </c>
    </row>
    <row r="556" spans="1:35">
      <c r="A556">
        <v>555</v>
      </c>
      <c r="B556" t="str">
        <f>"300438"</f>
        <v>300438</v>
      </c>
      <c r="C556" t="s">
        <v>4210</v>
      </c>
      <c r="D556" s="4">
        <v>43190</v>
      </c>
      <c r="E556" t="s">
        <v>1609</v>
      </c>
      <c r="F556" t="s">
        <v>3768</v>
      </c>
      <c r="G556">
        <v>7500</v>
      </c>
      <c r="H556">
        <v>0.26</v>
      </c>
      <c r="I556">
        <v>7.34</v>
      </c>
      <c r="J556">
        <v>3.61</v>
      </c>
      <c r="K556" t="s">
        <v>1934</v>
      </c>
      <c r="L556">
        <v>32.93</v>
      </c>
      <c r="M556" t="s">
        <v>4211</v>
      </c>
      <c r="N556" t="s">
        <v>4212</v>
      </c>
      <c r="O556" t="s">
        <v>374</v>
      </c>
      <c r="P556" t="s">
        <v>4213</v>
      </c>
      <c r="Q556">
        <v>143.59</v>
      </c>
      <c r="R556" t="s">
        <v>489</v>
      </c>
      <c r="S556">
        <v>2.4900000000000002</v>
      </c>
      <c r="T556">
        <v>22.26</v>
      </c>
      <c r="U556" t="s">
        <v>447</v>
      </c>
      <c r="V556" t="s">
        <v>1313</v>
      </c>
      <c r="W556" t="s">
        <v>2853</v>
      </c>
      <c r="X556">
        <v>3.61</v>
      </c>
      <c r="Y556" t="s">
        <v>510</v>
      </c>
      <c r="Z556" t="s">
        <v>1126</v>
      </c>
      <c r="AA556" t="s">
        <v>4214</v>
      </c>
      <c r="AB556">
        <v>2.6</v>
      </c>
      <c r="AC556" t="s">
        <v>251</v>
      </c>
      <c r="AD556">
        <v>52.76</v>
      </c>
      <c r="AE556" t="s">
        <v>1223</v>
      </c>
      <c r="AF556">
        <v>3.88</v>
      </c>
      <c r="AG556">
        <v>0</v>
      </c>
      <c r="AH556">
        <v>0</v>
      </c>
      <c r="AI556" s="4">
        <v>42118</v>
      </c>
    </row>
    <row r="557" spans="1:35">
      <c r="A557">
        <v>556</v>
      </c>
      <c r="B557" t="str">
        <f>"002582"</f>
        <v>002582</v>
      </c>
      <c r="C557" t="s">
        <v>4215</v>
      </c>
      <c r="D557" s="4">
        <v>43190</v>
      </c>
      <c r="E557" t="s">
        <v>1731</v>
      </c>
      <c r="F557" t="s">
        <v>916</v>
      </c>
      <c r="G557" t="s">
        <v>4216</v>
      </c>
      <c r="H557">
        <v>0.23</v>
      </c>
      <c r="I557">
        <v>6.51</v>
      </c>
      <c r="J557">
        <v>3.61</v>
      </c>
      <c r="K557" t="s">
        <v>303</v>
      </c>
      <c r="L557">
        <v>37.71</v>
      </c>
      <c r="M557" t="s">
        <v>2424</v>
      </c>
      <c r="N557" t="s">
        <v>4217</v>
      </c>
      <c r="O557" t="s">
        <v>2424</v>
      </c>
      <c r="P557" t="s">
        <v>280</v>
      </c>
      <c r="Q557">
        <v>102.04</v>
      </c>
      <c r="R557" t="s">
        <v>872</v>
      </c>
      <c r="S557">
        <v>1.04</v>
      </c>
      <c r="T557">
        <v>30.23</v>
      </c>
      <c r="U557" t="s">
        <v>4218</v>
      </c>
      <c r="V557" t="s">
        <v>981</v>
      </c>
      <c r="W557" t="s">
        <v>973</v>
      </c>
      <c r="X557">
        <v>3.61</v>
      </c>
      <c r="Y557" t="s">
        <v>775</v>
      </c>
      <c r="Z557" t="s">
        <v>1307</v>
      </c>
      <c r="AA557" t="s">
        <v>4044</v>
      </c>
      <c r="AB557">
        <v>1.77</v>
      </c>
      <c r="AC557" t="s">
        <v>884</v>
      </c>
      <c r="AD557">
        <v>65.8</v>
      </c>
      <c r="AE557" t="s">
        <v>261</v>
      </c>
      <c r="AF557">
        <v>4.32</v>
      </c>
      <c r="AG557">
        <v>0</v>
      </c>
      <c r="AH557">
        <v>0</v>
      </c>
      <c r="AI557" s="4">
        <v>40683</v>
      </c>
    </row>
    <row r="558" spans="1:35">
      <c r="A558">
        <v>557</v>
      </c>
      <c r="B558" t="str">
        <f>"603555"</f>
        <v>603555</v>
      </c>
      <c r="C558" t="s">
        <v>4219</v>
      </c>
      <c r="D558" s="4">
        <v>43190</v>
      </c>
      <c r="E558" t="s">
        <v>1941</v>
      </c>
      <c r="F558" t="s">
        <v>1941</v>
      </c>
      <c r="G558" t="s">
        <v>4220</v>
      </c>
      <c r="H558">
        <v>0.14000000000000001</v>
      </c>
      <c r="I558">
        <v>3.84</v>
      </c>
      <c r="J558">
        <v>3.6</v>
      </c>
      <c r="K558" t="s">
        <v>1561</v>
      </c>
      <c r="L558">
        <v>8.48</v>
      </c>
      <c r="M558" t="s">
        <v>802</v>
      </c>
      <c r="N558" t="s">
        <v>4221</v>
      </c>
      <c r="O558" t="s">
        <v>802</v>
      </c>
      <c r="P558" t="s">
        <v>4222</v>
      </c>
      <c r="Q558">
        <v>2.2000000000000002</v>
      </c>
      <c r="R558" t="s">
        <v>359</v>
      </c>
      <c r="S558">
        <v>1.03</v>
      </c>
      <c r="T558">
        <v>36.44</v>
      </c>
      <c r="U558" t="s">
        <v>3824</v>
      </c>
      <c r="V558" t="s">
        <v>2348</v>
      </c>
      <c r="W558" t="s">
        <v>2984</v>
      </c>
      <c r="X558">
        <v>3.6</v>
      </c>
      <c r="Y558" t="s">
        <v>2736</v>
      </c>
      <c r="Z558" t="s">
        <v>940</v>
      </c>
      <c r="AA558" t="s">
        <v>624</v>
      </c>
      <c r="AB558">
        <v>5.17</v>
      </c>
      <c r="AC558" t="s">
        <v>1213</v>
      </c>
      <c r="AD558">
        <v>31.18</v>
      </c>
      <c r="AE558" t="s">
        <v>2073</v>
      </c>
      <c r="AF558">
        <v>1.46</v>
      </c>
      <c r="AG558">
        <v>0</v>
      </c>
      <c r="AH558">
        <v>0</v>
      </c>
      <c r="AI558" s="4">
        <v>41663</v>
      </c>
    </row>
    <row r="559" spans="1:35">
      <c r="A559">
        <v>558</v>
      </c>
      <c r="B559" t="str">
        <f>"600491"</f>
        <v>600491</v>
      </c>
      <c r="C559" t="s">
        <v>4223</v>
      </c>
      <c r="D559" s="4">
        <v>43190</v>
      </c>
      <c r="E559" t="s">
        <v>391</v>
      </c>
      <c r="F559" t="s">
        <v>4224</v>
      </c>
      <c r="G559" t="s">
        <v>4225</v>
      </c>
      <c r="H559">
        <v>0.14000000000000001</v>
      </c>
      <c r="I559">
        <v>5.86</v>
      </c>
      <c r="J559">
        <v>3.6</v>
      </c>
      <c r="K559" t="s">
        <v>2167</v>
      </c>
      <c r="L559">
        <v>36.11</v>
      </c>
      <c r="M559" t="s">
        <v>120</v>
      </c>
      <c r="N559" t="s">
        <v>4226</v>
      </c>
      <c r="O559" t="s">
        <v>1621</v>
      </c>
      <c r="P559" t="s">
        <v>1287</v>
      </c>
      <c r="Q559">
        <v>80.91</v>
      </c>
      <c r="R559" t="s">
        <v>1308</v>
      </c>
      <c r="S559">
        <v>1.74</v>
      </c>
      <c r="T559">
        <v>9.64</v>
      </c>
      <c r="U559" t="s">
        <v>2717</v>
      </c>
      <c r="V559" t="s">
        <v>3463</v>
      </c>
      <c r="W559" t="s">
        <v>1166</v>
      </c>
      <c r="X559">
        <v>3.6</v>
      </c>
      <c r="Y559" t="s">
        <v>4227</v>
      </c>
      <c r="Z559" t="s">
        <v>1653</v>
      </c>
      <c r="AA559" t="s">
        <v>1701</v>
      </c>
      <c r="AB559">
        <v>1.1399999999999999</v>
      </c>
      <c r="AC559" t="s">
        <v>4228</v>
      </c>
      <c r="AD559">
        <v>15.89</v>
      </c>
      <c r="AE559" t="s">
        <v>141</v>
      </c>
      <c r="AF559">
        <v>2.82</v>
      </c>
      <c r="AG559">
        <v>0</v>
      </c>
      <c r="AH559">
        <v>0</v>
      </c>
      <c r="AI559" s="4">
        <v>38131</v>
      </c>
    </row>
    <row r="560" spans="1:35">
      <c r="A560">
        <v>559</v>
      </c>
      <c r="B560" t="str">
        <f>"300740"</f>
        <v>300740</v>
      </c>
      <c r="C560" t="s">
        <v>4229</v>
      </c>
      <c r="D560" s="4">
        <v>43190</v>
      </c>
      <c r="E560" t="s">
        <v>1511</v>
      </c>
      <c r="F560" t="s">
        <v>4230</v>
      </c>
      <c r="G560">
        <v>1463</v>
      </c>
      <c r="H560">
        <v>0.11</v>
      </c>
      <c r="I560">
        <v>4.74</v>
      </c>
      <c r="J560">
        <v>3.6</v>
      </c>
      <c r="K560" t="s">
        <v>375</v>
      </c>
      <c r="L560">
        <v>42.14</v>
      </c>
      <c r="M560" t="s">
        <v>4231</v>
      </c>
      <c r="N560" t="s">
        <v>4232</v>
      </c>
      <c r="O560" t="s">
        <v>4231</v>
      </c>
      <c r="P560" t="s">
        <v>4233</v>
      </c>
      <c r="Q560">
        <v>19.809999999999999</v>
      </c>
      <c r="R560" t="s">
        <v>1320</v>
      </c>
      <c r="S560">
        <v>0.95</v>
      </c>
      <c r="T560">
        <v>55.21</v>
      </c>
      <c r="U560" t="s">
        <v>76</v>
      </c>
      <c r="V560" t="s">
        <v>855</v>
      </c>
      <c r="W560" t="s">
        <v>198</v>
      </c>
      <c r="X560">
        <v>3.6</v>
      </c>
      <c r="Y560" t="s">
        <v>2102</v>
      </c>
      <c r="Z560" t="s">
        <v>668</v>
      </c>
      <c r="AA560" t="s">
        <v>4234</v>
      </c>
      <c r="AB560">
        <v>6.31</v>
      </c>
      <c r="AC560" t="s">
        <v>1214</v>
      </c>
      <c r="AD560">
        <v>82.59</v>
      </c>
      <c r="AE560" t="s">
        <v>102</v>
      </c>
      <c r="AF560">
        <v>2.76</v>
      </c>
      <c r="AG560">
        <v>0</v>
      </c>
      <c r="AH560">
        <v>0</v>
      </c>
      <c r="AI560" s="4">
        <v>43139</v>
      </c>
    </row>
    <row r="561" spans="1:35">
      <c r="A561">
        <v>560</v>
      </c>
      <c r="B561" t="str">
        <f>"002245"</f>
        <v>002245</v>
      </c>
      <c r="C561" t="s">
        <v>4235</v>
      </c>
      <c r="D561" s="4">
        <v>43190</v>
      </c>
      <c r="E561" t="s">
        <v>4236</v>
      </c>
      <c r="F561" t="s">
        <v>1198</v>
      </c>
      <c r="G561" t="s">
        <v>268</v>
      </c>
      <c r="H561">
        <v>0.09</v>
      </c>
      <c r="I561">
        <v>2.4900000000000002</v>
      </c>
      <c r="J561">
        <v>3.59</v>
      </c>
      <c r="K561" t="s">
        <v>1946</v>
      </c>
      <c r="L561">
        <v>39.11</v>
      </c>
      <c r="M561" t="s">
        <v>1203</v>
      </c>
      <c r="N561" t="s">
        <v>4237</v>
      </c>
      <c r="O561" t="s">
        <v>1203</v>
      </c>
      <c r="P561" t="s">
        <v>4238</v>
      </c>
      <c r="Q561">
        <v>40.700000000000003</v>
      </c>
      <c r="R561" t="s">
        <v>521</v>
      </c>
      <c r="S561">
        <v>1.07</v>
      </c>
      <c r="T561">
        <v>23.83</v>
      </c>
      <c r="U561" t="s">
        <v>4239</v>
      </c>
      <c r="V561" t="s">
        <v>2833</v>
      </c>
      <c r="W561" t="s">
        <v>1284</v>
      </c>
      <c r="X561">
        <v>3.59</v>
      </c>
      <c r="Y561" t="s">
        <v>313</v>
      </c>
      <c r="Z561" t="s">
        <v>1449</v>
      </c>
      <c r="AA561" t="s">
        <v>906</v>
      </c>
      <c r="AB561">
        <v>2.54</v>
      </c>
      <c r="AC561" t="s">
        <v>2280</v>
      </c>
      <c r="AD561">
        <v>36.69</v>
      </c>
      <c r="AE561" t="s">
        <v>143</v>
      </c>
      <c r="AF561">
        <v>0.35</v>
      </c>
      <c r="AG561">
        <v>0</v>
      </c>
      <c r="AH561">
        <v>0</v>
      </c>
      <c r="AI561" s="4">
        <v>39604</v>
      </c>
    </row>
    <row r="562" spans="1:35">
      <c r="A562">
        <v>561</v>
      </c>
      <c r="B562" t="str">
        <f>"300671"</f>
        <v>300671</v>
      </c>
      <c r="C562" t="s">
        <v>4240</v>
      </c>
      <c r="D562" s="4">
        <v>43190</v>
      </c>
      <c r="E562" t="s">
        <v>920</v>
      </c>
      <c r="F562" t="s">
        <v>3838</v>
      </c>
      <c r="G562">
        <v>2510</v>
      </c>
      <c r="H562">
        <v>0.13</v>
      </c>
      <c r="I562">
        <v>3.65</v>
      </c>
      <c r="J562">
        <v>3.58</v>
      </c>
      <c r="K562" t="s">
        <v>1119</v>
      </c>
      <c r="L562">
        <v>22.17</v>
      </c>
      <c r="M562" t="s">
        <v>4241</v>
      </c>
      <c r="N562">
        <v>0</v>
      </c>
      <c r="O562" t="s">
        <v>4241</v>
      </c>
      <c r="P562" t="s">
        <v>4242</v>
      </c>
      <c r="Q562">
        <v>118.67</v>
      </c>
      <c r="R562" t="s">
        <v>2424</v>
      </c>
      <c r="S562">
        <v>1.05</v>
      </c>
      <c r="T562">
        <v>36.44</v>
      </c>
      <c r="U562" t="s">
        <v>3925</v>
      </c>
      <c r="V562" t="s">
        <v>92</v>
      </c>
      <c r="W562" t="s">
        <v>1855</v>
      </c>
      <c r="X562">
        <v>3.58</v>
      </c>
      <c r="Y562" t="s">
        <v>122</v>
      </c>
      <c r="Z562" t="s">
        <v>998</v>
      </c>
      <c r="AA562" t="s">
        <v>4243</v>
      </c>
      <c r="AB562">
        <v>7.74</v>
      </c>
      <c r="AC562" t="s">
        <v>2230</v>
      </c>
      <c r="AD562">
        <v>66.03</v>
      </c>
      <c r="AE562" t="s">
        <v>507</v>
      </c>
      <c r="AF562">
        <v>1.54</v>
      </c>
      <c r="AG562">
        <v>0</v>
      </c>
      <c r="AH562">
        <v>0</v>
      </c>
      <c r="AI562" s="4">
        <v>42921</v>
      </c>
    </row>
    <row r="563" spans="1:35">
      <c r="A563">
        <v>562</v>
      </c>
      <c r="B563" t="str">
        <f>"002536"</f>
        <v>002536</v>
      </c>
      <c r="C563" t="s">
        <v>4244</v>
      </c>
      <c r="D563" s="4">
        <v>43190</v>
      </c>
      <c r="E563" t="s">
        <v>1967</v>
      </c>
      <c r="F563" t="s">
        <v>2185</v>
      </c>
      <c r="G563" t="s">
        <v>4245</v>
      </c>
      <c r="H563">
        <v>0.22</v>
      </c>
      <c r="I563">
        <v>6.06</v>
      </c>
      <c r="J563">
        <v>3.58</v>
      </c>
      <c r="K563" t="s">
        <v>259</v>
      </c>
      <c r="L563">
        <v>17.55</v>
      </c>
      <c r="M563" t="s">
        <v>4056</v>
      </c>
      <c r="N563">
        <v>0</v>
      </c>
      <c r="O563" t="s">
        <v>4246</v>
      </c>
      <c r="P563" t="s">
        <v>4247</v>
      </c>
      <c r="Q563">
        <v>45.42</v>
      </c>
      <c r="R563" t="s">
        <v>852</v>
      </c>
      <c r="S563">
        <v>1.6</v>
      </c>
      <c r="T563">
        <v>28.15</v>
      </c>
      <c r="U563" t="s">
        <v>2238</v>
      </c>
      <c r="V563" t="s">
        <v>1062</v>
      </c>
      <c r="W563" t="s">
        <v>1307</v>
      </c>
      <c r="X563">
        <v>3.58</v>
      </c>
      <c r="Y563" t="s">
        <v>613</v>
      </c>
      <c r="Z563" t="s">
        <v>1223</v>
      </c>
      <c r="AA563" t="s">
        <v>4248</v>
      </c>
      <c r="AB563">
        <v>1.72</v>
      </c>
      <c r="AC563" t="s">
        <v>1693</v>
      </c>
      <c r="AD563">
        <v>64.48</v>
      </c>
      <c r="AE563" t="s">
        <v>1223</v>
      </c>
      <c r="AF563">
        <v>3.28</v>
      </c>
      <c r="AG563">
        <v>0</v>
      </c>
      <c r="AH563">
        <v>0</v>
      </c>
      <c r="AI563" s="4">
        <v>40554</v>
      </c>
    </row>
    <row r="564" spans="1:35">
      <c r="A564">
        <v>563</v>
      </c>
      <c r="B564" t="str">
        <f>"600075"</f>
        <v>600075</v>
      </c>
      <c r="C564" t="s">
        <v>4249</v>
      </c>
      <c r="D564" s="4">
        <v>43190</v>
      </c>
      <c r="E564" t="s">
        <v>3124</v>
      </c>
      <c r="F564" t="s">
        <v>2486</v>
      </c>
      <c r="G564" t="s">
        <v>135</v>
      </c>
      <c r="H564">
        <v>0.16</v>
      </c>
      <c r="I564">
        <v>4.57</v>
      </c>
      <c r="J564">
        <v>3.57</v>
      </c>
      <c r="K564" t="s">
        <v>835</v>
      </c>
      <c r="L564">
        <v>17.22</v>
      </c>
      <c r="M564" t="s">
        <v>748</v>
      </c>
      <c r="N564">
        <v>0</v>
      </c>
      <c r="O564" t="s">
        <v>2769</v>
      </c>
      <c r="P564" t="s">
        <v>505</v>
      </c>
      <c r="Q564">
        <v>0.35</v>
      </c>
      <c r="R564" t="s">
        <v>2328</v>
      </c>
      <c r="S564">
        <v>1.95</v>
      </c>
      <c r="T564">
        <v>30.75</v>
      </c>
      <c r="U564" t="s">
        <v>1132</v>
      </c>
      <c r="V564" t="s">
        <v>2100</v>
      </c>
      <c r="W564" t="s">
        <v>2211</v>
      </c>
      <c r="X564">
        <v>3.57</v>
      </c>
      <c r="Y564" t="s">
        <v>1312</v>
      </c>
      <c r="Z564" t="s">
        <v>461</v>
      </c>
      <c r="AA564" t="s">
        <v>2836</v>
      </c>
      <c r="AB564">
        <v>1.34</v>
      </c>
      <c r="AC564" t="s">
        <v>1574</v>
      </c>
      <c r="AD564">
        <v>49.09</v>
      </c>
      <c r="AE564" t="s">
        <v>124</v>
      </c>
      <c r="AF564">
        <v>1.37</v>
      </c>
      <c r="AG564">
        <v>0</v>
      </c>
      <c r="AH564">
        <v>0</v>
      </c>
      <c r="AI564" s="4">
        <v>35598</v>
      </c>
    </row>
    <row r="565" spans="1:35">
      <c r="A565">
        <v>564</v>
      </c>
      <c r="B565" t="str">
        <f>"300323"</f>
        <v>300323</v>
      </c>
      <c r="C565" t="s">
        <v>4250</v>
      </c>
      <c r="D565" s="4">
        <v>43190</v>
      </c>
      <c r="E565" t="s">
        <v>699</v>
      </c>
      <c r="F565" t="s">
        <v>2510</v>
      </c>
      <c r="G565" t="s">
        <v>4251</v>
      </c>
      <c r="H565">
        <v>0.13</v>
      </c>
      <c r="I565">
        <v>5.3</v>
      </c>
      <c r="J565">
        <v>3.57</v>
      </c>
      <c r="K565" t="s">
        <v>523</v>
      </c>
      <c r="L565">
        <v>40.17</v>
      </c>
      <c r="M565" t="s">
        <v>2306</v>
      </c>
      <c r="N565" t="s">
        <v>4252</v>
      </c>
      <c r="O565" t="s">
        <v>337</v>
      </c>
      <c r="P565" t="s">
        <v>326</v>
      </c>
      <c r="Q565">
        <v>76.84</v>
      </c>
      <c r="R565" t="s">
        <v>895</v>
      </c>
      <c r="S565">
        <v>0.93</v>
      </c>
      <c r="T565">
        <v>32.869999999999997</v>
      </c>
      <c r="U565" t="s">
        <v>1254</v>
      </c>
      <c r="V565" t="s">
        <v>3562</v>
      </c>
      <c r="W565" t="s">
        <v>3386</v>
      </c>
      <c r="X565">
        <v>3.57</v>
      </c>
      <c r="Y565" t="s">
        <v>2187</v>
      </c>
      <c r="Z565" t="s">
        <v>3073</v>
      </c>
      <c r="AA565" t="s">
        <v>512</v>
      </c>
      <c r="AB565">
        <v>2.57</v>
      </c>
      <c r="AC565" t="s">
        <v>1517</v>
      </c>
      <c r="AD565">
        <v>40.74</v>
      </c>
      <c r="AE565" t="s">
        <v>728</v>
      </c>
      <c r="AF565">
        <v>3.58</v>
      </c>
      <c r="AG565">
        <v>0</v>
      </c>
      <c r="AH565">
        <v>0</v>
      </c>
      <c r="AI565" s="4">
        <v>41061</v>
      </c>
    </row>
    <row r="566" spans="1:35">
      <c r="A566">
        <v>565</v>
      </c>
      <c r="B566" t="str">
        <f>"002845"</f>
        <v>002845</v>
      </c>
      <c r="C566" t="s">
        <v>4253</v>
      </c>
      <c r="D566" s="4">
        <v>43190</v>
      </c>
      <c r="E566" t="s">
        <v>975</v>
      </c>
      <c r="F566" t="s">
        <v>4254</v>
      </c>
      <c r="G566">
        <v>3226</v>
      </c>
      <c r="H566">
        <v>0.18</v>
      </c>
      <c r="I566">
        <v>5</v>
      </c>
      <c r="J566">
        <v>3.57</v>
      </c>
      <c r="K566" t="s">
        <v>2431</v>
      </c>
      <c r="L566">
        <v>-32.36</v>
      </c>
      <c r="M566" t="s">
        <v>4255</v>
      </c>
      <c r="N566" t="s">
        <v>4256</v>
      </c>
      <c r="O566" t="s">
        <v>4255</v>
      </c>
      <c r="P566" t="s">
        <v>3505</v>
      </c>
      <c r="Q566">
        <v>-22.06</v>
      </c>
      <c r="R566" t="s">
        <v>133</v>
      </c>
      <c r="S566">
        <v>1.88</v>
      </c>
      <c r="T566">
        <v>9.75</v>
      </c>
      <c r="U566" t="s">
        <v>273</v>
      </c>
      <c r="V566" t="s">
        <v>2523</v>
      </c>
      <c r="W566" t="s">
        <v>807</v>
      </c>
      <c r="X566">
        <v>3.57</v>
      </c>
      <c r="Y566" t="s">
        <v>1449</v>
      </c>
      <c r="Z566" t="s">
        <v>565</v>
      </c>
      <c r="AA566" t="s">
        <v>4257</v>
      </c>
      <c r="AB566">
        <v>3.91</v>
      </c>
      <c r="AC566" t="s">
        <v>1094</v>
      </c>
      <c r="AD566">
        <v>30.97</v>
      </c>
      <c r="AE566" t="s">
        <v>2230</v>
      </c>
      <c r="AF566">
        <v>2.64</v>
      </c>
      <c r="AG566">
        <v>0</v>
      </c>
      <c r="AH566">
        <v>0</v>
      </c>
      <c r="AI566" s="4">
        <v>42760</v>
      </c>
    </row>
    <row r="567" spans="1:35">
      <c r="A567">
        <v>566</v>
      </c>
      <c r="B567" t="str">
        <f>"600926"</f>
        <v>600926</v>
      </c>
      <c r="C567" t="s">
        <v>4258</v>
      </c>
      <c r="D567" s="4">
        <v>43190</v>
      </c>
      <c r="E567" t="s">
        <v>1314</v>
      </c>
      <c r="F567" t="s">
        <v>759</v>
      </c>
      <c r="G567" t="s">
        <v>3438</v>
      </c>
      <c r="H567">
        <v>0.42</v>
      </c>
      <c r="I567">
        <v>11.92</v>
      </c>
      <c r="J567">
        <v>3.56</v>
      </c>
      <c r="K567" t="s">
        <v>1583</v>
      </c>
      <c r="L567">
        <v>28.41</v>
      </c>
      <c r="M567" t="s">
        <v>820</v>
      </c>
      <c r="N567" t="s">
        <v>741</v>
      </c>
      <c r="O567" t="s">
        <v>820</v>
      </c>
      <c r="P567" t="s">
        <v>908</v>
      </c>
      <c r="Q567">
        <v>16.170000000000002</v>
      </c>
      <c r="R567" t="s">
        <v>1540</v>
      </c>
      <c r="S567">
        <v>4.3899999999999997</v>
      </c>
      <c r="T567">
        <v>0</v>
      </c>
      <c r="U567" t="s">
        <v>4259</v>
      </c>
      <c r="V567">
        <v>0</v>
      </c>
      <c r="W567" t="s">
        <v>924</v>
      </c>
      <c r="X567">
        <v>3.56</v>
      </c>
      <c r="Y567" t="s">
        <v>4260</v>
      </c>
      <c r="Z567">
        <v>0</v>
      </c>
      <c r="AA567">
        <v>0</v>
      </c>
      <c r="AB567">
        <v>0.93</v>
      </c>
      <c r="AC567" t="s">
        <v>4261</v>
      </c>
      <c r="AD567">
        <v>6.37</v>
      </c>
      <c r="AE567" t="s">
        <v>1820</v>
      </c>
      <c r="AF567">
        <v>2.82</v>
      </c>
      <c r="AG567">
        <v>0</v>
      </c>
      <c r="AH567">
        <v>0</v>
      </c>
      <c r="AI567" s="4">
        <v>42670</v>
      </c>
    </row>
    <row r="568" spans="1:35">
      <c r="A568">
        <v>567</v>
      </c>
      <c r="B568" t="str">
        <f>"600148"</f>
        <v>600148</v>
      </c>
      <c r="C568" t="s">
        <v>4262</v>
      </c>
      <c r="D568" s="4">
        <v>43190</v>
      </c>
      <c r="E568" t="s">
        <v>920</v>
      </c>
      <c r="F568" t="s">
        <v>920</v>
      </c>
      <c r="G568">
        <v>5016</v>
      </c>
      <c r="H568">
        <v>0.1</v>
      </c>
      <c r="I568">
        <v>2.9</v>
      </c>
      <c r="J568">
        <v>3.56</v>
      </c>
      <c r="K568" t="s">
        <v>203</v>
      </c>
      <c r="L568">
        <v>22.59</v>
      </c>
      <c r="M568" t="s">
        <v>4263</v>
      </c>
      <c r="N568">
        <v>0</v>
      </c>
      <c r="O568" t="s">
        <v>4264</v>
      </c>
      <c r="P568" t="s">
        <v>4265</v>
      </c>
      <c r="Q568">
        <v>30.63</v>
      </c>
      <c r="R568" t="s">
        <v>920</v>
      </c>
      <c r="S568">
        <v>1</v>
      </c>
      <c r="T568">
        <v>28.18</v>
      </c>
      <c r="U568" t="s">
        <v>1223</v>
      </c>
      <c r="V568" t="s">
        <v>2443</v>
      </c>
      <c r="W568" t="s">
        <v>912</v>
      </c>
      <c r="X568">
        <v>3.56</v>
      </c>
      <c r="Y568" t="s">
        <v>181</v>
      </c>
      <c r="Z568" t="s">
        <v>1806</v>
      </c>
      <c r="AA568" t="s">
        <v>600</v>
      </c>
      <c r="AB568">
        <v>6.69</v>
      </c>
      <c r="AC568" t="s">
        <v>3027</v>
      </c>
      <c r="AD568">
        <v>37.76</v>
      </c>
      <c r="AE568" t="s">
        <v>4266</v>
      </c>
      <c r="AF568">
        <v>0.63</v>
      </c>
      <c r="AG568">
        <v>0</v>
      </c>
      <c r="AH568">
        <v>0</v>
      </c>
      <c r="AI568" s="4">
        <v>35935</v>
      </c>
    </row>
    <row r="569" spans="1:35">
      <c r="A569">
        <v>568</v>
      </c>
      <c r="B569" t="str">
        <f>"603533"</f>
        <v>603533</v>
      </c>
      <c r="C569" t="s">
        <v>4267</v>
      </c>
      <c r="D569" s="4">
        <v>43190</v>
      </c>
      <c r="E569" t="s">
        <v>241</v>
      </c>
      <c r="F569" t="s">
        <v>3227</v>
      </c>
      <c r="G569">
        <v>1297</v>
      </c>
      <c r="H569">
        <v>0.09</v>
      </c>
      <c r="I569">
        <v>2.5499999999999998</v>
      </c>
      <c r="J569">
        <v>3.55</v>
      </c>
      <c r="K569" t="s">
        <v>771</v>
      </c>
      <c r="L569">
        <v>23.25</v>
      </c>
      <c r="M569" t="s">
        <v>4268</v>
      </c>
      <c r="N569" t="s">
        <v>4269</v>
      </c>
      <c r="O569" t="s">
        <v>4270</v>
      </c>
      <c r="P569" t="s">
        <v>4271</v>
      </c>
      <c r="Q569">
        <v>0.11</v>
      </c>
      <c r="R569" t="s">
        <v>1210</v>
      </c>
      <c r="S569">
        <v>0.57999999999999996</v>
      </c>
      <c r="T569">
        <v>30.51</v>
      </c>
      <c r="U569" t="s">
        <v>161</v>
      </c>
      <c r="V569" t="s">
        <v>124</v>
      </c>
      <c r="W569" t="s">
        <v>2869</v>
      </c>
      <c r="X569">
        <v>3.55</v>
      </c>
      <c r="Y569" t="s">
        <v>2284</v>
      </c>
      <c r="Z569" t="s">
        <v>104</v>
      </c>
      <c r="AA569" t="s">
        <v>4272</v>
      </c>
      <c r="AB569">
        <v>12.2</v>
      </c>
      <c r="AC569" t="s">
        <v>1496</v>
      </c>
      <c r="AD569">
        <v>71.010000000000005</v>
      </c>
      <c r="AE569" t="s">
        <v>1324</v>
      </c>
      <c r="AF569">
        <v>0.92</v>
      </c>
      <c r="AG569">
        <v>0</v>
      </c>
      <c r="AH569">
        <v>0</v>
      </c>
      <c r="AI569" s="4">
        <v>42999</v>
      </c>
    </row>
    <row r="570" spans="1:35">
      <c r="A570">
        <v>569</v>
      </c>
      <c r="B570" t="str">
        <f>"600919"</f>
        <v>600919</v>
      </c>
      <c r="C570" t="s">
        <v>4273</v>
      </c>
      <c r="D570" s="4">
        <v>43190</v>
      </c>
      <c r="E570" t="s">
        <v>689</v>
      </c>
      <c r="F570" t="s">
        <v>1160</v>
      </c>
      <c r="G570" t="s">
        <v>1958</v>
      </c>
      <c r="H570">
        <v>0.28999999999999998</v>
      </c>
      <c r="I570">
        <v>8.1999999999999993</v>
      </c>
      <c r="J570">
        <v>3.55</v>
      </c>
      <c r="K570" t="s">
        <v>3343</v>
      </c>
      <c r="L570">
        <v>0.54</v>
      </c>
      <c r="M570" t="s">
        <v>588</v>
      </c>
      <c r="N570" t="s">
        <v>1703</v>
      </c>
      <c r="O570" t="s">
        <v>3122</v>
      </c>
      <c r="P570" t="s">
        <v>461</v>
      </c>
      <c r="Q570">
        <v>10.32</v>
      </c>
      <c r="R570" t="s">
        <v>4274</v>
      </c>
      <c r="S570">
        <v>2.81</v>
      </c>
      <c r="T570">
        <v>0</v>
      </c>
      <c r="U570" t="s">
        <v>4275</v>
      </c>
      <c r="V570">
        <v>0</v>
      </c>
      <c r="W570" t="s">
        <v>765</v>
      </c>
      <c r="X570">
        <v>3.55</v>
      </c>
      <c r="Y570" t="s">
        <v>4276</v>
      </c>
      <c r="Z570">
        <v>0</v>
      </c>
      <c r="AA570">
        <v>0</v>
      </c>
      <c r="AB570">
        <v>0.8</v>
      </c>
      <c r="AC570" t="s">
        <v>4277</v>
      </c>
      <c r="AD570">
        <v>6.38</v>
      </c>
      <c r="AE570" t="s">
        <v>1540</v>
      </c>
      <c r="AF570">
        <v>1.39</v>
      </c>
      <c r="AG570">
        <v>0</v>
      </c>
      <c r="AH570">
        <v>0</v>
      </c>
      <c r="AI570" s="4">
        <v>42584</v>
      </c>
    </row>
    <row r="571" spans="1:35">
      <c r="A571">
        <v>570</v>
      </c>
      <c r="B571" t="str">
        <f>"600161"</f>
        <v>600161</v>
      </c>
      <c r="C571" t="s">
        <v>4278</v>
      </c>
      <c r="D571" s="4">
        <v>43190</v>
      </c>
      <c r="E571" t="s">
        <v>563</v>
      </c>
      <c r="F571" t="s">
        <v>563</v>
      </c>
      <c r="G571" t="s">
        <v>135</v>
      </c>
      <c r="H571">
        <v>0.16</v>
      </c>
      <c r="I571">
        <v>4.71</v>
      </c>
      <c r="J571">
        <v>3.55</v>
      </c>
      <c r="K571" t="s">
        <v>483</v>
      </c>
      <c r="L571">
        <v>0.35</v>
      </c>
      <c r="M571" t="s">
        <v>608</v>
      </c>
      <c r="N571">
        <v>0</v>
      </c>
      <c r="O571" t="s">
        <v>200</v>
      </c>
      <c r="P571" t="s">
        <v>804</v>
      </c>
      <c r="Q571">
        <v>99.19</v>
      </c>
      <c r="R571" t="s">
        <v>691</v>
      </c>
      <c r="S571">
        <v>2.95</v>
      </c>
      <c r="T571">
        <v>48.51</v>
      </c>
      <c r="U571" t="s">
        <v>3288</v>
      </c>
      <c r="V571" t="s">
        <v>1404</v>
      </c>
      <c r="W571" t="s">
        <v>1709</v>
      </c>
      <c r="X571">
        <v>3.55</v>
      </c>
      <c r="Y571" t="s">
        <v>4279</v>
      </c>
      <c r="Z571" t="s">
        <v>3368</v>
      </c>
      <c r="AA571" t="s">
        <v>4280</v>
      </c>
      <c r="AB571">
        <v>5.41</v>
      </c>
      <c r="AC571" t="s">
        <v>907</v>
      </c>
      <c r="AD571">
        <v>68.41</v>
      </c>
      <c r="AE571" t="s">
        <v>507</v>
      </c>
      <c r="AF571">
        <v>0.39</v>
      </c>
      <c r="AG571">
        <v>0</v>
      </c>
      <c r="AH571">
        <v>0</v>
      </c>
      <c r="AI571" s="4">
        <v>35962</v>
      </c>
    </row>
    <row r="572" spans="1:35">
      <c r="A572">
        <v>571</v>
      </c>
      <c r="B572" t="str">
        <f>"002009"</f>
        <v>002009</v>
      </c>
      <c r="C572" t="s">
        <v>4281</v>
      </c>
      <c r="D572" s="4">
        <v>43190</v>
      </c>
      <c r="E572" t="s">
        <v>1968</v>
      </c>
      <c r="F572" t="s">
        <v>1609</v>
      </c>
      <c r="G572" t="s">
        <v>1228</v>
      </c>
      <c r="H572">
        <v>0.19</v>
      </c>
      <c r="I572">
        <v>5.52</v>
      </c>
      <c r="J572">
        <v>3.55</v>
      </c>
      <c r="K572" t="s">
        <v>911</v>
      </c>
      <c r="L572">
        <v>86.53</v>
      </c>
      <c r="M572" t="s">
        <v>4282</v>
      </c>
      <c r="N572" t="s">
        <v>4283</v>
      </c>
      <c r="O572" t="s">
        <v>4284</v>
      </c>
      <c r="P572" t="s">
        <v>4285</v>
      </c>
      <c r="Q572">
        <v>159.47999999999999</v>
      </c>
      <c r="R572" t="s">
        <v>1392</v>
      </c>
      <c r="S572">
        <v>1.81</v>
      </c>
      <c r="T572">
        <v>24.16</v>
      </c>
      <c r="U572" t="s">
        <v>4286</v>
      </c>
      <c r="V572" t="s">
        <v>940</v>
      </c>
      <c r="W572" t="s">
        <v>2148</v>
      </c>
      <c r="X572">
        <v>3.55</v>
      </c>
      <c r="Y572" t="s">
        <v>1515</v>
      </c>
      <c r="Z572" t="s">
        <v>583</v>
      </c>
      <c r="AA572" t="s">
        <v>4287</v>
      </c>
      <c r="AB572">
        <v>2.08</v>
      </c>
      <c r="AC572" t="s">
        <v>3356</v>
      </c>
      <c r="AD572">
        <v>38.6</v>
      </c>
      <c r="AE572" t="s">
        <v>62</v>
      </c>
      <c r="AF572">
        <v>2.5099999999999998</v>
      </c>
      <c r="AG572">
        <v>0</v>
      </c>
      <c r="AH572">
        <v>0</v>
      </c>
      <c r="AI572" s="4">
        <v>38167</v>
      </c>
    </row>
    <row r="573" spans="1:35">
      <c r="A573">
        <v>572</v>
      </c>
      <c r="B573" t="str">
        <f>"603968"</f>
        <v>603968</v>
      </c>
      <c r="C573" t="s">
        <v>4288</v>
      </c>
      <c r="D573" s="4">
        <v>43190</v>
      </c>
      <c r="E573" t="s">
        <v>292</v>
      </c>
      <c r="F573" t="s">
        <v>292</v>
      </c>
      <c r="G573">
        <v>9398</v>
      </c>
      <c r="H573">
        <v>0.23</v>
      </c>
      <c r="I573">
        <v>6.37</v>
      </c>
      <c r="J573">
        <v>3.54</v>
      </c>
      <c r="K573" t="s">
        <v>97</v>
      </c>
      <c r="L573">
        <v>21.6</v>
      </c>
      <c r="M573" t="s">
        <v>4289</v>
      </c>
      <c r="N573" t="s">
        <v>4290</v>
      </c>
      <c r="O573" t="s">
        <v>4291</v>
      </c>
      <c r="P573" t="s">
        <v>4292</v>
      </c>
      <c r="Q573">
        <v>2.23</v>
      </c>
      <c r="R573" t="s">
        <v>2697</v>
      </c>
      <c r="S573">
        <v>2.75</v>
      </c>
      <c r="T573">
        <v>19.87</v>
      </c>
      <c r="U573" t="s">
        <v>419</v>
      </c>
      <c r="V573" t="s">
        <v>192</v>
      </c>
      <c r="W573" t="s">
        <v>1056</v>
      </c>
      <c r="X573">
        <v>3.54</v>
      </c>
      <c r="Y573" t="s">
        <v>2739</v>
      </c>
      <c r="Z573" t="s">
        <v>2685</v>
      </c>
      <c r="AA573" t="s">
        <v>1475</v>
      </c>
      <c r="AB573">
        <v>2.77</v>
      </c>
      <c r="AC573" t="s">
        <v>176</v>
      </c>
      <c r="AD573">
        <v>70.33</v>
      </c>
      <c r="AE573" t="s">
        <v>2915</v>
      </c>
      <c r="AF573">
        <v>1.94</v>
      </c>
      <c r="AG573">
        <v>0</v>
      </c>
      <c r="AH573">
        <v>0</v>
      </c>
      <c r="AI573" s="4">
        <v>42142</v>
      </c>
    </row>
    <row r="574" spans="1:35">
      <c r="A574">
        <v>573</v>
      </c>
      <c r="B574" t="str">
        <f>"603686"</f>
        <v>603686</v>
      </c>
      <c r="C574" t="s">
        <v>4293</v>
      </c>
      <c r="D574" s="4">
        <v>43190</v>
      </c>
      <c r="E574" t="s">
        <v>1621</v>
      </c>
      <c r="F574" t="s">
        <v>1977</v>
      </c>
      <c r="G574" t="s">
        <v>4294</v>
      </c>
      <c r="H574">
        <v>0.26</v>
      </c>
      <c r="I574">
        <v>7.15</v>
      </c>
      <c r="J574">
        <v>3.54</v>
      </c>
      <c r="K574" t="s">
        <v>2693</v>
      </c>
      <c r="L574">
        <v>15.29</v>
      </c>
      <c r="M574" t="s">
        <v>4295</v>
      </c>
      <c r="N574" t="s">
        <v>4296</v>
      </c>
      <c r="O574" t="s">
        <v>4297</v>
      </c>
      <c r="P574" t="s">
        <v>4298</v>
      </c>
      <c r="Q574">
        <v>19.79</v>
      </c>
      <c r="R574" t="s">
        <v>1778</v>
      </c>
      <c r="S574">
        <v>2.4300000000000002</v>
      </c>
      <c r="T574">
        <v>26.38</v>
      </c>
      <c r="U574" t="s">
        <v>1698</v>
      </c>
      <c r="V574" t="s">
        <v>907</v>
      </c>
      <c r="W574" t="s">
        <v>269</v>
      </c>
      <c r="X574">
        <v>3.54</v>
      </c>
      <c r="Y574" t="s">
        <v>1384</v>
      </c>
      <c r="Z574" t="s">
        <v>124</v>
      </c>
      <c r="AA574" t="s">
        <v>4299</v>
      </c>
      <c r="AB574">
        <v>3.39</v>
      </c>
      <c r="AC574" t="s">
        <v>728</v>
      </c>
      <c r="AD574">
        <v>58.84</v>
      </c>
      <c r="AE574" t="s">
        <v>919</v>
      </c>
      <c r="AF574">
        <v>3.47</v>
      </c>
      <c r="AG574">
        <v>0</v>
      </c>
      <c r="AH574">
        <v>0</v>
      </c>
      <c r="AI574" s="4">
        <v>42030</v>
      </c>
    </row>
    <row r="575" spans="1:35">
      <c r="A575">
        <v>574</v>
      </c>
      <c r="B575" t="str">
        <f>"601101"</f>
        <v>601101</v>
      </c>
      <c r="C575" t="s">
        <v>4300</v>
      </c>
      <c r="D575" s="4">
        <v>43190</v>
      </c>
      <c r="E575" t="s">
        <v>625</v>
      </c>
      <c r="F575" t="s">
        <v>625</v>
      </c>
      <c r="G575" t="s">
        <v>4301</v>
      </c>
      <c r="H575">
        <v>0.22</v>
      </c>
      <c r="I575">
        <v>6.47</v>
      </c>
      <c r="J575">
        <v>3.54</v>
      </c>
      <c r="K575" t="s">
        <v>263</v>
      </c>
      <c r="L575">
        <v>-8.86</v>
      </c>
      <c r="M575" t="s">
        <v>150</v>
      </c>
      <c r="N575">
        <v>0</v>
      </c>
      <c r="O575" t="s">
        <v>1939</v>
      </c>
      <c r="P575" t="s">
        <v>1977</v>
      </c>
      <c r="Q575">
        <v>-13.22</v>
      </c>
      <c r="R575" t="s">
        <v>576</v>
      </c>
      <c r="S575">
        <v>1.76</v>
      </c>
      <c r="T575">
        <v>52.25</v>
      </c>
      <c r="U575" t="s">
        <v>2599</v>
      </c>
      <c r="V575" t="s">
        <v>2667</v>
      </c>
      <c r="W575" t="s">
        <v>2809</v>
      </c>
      <c r="X575">
        <v>3.54</v>
      </c>
      <c r="Y575" t="s">
        <v>3680</v>
      </c>
      <c r="Z575" t="s">
        <v>940</v>
      </c>
      <c r="AA575" t="s">
        <v>2043</v>
      </c>
      <c r="AB575">
        <v>1.01</v>
      </c>
      <c r="AC575" t="s">
        <v>3702</v>
      </c>
      <c r="AD575">
        <v>37.29</v>
      </c>
      <c r="AE575" t="s">
        <v>273</v>
      </c>
      <c r="AF575">
        <v>2.73</v>
      </c>
      <c r="AG575">
        <v>0</v>
      </c>
      <c r="AH575">
        <v>0</v>
      </c>
      <c r="AI575" s="4">
        <v>40268</v>
      </c>
    </row>
    <row r="576" spans="1:35">
      <c r="A576">
        <v>575</v>
      </c>
      <c r="B576" t="str">
        <f>"002589"</f>
        <v>002589</v>
      </c>
      <c r="C576" t="s">
        <v>4302</v>
      </c>
      <c r="D576" s="4">
        <v>43190</v>
      </c>
      <c r="E576" t="s">
        <v>855</v>
      </c>
      <c r="F576" t="s">
        <v>250</v>
      </c>
      <c r="G576" t="s">
        <v>4303</v>
      </c>
      <c r="H576">
        <v>0.19</v>
      </c>
      <c r="I576">
        <v>5.34</v>
      </c>
      <c r="J576">
        <v>3.54</v>
      </c>
      <c r="K576" t="s">
        <v>2227</v>
      </c>
      <c r="L576">
        <v>43.2</v>
      </c>
      <c r="M576" t="s">
        <v>1703</v>
      </c>
      <c r="N576" t="s">
        <v>2689</v>
      </c>
      <c r="O576" t="s">
        <v>347</v>
      </c>
      <c r="P576" t="s">
        <v>1664</v>
      </c>
      <c r="Q576">
        <v>-4.0199999999999996</v>
      </c>
      <c r="R576" t="s">
        <v>253</v>
      </c>
      <c r="S576">
        <v>1.65</v>
      </c>
      <c r="T576">
        <v>18.54</v>
      </c>
      <c r="U576" t="s">
        <v>2049</v>
      </c>
      <c r="V576" t="s">
        <v>1100</v>
      </c>
      <c r="W576" t="s">
        <v>173</v>
      </c>
      <c r="X576">
        <v>3.54</v>
      </c>
      <c r="Y576" t="s">
        <v>4304</v>
      </c>
      <c r="Z576" t="s">
        <v>1278</v>
      </c>
      <c r="AA576" t="s">
        <v>115</v>
      </c>
      <c r="AB576">
        <v>2.5299999999999998</v>
      </c>
      <c r="AC576" t="s">
        <v>3068</v>
      </c>
      <c r="AD576">
        <v>27.6</v>
      </c>
      <c r="AE576" t="s">
        <v>588</v>
      </c>
      <c r="AF576">
        <v>2.63</v>
      </c>
      <c r="AG576">
        <v>0</v>
      </c>
      <c r="AH576">
        <v>0</v>
      </c>
      <c r="AI576" s="4">
        <v>40704</v>
      </c>
    </row>
    <row r="577" spans="1:35">
      <c r="A577">
        <v>576</v>
      </c>
      <c r="B577" t="str">
        <f>"603518"</f>
        <v>603518</v>
      </c>
      <c r="C577" t="s">
        <v>4305</v>
      </c>
      <c r="D577" s="4">
        <v>43190</v>
      </c>
      <c r="E577" t="s">
        <v>1288</v>
      </c>
      <c r="F577" t="s">
        <v>3111</v>
      </c>
      <c r="G577" t="s">
        <v>210</v>
      </c>
      <c r="H577">
        <v>0.36</v>
      </c>
      <c r="I577">
        <v>12.1</v>
      </c>
      <c r="J577">
        <v>3.53</v>
      </c>
      <c r="K577" t="s">
        <v>4306</v>
      </c>
      <c r="L577">
        <v>142.4</v>
      </c>
      <c r="M577" t="s">
        <v>4307</v>
      </c>
      <c r="N577" t="s">
        <v>4308</v>
      </c>
      <c r="O577" t="s">
        <v>198</v>
      </c>
      <c r="P577" t="s">
        <v>4309</v>
      </c>
      <c r="Q577">
        <v>119.64</v>
      </c>
      <c r="R577" t="s">
        <v>632</v>
      </c>
      <c r="S577">
        <v>4.01</v>
      </c>
      <c r="T577">
        <v>68.95</v>
      </c>
      <c r="U577" t="s">
        <v>4310</v>
      </c>
      <c r="V577" t="s">
        <v>789</v>
      </c>
      <c r="W577" t="s">
        <v>4311</v>
      </c>
      <c r="X577">
        <v>3.53</v>
      </c>
      <c r="Y577" t="s">
        <v>1443</v>
      </c>
      <c r="Z577" t="s">
        <v>124</v>
      </c>
      <c r="AA577" t="s">
        <v>700</v>
      </c>
      <c r="AB577">
        <v>1.6</v>
      </c>
      <c r="AC577" t="s">
        <v>1390</v>
      </c>
      <c r="AD577">
        <v>33.71</v>
      </c>
      <c r="AE577" t="s">
        <v>926</v>
      </c>
      <c r="AF577">
        <v>7.08</v>
      </c>
      <c r="AG577">
        <v>0</v>
      </c>
      <c r="AH577">
        <v>0</v>
      </c>
      <c r="AI577" s="4">
        <v>41976</v>
      </c>
    </row>
    <row r="578" spans="1:35">
      <c r="A578">
        <v>577</v>
      </c>
      <c r="B578" t="str">
        <f>"603096"</f>
        <v>603096</v>
      </c>
      <c r="C578" t="s">
        <v>4312</v>
      </c>
      <c r="D578" s="4">
        <v>43190</v>
      </c>
      <c r="E578" t="s">
        <v>1370</v>
      </c>
      <c r="F578" t="s">
        <v>4313</v>
      </c>
      <c r="G578">
        <v>7232</v>
      </c>
      <c r="H578">
        <v>0.41</v>
      </c>
      <c r="I578">
        <v>11.17</v>
      </c>
      <c r="J578">
        <v>3.53</v>
      </c>
      <c r="K578" t="s">
        <v>118</v>
      </c>
      <c r="L578">
        <v>6.31</v>
      </c>
      <c r="M578" t="s">
        <v>4314</v>
      </c>
      <c r="N578" t="s">
        <v>4315</v>
      </c>
      <c r="O578" t="s">
        <v>4316</v>
      </c>
      <c r="P578" t="s">
        <v>4317</v>
      </c>
      <c r="Q578">
        <v>20.03</v>
      </c>
      <c r="R578" t="s">
        <v>860</v>
      </c>
      <c r="S578">
        <v>3.03</v>
      </c>
      <c r="T578">
        <v>49.35</v>
      </c>
      <c r="U578" t="s">
        <v>891</v>
      </c>
      <c r="V578" t="s">
        <v>304</v>
      </c>
      <c r="W578" t="s">
        <v>4318</v>
      </c>
      <c r="X578">
        <v>3.53</v>
      </c>
      <c r="Y578" t="s">
        <v>916</v>
      </c>
      <c r="Z578" t="s">
        <v>470</v>
      </c>
      <c r="AA578" t="s">
        <v>3836</v>
      </c>
      <c r="AB578">
        <v>7.63</v>
      </c>
      <c r="AC578" t="s">
        <v>983</v>
      </c>
      <c r="AD578">
        <v>85.42</v>
      </c>
      <c r="AE578" t="s">
        <v>2134</v>
      </c>
      <c r="AF578">
        <v>6.95</v>
      </c>
      <c r="AG578">
        <v>0</v>
      </c>
      <c r="AH578">
        <v>0</v>
      </c>
      <c r="AI578" s="4">
        <v>42850</v>
      </c>
    </row>
    <row r="579" spans="1:35">
      <c r="A579">
        <v>578</v>
      </c>
      <c r="B579" t="str">
        <f>"603059"</f>
        <v>603059</v>
      </c>
      <c r="C579" t="s">
        <v>4319</v>
      </c>
      <c r="D579" s="4">
        <v>43190</v>
      </c>
      <c r="E579" t="s">
        <v>2575</v>
      </c>
      <c r="F579" t="s">
        <v>2576</v>
      </c>
      <c r="G579">
        <v>1191</v>
      </c>
      <c r="H579">
        <v>0.23</v>
      </c>
      <c r="I579">
        <v>9.94</v>
      </c>
      <c r="J579">
        <v>3.53</v>
      </c>
      <c r="K579" t="s">
        <v>1689</v>
      </c>
      <c r="L579">
        <v>4.5599999999999996</v>
      </c>
      <c r="M579" t="s">
        <v>4320</v>
      </c>
      <c r="N579" t="s">
        <v>4321</v>
      </c>
      <c r="O579" t="s">
        <v>4322</v>
      </c>
      <c r="P579" t="s">
        <v>4323</v>
      </c>
      <c r="Q579">
        <v>3.2</v>
      </c>
      <c r="R579" t="s">
        <v>368</v>
      </c>
      <c r="S579">
        <v>2.14</v>
      </c>
      <c r="T579">
        <v>25.56</v>
      </c>
      <c r="U579" t="s">
        <v>978</v>
      </c>
      <c r="V579" t="s">
        <v>1872</v>
      </c>
      <c r="W579" t="s">
        <v>209</v>
      </c>
      <c r="X579">
        <v>3.53</v>
      </c>
      <c r="Y579" t="s">
        <v>668</v>
      </c>
      <c r="Z579" t="s">
        <v>668</v>
      </c>
      <c r="AA579">
        <v>0</v>
      </c>
      <c r="AB579">
        <v>3.79</v>
      </c>
      <c r="AC579" t="s">
        <v>2192</v>
      </c>
      <c r="AD579">
        <v>76.92</v>
      </c>
      <c r="AE579" t="s">
        <v>2178</v>
      </c>
      <c r="AF579">
        <v>6.63</v>
      </c>
      <c r="AG579">
        <v>0</v>
      </c>
      <c r="AH579">
        <v>0</v>
      </c>
      <c r="AI579" s="4">
        <v>43161</v>
      </c>
    </row>
    <row r="580" spans="1:35">
      <c r="A580">
        <v>579</v>
      </c>
      <c r="B580" t="str">
        <f>"300452"</f>
        <v>300452</v>
      </c>
      <c r="C580" t="s">
        <v>4324</v>
      </c>
      <c r="D580" s="4">
        <v>43190</v>
      </c>
      <c r="E580" t="s">
        <v>4325</v>
      </c>
      <c r="F580" t="s">
        <v>4326</v>
      </c>
      <c r="G580">
        <v>4281</v>
      </c>
      <c r="H580">
        <v>0.17</v>
      </c>
      <c r="I580">
        <v>4.93</v>
      </c>
      <c r="J580">
        <v>3.52</v>
      </c>
      <c r="K580" t="s">
        <v>600</v>
      </c>
      <c r="L580">
        <v>44.52</v>
      </c>
      <c r="M580" t="s">
        <v>4327</v>
      </c>
      <c r="N580" t="s">
        <v>4328</v>
      </c>
      <c r="O580" t="s">
        <v>3102</v>
      </c>
      <c r="P580" t="s">
        <v>4329</v>
      </c>
      <c r="Q580">
        <v>35.729999999999997</v>
      </c>
      <c r="R580" t="s">
        <v>682</v>
      </c>
      <c r="S580">
        <v>2.39</v>
      </c>
      <c r="T580">
        <v>31.08</v>
      </c>
      <c r="U580" t="s">
        <v>116</v>
      </c>
      <c r="V580" t="s">
        <v>267</v>
      </c>
      <c r="W580" t="s">
        <v>1370</v>
      </c>
      <c r="X580">
        <v>3.52</v>
      </c>
      <c r="Y580" t="s">
        <v>290</v>
      </c>
      <c r="Z580" t="s">
        <v>1974</v>
      </c>
      <c r="AA580" t="s">
        <v>4330</v>
      </c>
      <c r="AB580">
        <v>4.08</v>
      </c>
      <c r="AC580" t="s">
        <v>196</v>
      </c>
      <c r="AD580">
        <v>66.650000000000006</v>
      </c>
      <c r="AE580" t="s">
        <v>1349</v>
      </c>
      <c r="AF580">
        <v>1.22</v>
      </c>
      <c r="AG580">
        <v>0</v>
      </c>
      <c r="AH580">
        <v>0</v>
      </c>
      <c r="AI580" s="4">
        <v>42139</v>
      </c>
    </row>
    <row r="581" spans="1:35">
      <c r="A581">
        <v>580</v>
      </c>
      <c r="B581" t="str">
        <f>"300437"</f>
        <v>300437</v>
      </c>
      <c r="C581" t="s">
        <v>4331</v>
      </c>
      <c r="D581" s="4">
        <v>43190</v>
      </c>
      <c r="E581" t="s">
        <v>696</v>
      </c>
      <c r="F581" t="s">
        <v>1459</v>
      </c>
      <c r="G581">
        <v>7338</v>
      </c>
      <c r="H581">
        <v>0.23</v>
      </c>
      <c r="I581">
        <v>5.6</v>
      </c>
      <c r="J581">
        <v>3.52</v>
      </c>
      <c r="K581" t="s">
        <v>47</v>
      </c>
      <c r="L581">
        <v>165.07</v>
      </c>
      <c r="M581" t="s">
        <v>4332</v>
      </c>
      <c r="N581" t="s">
        <v>4333</v>
      </c>
      <c r="O581" t="s">
        <v>4334</v>
      </c>
      <c r="P581" t="s">
        <v>3601</v>
      </c>
      <c r="Q581">
        <v>453.7</v>
      </c>
      <c r="R581" t="s">
        <v>3482</v>
      </c>
      <c r="S581">
        <v>1.46</v>
      </c>
      <c r="T581">
        <v>37.85</v>
      </c>
      <c r="U581" t="s">
        <v>818</v>
      </c>
      <c r="V581" t="s">
        <v>183</v>
      </c>
      <c r="W581" t="s">
        <v>188</v>
      </c>
      <c r="X581">
        <v>3.52</v>
      </c>
      <c r="Y581" t="s">
        <v>754</v>
      </c>
      <c r="Z581" t="s">
        <v>80</v>
      </c>
      <c r="AA581" t="s">
        <v>1383</v>
      </c>
      <c r="AB581">
        <v>2.77</v>
      </c>
      <c r="AC581" t="s">
        <v>300</v>
      </c>
      <c r="AD581">
        <v>38.01</v>
      </c>
      <c r="AE581" t="s">
        <v>424</v>
      </c>
      <c r="AF581">
        <v>2.94</v>
      </c>
      <c r="AG581">
        <v>0</v>
      </c>
      <c r="AH581">
        <v>0</v>
      </c>
      <c r="AI581" s="4">
        <v>42117</v>
      </c>
    </row>
    <row r="582" spans="1:35">
      <c r="A582">
        <v>581</v>
      </c>
      <c r="B582" t="str">
        <f>"002720"</f>
        <v>002720</v>
      </c>
      <c r="C582" t="s">
        <v>4335</v>
      </c>
      <c r="D582" s="4">
        <v>42916</v>
      </c>
      <c r="E582" t="s">
        <v>916</v>
      </c>
      <c r="F582" t="s">
        <v>2769</v>
      </c>
      <c r="G582" t="s">
        <v>2372</v>
      </c>
      <c r="H582">
        <v>0.22</v>
      </c>
      <c r="I582">
        <v>6.28</v>
      </c>
      <c r="J582">
        <v>3.52</v>
      </c>
      <c r="K582" t="s">
        <v>258</v>
      </c>
      <c r="L582">
        <v>24.42</v>
      </c>
      <c r="M582" t="s">
        <v>4336</v>
      </c>
      <c r="N582">
        <v>0</v>
      </c>
      <c r="O582" t="s">
        <v>4337</v>
      </c>
      <c r="P582" t="s">
        <v>4338</v>
      </c>
      <c r="Q582">
        <v>264</v>
      </c>
      <c r="R582" t="s">
        <v>174</v>
      </c>
      <c r="S582">
        <v>2.27</v>
      </c>
      <c r="T582">
        <v>55.94</v>
      </c>
      <c r="U582" t="s">
        <v>1488</v>
      </c>
      <c r="V582" t="s">
        <v>2339</v>
      </c>
      <c r="W582" t="s">
        <v>4339</v>
      </c>
      <c r="X582">
        <v>3.52</v>
      </c>
      <c r="Y582" t="s">
        <v>980</v>
      </c>
      <c r="Z582" t="s">
        <v>759</v>
      </c>
      <c r="AA582" t="s">
        <v>314</v>
      </c>
      <c r="AB582">
        <v>2.58</v>
      </c>
      <c r="AC582" t="s">
        <v>141</v>
      </c>
      <c r="AD582">
        <v>44.56</v>
      </c>
      <c r="AE582" t="s">
        <v>4002</v>
      </c>
      <c r="AF582">
        <v>2.74</v>
      </c>
      <c r="AG582">
        <v>0</v>
      </c>
      <c r="AH582">
        <v>0</v>
      </c>
      <c r="AI582" t="s">
        <v>99</v>
      </c>
    </row>
    <row r="583" spans="1:35">
      <c r="A583">
        <v>582</v>
      </c>
      <c r="B583" t="str">
        <f>"603839"</f>
        <v>603839</v>
      </c>
      <c r="C583" t="s">
        <v>4340</v>
      </c>
      <c r="D583" s="4">
        <v>43190</v>
      </c>
      <c r="E583" t="s">
        <v>338</v>
      </c>
      <c r="F583" t="s">
        <v>1119</v>
      </c>
      <c r="G583">
        <v>3113</v>
      </c>
      <c r="H583">
        <v>0.23</v>
      </c>
      <c r="I583">
        <v>6.24</v>
      </c>
      <c r="J583">
        <v>3.51</v>
      </c>
      <c r="K583" t="s">
        <v>184</v>
      </c>
      <c r="L583">
        <v>26.84</v>
      </c>
      <c r="M583" t="s">
        <v>1459</v>
      </c>
      <c r="N583" t="s">
        <v>4341</v>
      </c>
      <c r="O583" t="s">
        <v>1459</v>
      </c>
      <c r="P583" t="s">
        <v>4342</v>
      </c>
      <c r="Q583">
        <v>30.09</v>
      </c>
      <c r="R583" t="s">
        <v>250</v>
      </c>
      <c r="S583">
        <v>2.57</v>
      </c>
      <c r="T583">
        <v>68.709999999999994</v>
      </c>
      <c r="U583" t="s">
        <v>1285</v>
      </c>
      <c r="V583" t="s">
        <v>2753</v>
      </c>
      <c r="W583" t="s">
        <v>2922</v>
      </c>
      <c r="X583">
        <v>3.51</v>
      </c>
      <c r="Y583" t="s">
        <v>196</v>
      </c>
      <c r="Z583" t="s">
        <v>2661</v>
      </c>
      <c r="AA583" t="s">
        <v>86</v>
      </c>
      <c r="AB583">
        <v>2.7</v>
      </c>
      <c r="AC583" t="s">
        <v>260</v>
      </c>
      <c r="AD583">
        <v>85.39</v>
      </c>
      <c r="AE583" t="s">
        <v>323</v>
      </c>
      <c r="AF583">
        <v>2.46</v>
      </c>
      <c r="AG583">
        <v>0</v>
      </c>
      <c r="AH583">
        <v>0</v>
      </c>
      <c r="AI583" s="4">
        <v>42780</v>
      </c>
    </row>
    <row r="584" spans="1:35">
      <c r="A584">
        <v>583</v>
      </c>
      <c r="B584" t="str">
        <f>"300124"</f>
        <v>300124</v>
      </c>
      <c r="C584" t="s">
        <v>4343</v>
      </c>
      <c r="D584" s="4">
        <v>43190</v>
      </c>
      <c r="E584" t="s">
        <v>298</v>
      </c>
      <c r="F584" t="s">
        <v>405</v>
      </c>
      <c r="G584" t="s">
        <v>4344</v>
      </c>
      <c r="H584">
        <v>0.12</v>
      </c>
      <c r="I584">
        <v>3.13</v>
      </c>
      <c r="J584">
        <v>3.51</v>
      </c>
      <c r="K584" t="s">
        <v>4345</v>
      </c>
      <c r="L584">
        <v>24.73</v>
      </c>
      <c r="M584" t="s">
        <v>912</v>
      </c>
      <c r="N584" t="s">
        <v>4346</v>
      </c>
      <c r="O584" t="s">
        <v>66</v>
      </c>
      <c r="P584" t="s">
        <v>1624</v>
      </c>
      <c r="Q584">
        <v>13.94</v>
      </c>
      <c r="R584" t="s">
        <v>1308</v>
      </c>
      <c r="S584">
        <v>1.3</v>
      </c>
      <c r="T584">
        <v>45.54</v>
      </c>
      <c r="U584" t="s">
        <v>4347</v>
      </c>
      <c r="V584" t="s">
        <v>930</v>
      </c>
      <c r="W584" t="s">
        <v>2149</v>
      </c>
      <c r="X584">
        <v>3.51</v>
      </c>
      <c r="Y584" t="s">
        <v>1404</v>
      </c>
      <c r="Z584" t="s">
        <v>1051</v>
      </c>
      <c r="AA584" t="s">
        <v>337</v>
      </c>
      <c r="AB584">
        <v>10.16</v>
      </c>
      <c r="AC584" t="s">
        <v>4186</v>
      </c>
      <c r="AD584">
        <v>62.31</v>
      </c>
      <c r="AE584" t="s">
        <v>350</v>
      </c>
      <c r="AF584">
        <v>0.82</v>
      </c>
      <c r="AG584">
        <v>0</v>
      </c>
      <c r="AH584">
        <v>0</v>
      </c>
      <c r="AI584" s="4">
        <v>40449</v>
      </c>
    </row>
    <row r="585" spans="1:35">
      <c r="A585">
        <v>584</v>
      </c>
      <c r="B585" t="str">
        <f>"603365"</f>
        <v>603365</v>
      </c>
      <c r="C585" t="s">
        <v>4348</v>
      </c>
      <c r="D585" s="4">
        <v>43190</v>
      </c>
      <c r="E585" t="s">
        <v>122</v>
      </c>
      <c r="F585" t="s">
        <v>4349</v>
      </c>
      <c r="G585">
        <v>4222</v>
      </c>
      <c r="H585">
        <v>0.27</v>
      </c>
      <c r="I585">
        <v>7.41</v>
      </c>
      <c r="J585">
        <v>3.5</v>
      </c>
      <c r="K585" t="s">
        <v>1058</v>
      </c>
      <c r="L585">
        <v>24.79</v>
      </c>
      <c r="M585" t="s">
        <v>4350</v>
      </c>
      <c r="N585" t="s">
        <v>4351</v>
      </c>
      <c r="O585" t="s">
        <v>4352</v>
      </c>
      <c r="P585" t="s">
        <v>3396</v>
      </c>
      <c r="Q585">
        <v>24.58</v>
      </c>
      <c r="R585" t="s">
        <v>1274</v>
      </c>
      <c r="S585">
        <v>2.69</v>
      </c>
      <c r="T585">
        <v>36.42</v>
      </c>
      <c r="U585" t="s">
        <v>1294</v>
      </c>
      <c r="V585" t="s">
        <v>1843</v>
      </c>
      <c r="W585" t="s">
        <v>998</v>
      </c>
      <c r="X585">
        <v>3.5</v>
      </c>
      <c r="Y585" t="s">
        <v>501</v>
      </c>
      <c r="Z585" t="s">
        <v>138</v>
      </c>
      <c r="AA585" t="s">
        <v>1588</v>
      </c>
      <c r="AB585">
        <v>3.17</v>
      </c>
      <c r="AC585" t="s">
        <v>576</v>
      </c>
      <c r="AD585">
        <v>84.51</v>
      </c>
      <c r="AE585" t="s">
        <v>1215</v>
      </c>
      <c r="AF585">
        <v>3.37</v>
      </c>
      <c r="AG585">
        <v>0</v>
      </c>
      <c r="AH585">
        <v>0</v>
      </c>
      <c r="AI585" s="4">
        <v>43059</v>
      </c>
    </row>
    <row r="586" spans="1:35">
      <c r="A586">
        <v>585</v>
      </c>
      <c r="B586" t="str">
        <f>"603501"</f>
        <v>603501</v>
      </c>
      <c r="C586" t="s">
        <v>4353</v>
      </c>
      <c r="D586" s="4">
        <v>43190</v>
      </c>
      <c r="E586" t="s">
        <v>2222</v>
      </c>
      <c r="F586" t="s">
        <v>993</v>
      </c>
      <c r="G586">
        <v>1984</v>
      </c>
      <c r="H586">
        <v>0.09</v>
      </c>
      <c r="I586">
        <v>2.8</v>
      </c>
      <c r="J586">
        <v>3.49</v>
      </c>
      <c r="K586" t="s">
        <v>4354</v>
      </c>
      <c r="L586">
        <v>105.97</v>
      </c>
      <c r="M586" t="s">
        <v>4355</v>
      </c>
      <c r="N586">
        <v>0</v>
      </c>
      <c r="O586" t="s">
        <v>4356</v>
      </c>
      <c r="P586" t="s">
        <v>4357</v>
      </c>
      <c r="Q586">
        <v>19.22</v>
      </c>
      <c r="R586" t="s">
        <v>1166</v>
      </c>
      <c r="S586">
        <v>1.2</v>
      </c>
      <c r="T586">
        <v>27.89</v>
      </c>
      <c r="U586" t="s">
        <v>1054</v>
      </c>
      <c r="V586" t="s">
        <v>725</v>
      </c>
      <c r="W586" t="s">
        <v>905</v>
      </c>
      <c r="X586">
        <v>3.49</v>
      </c>
      <c r="Y586" t="s">
        <v>389</v>
      </c>
      <c r="Z586" t="s">
        <v>980</v>
      </c>
      <c r="AA586" t="s">
        <v>4358</v>
      </c>
      <c r="AB586">
        <v>13.44</v>
      </c>
      <c r="AC586" t="s">
        <v>926</v>
      </c>
      <c r="AD586">
        <v>39.93</v>
      </c>
      <c r="AE586" t="s">
        <v>3651</v>
      </c>
      <c r="AF586">
        <v>2.13</v>
      </c>
      <c r="AG586">
        <v>0</v>
      </c>
      <c r="AH586">
        <v>0</v>
      </c>
      <c r="AI586" s="4">
        <v>42859</v>
      </c>
    </row>
    <row r="587" spans="1:35">
      <c r="A587">
        <v>586</v>
      </c>
      <c r="B587" t="str">
        <f>"300009"</f>
        <v>300009</v>
      </c>
      <c r="C587" t="s">
        <v>4359</v>
      </c>
      <c r="D587" s="4">
        <v>43190</v>
      </c>
      <c r="E587" t="s">
        <v>3489</v>
      </c>
      <c r="F587" t="s">
        <v>2921</v>
      </c>
      <c r="G587" t="s">
        <v>4360</v>
      </c>
      <c r="H587">
        <v>0.06</v>
      </c>
      <c r="I587">
        <v>1.64</v>
      </c>
      <c r="J587">
        <v>3.49</v>
      </c>
      <c r="K587" t="s">
        <v>1664</v>
      </c>
      <c r="L587">
        <v>40.49</v>
      </c>
      <c r="M587" t="s">
        <v>2140</v>
      </c>
      <c r="N587" t="s">
        <v>4361</v>
      </c>
      <c r="O587" t="s">
        <v>4362</v>
      </c>
      <c r="P587" t="s">
        <v>4363</v>
      </c>
      <c r="Q587">
        <v>26.19</v>
      </c>
      <c r="R587" t="s">
        <v>1523</v>
      </c>
      <c r="S587">
        <v>0.55000000000000004</v>
      </c>
      <c r="T587">
        <v>81</v>
      </c>
      <c r="U587" t="s">
        <v>244</v>
      </c>
      <c r="V587" t="s">
        <v>488</v>
      </c>
      <c r="W587" t="s">
        <v>1476</v>
      </c>
      <c r="X587">
        <v>3.49</v>
      </c>
      <c r="Y587" t="s">
        <v>1382</v>
      </c>
      <c r="Z587" t="s">
        <v>704</v>
      </c>
      <c r="AA587" t="s">
        <v>4364</v>
      </c>
      <c r="AB587">
        <v>9.92</v>
      </c>
      <c r="AC587" t="s">
        <v>867</v>
      </c>
      <c r="AD587">
        <v>74.03</v>
      </c>
      <c r="AE587" t="s">
        <v>2284</v>
      </c>
      <c r="AF587">
        <v>0.13</v>
      </c>
      <c r="AG587">
        <v>0</v>
      </c>
      <c r="AH587">
        <v>0</v>
      </c>
      <c r="AI587" s="4">
        <v>40116</v>
      </c>
    </row>
    <row r="588" spans="1:35">
      <c r="A588">
        <v>587</v>
      </c>
      <c r="B588" t="str">
        <f>"002727"</f>
        <v>002727</v>
      </c>
      <c r="C588" t="s">
        <v>4365</v>
      </c>
      <c r="D588" s="4">
        <v>43190</v>
      </c>
      <c r="E588" t="s">
        <v>2304</v>
      </c>
      <c r="F588" t="s">
        <v>122</v>
      </c>
      <c r="G588" t="s">
        <v>2135</v>
      </c>
      <c r="H588">
        <v>0.23</v>
      </c>
      <c r="I588">
        <v>6.44</v>
      </c>
      <c r="J588">
        <v>3.49</v>
      </c>
      <c r="K588" t="s">
        <v>789</v>
      </c>
      <c r="L588">
        <v>20.12</v>
      </c>
      <c r="M588" t="s">
        <v>1203</v>
      </c>
      <c r="N588" t="s">
        <v>1407</v>
      </c>
      <c r="O588" t="s">
        <v>1203</v>
      </c>
      <c r="P588" t="s">
        <v>1376</v>
      </c>
      <c r="Q588">
        <v>35.01</v>
      </c>
      <c r="R588" t="s">
        <v>115</v>
      </c>
      <c r="S588">
        <v>2.68</v>
      </c>
      <c r="T588">
        <v>40.82</v>
      </c>
      <c r="U588" t="s">
        <v>1808</v>
      </c>
      <c r="V588" t="s">
        <v>2043</v>
      </c>
      <c r="W588" t="s">
        <v>1358</v>
      </c>
      <c r="X588">
        <v>3.49</v>
      </c>
      <c r="Y588" t="s">
        <v>3073</v>
      </c>
      <c r="Z588" t="s">
        <v>2542</v>
      </c>
      <c r="AA588" t="s">
        <v>1978</v>
      </c>
      <c r="AB588">
        <v>4.66</v>
      </c>
      <c r="AC588" t="s">
        <v>235</v>
      </c>
      <c r="AD588">
        <v>53.29</v>
      </c>
      <c r="AE588" t="s">
        <v>1384</v>
      </c>
      <c r="AF588">
        <v>2.48</v>
      </c>
      <c r="AG588">
        <v>0</v>
      </c>
      <c r="AH588">
        <v>0</v>
      </c>
      <c r="AI588" s="4">
        <v>41822</v>
      </c>
    </row>
    <row r="589" spans="1:35">
      <c r="A589">
        <v>588</v>
      </c>
      <c r="B589" t="str">
        <f>"601988"</f>
        <v>601988</v>
      </c>
      <c r="C589" t="s">
        <v>4366</v>
      </c>
      <c r="D589" s="4">
        <v>43190</v>
      </c>
      <c r="E589" t="s">
        <v>4367</v>
      </c>
      <c r="F589" t="s">
        <v>4368</v>
      </c>
      <c r="G589" t="s">
        <v>4369</v>
      </c>
      <c r="H589">
        <v>0.17</v>
      </c>
      <c r="I589">
        <v>4.7699999999999996</v>
      </c>
      <c r="J589">
        <v>3.48</v>
      </c>
      <c r="K589" t="s">
        <v>4370</v>
      </c>
      <c r="L589">
        <v>-2.54</v>
      </c>
      <c r="M589" t="s">
        <v>4371</v>
      </c>
      <c r="N589" t="s">
        <v>514</v>
      </c>
      <c r="O589" t="s">
        <v>4372</v>
      </c>
      <c r="P589" t="s">
        <v>1147</v>
      </c>
      <c r="Q589">
        <v>5.04</v>
      </c>
      <c r="R589" t="s">
        <v>4373</v>
      </c>
      <c r="S589">
        <v>2.2200000000000002</v>
      </c>
      <c r="T589">
        <v>0</v>
      </c>
      <c r="U589" t="s">
        <v>3210</v>
      </c>
      <c r="V589">
        <v>0</v>
      </c>
      <c r="W589" t="s">
        <v>4374</v>
      </c>
      <c r="X589">
        <v>3.48</v>
      </c>
      <c r="Y589" t="s">
        <v>4375</v>
      </c>
      <c r="Z589">
        <v>0</v>
      </c>
      <c r="AA589">
        <v>0</v>
      </c>
      <c r="AB589">
        <v>0.79</v>
      </c>
      <c r="AC589" t="s">
        <v>4376</v>
      </c>
      <c r="AD589">
        <v>7.46</v>
      </c>
      <c r="AE589" t="s">
        <v>2742</v>
      </c>
      <c r="AF589">
        <v>0.48</v>
      </c>
      <c r="AG589">
        <v>0</v>
      </c>
      <c r="AH589" t="s">
        <v>4377</v>
      </c>
      <c r="AI589" s="4">
        <v>38903</v>
      </c>
    </row>
    <row r="590" spans="1:35">
      <c r="A590">
        <v>589</v>
      </c>
      <c r="B590" t="str">
        <f>"600475"</f>
        <v>600475</v>
      </c>
      <c r="C590" t="s">
        <v>4378</v>
      </c>
      <c r="D590" s="4">
        <v>43190</v>
      </c>
      <c r="E590" t="s">
        <v>1450</v>
      </c>
      <c r="F590" t="s">
        <v>1974</v>
      </c>
      <c r="G590">
        <v>6979</v>
      </c>
      <c r="H590">
        <v>0.27</v>
      </c>
      <c r="I590">
        <v>8.25</v>
      </c>
      <c r="J590">
        <v>3.48</v>
      </c>
      <c r="K590" t="s">
        <v>613</v>
      </c>
      <c r="L590">
        <v>22.45</v>
      </c>
      <c r="M590" t="s">
        <v>345</v>
      </c>
      <c r="N590" t="s">
        <v>280</v>
      </c>
      <c r="O590" t="s">
        <v>345</v>
      </c>
      <c r="P590" t="s">
        <v>609</v>
      </c>
      <c r="Q590">
        <v>2.88</v>
      </c>
      <c r="R590" t="s">
        <v>464</v>
      </c>
      <c r="S590">
        <v>6.43</v>
      </c>
      <c r="T590">
        <v>17.350000000000001</v>
      </c>
      <c r="U590" t="s">
        <v>1820</v>
      </c>
      <c r="V590" t="s">
        <v>3089</v>
      </c>
      <c r="W590" t="s">
        <v>702</v>
      </c>
      <c r="X590">
        <v>3.48</v>
      </c>
      <c r="Y590" t="s">
        <v>572</v>
      </c>
      <c r="Z590" t="s">
        <v>1923</v>
      </c>
      <c r="AA590" t="s">
        <v>284</v>
      </c>
      <c r="AB590">
        <v>1.24</v>
      </c>
      <c r="AC590" t="s">
        <v>3288</v>
      </c>
      <c r="AD590">
        <v>44.94</v>
      </c>
      <c r="AE590" t="s">
        <v>698</v>
      </c>
      <c r="AF590">
        <v>0.33</v>
      </c>
      <c r="AG590">
        <v>0</v>
      </c>
      <c r="AH590">
        <v>0</v>
      </c>
      <c r="AI590" s="4">
        <v>37823</v>
      </c>
    </row>
    <row r="591" spans="1:35">
      <c r="A591">
        <v>590</v>
      </c>
      <c r="B591" t="str">
        <f>"300673"</f>
        <v>300673</v>
      </c>
      <c r="C591" t="s">
        <v>4379</v>
      </c>
      <c r="D591" s="4">
        <v>43190</v>
      </c>
      <c r="E591" t="s">
        <v>280</v>
      </c>
      <c r="F591" t="s">
        <v>482</v>
      </c>
      <c r="G591">
        <v>2949</v>
      </c>
      <c r="H591">
        <v>0.25</v>
      </c>
      <c r="I591">
        <v>6.99</v>
      </c>
      <c r="J591">
        <v>3.48</v>
      </c>
      <c r="K591" t="s">
        <v>136</v>
      </c>
      <c r="L591">
        <v>50.15</v>
      </c>
      <c r="M591" t="s">
        <v>4380</v>
      </c>
      <c r="N591" t="s">
        <v>4381</v>
      </c>
      <c r="O591" t="s">
        <v>4382</v>
      </c>
      <c r="P591" t="s">
        <v>4383</v>
      </c>
      <c r="Q591">
        <v>120.11</v>
      </c>
      <c r="R591" t="s">
        <v>1860</v>
      </c>
      <c r="S591">
        <v>1.31</v>
      </c>
      <c r="T591">
        <v>36.51</v>
      </c>
      <c r="U591" t="s">
        <v>1094</v>
      </c>
      <c r="V591" t="s">
        <v>1608</v>
      </c>
      <c r="W591" t="s">
        <v>1203</v>
      </c>
      <c r="X591">
        <v>3.48</v>
      </c>
      <c r="Y591" t="s">
        <v>2603</v>
      </c>
      <c r="Z591" t="s">
        <v>2603</v>
      </c>
      <c r="AA591">
        <v>0</v>
      </c>
      <c r="AB591">
        <v>5.95</v>
      </c>
      <c r="AC591" t="s">
        <v>4384</v>
      </c>
      <c r="AD591">
        <v>87.24</v>
      </c>
      <c r="AE591" t="s">
        <v>2094</v>
      </c>
      <c r="AF591">
        <v>4.53</v>
      </c>
      <c r="AG591">
        <v>0</v>
      </c>
      <c r="AH591">
        <v>0</v>
      </c>
      <c r="AI591" s="4">
        <v>42927</v>
      </c>
    </row>
    <row r="592" spans="1:35">
      <c r="A592">
        <v>591</v>
      </c>
      <c r="B592" t="str">
        <f>"000683"</f>
        <v>000683</v>
      </c>
      <c r="C592" t="s">
        <v>4385</v>
      </c>
      <c r="D592" s="4">
        <v>43190</v>
      </c>
      <c r="E592" t="s">
        <v>2301</v>
      </c>
      <c r="F592" t="s">
        <v>356</v>
      </c>
      <c r="G592" t="s">
        <v>4386</v>
      </c>
      <c r="H592">
        <v>0.08</v>
      </c>
      <c r="I592">
        <v>2.2799999999999998</v>
      </c>
      <c r="J592">
        <v>3.48</v>
      </c>
      <c r="K592" t="s">
        <v>1449</v>
      </c>
      <c r="L592">
        <v>1.44</v>
      </c>
      <c r="M592" t="s">
        <v>1481</v>
      </c>
      <c r="N592" t="s">
        <v>4387</v>
      </c>
      <c r="O592" t="s">
        <v>1481</v>
      </c>
      <c r="P592" t="s">
        <v>679</v>
      </c>
      <c r="Q592">
        <v>87.81</v>
      </c>
      <c r="R592" t="s">
        <v>236</v>
      </c>
      <c r="S592">
        <v>0.79</v>
      </c>
      <c r="T592">
        <v>41.15</v>
      </c>
      <c r="U592" t="s">
        <v>1265</v>
      </c>
      <c r="V592" t="s">
        <v>1107</v>
      </c>
      <c r="W592" t="s">
        <v>1171</v>
      </c>
      <c r="X592">
        <v>3.48</v>
      </c>
      <c r="Y592" t="s">
        <v>590</v>
      </c>
      <c r="Z592" t="s">
        <v>525</v>
      </c>
      <c r="AA592" t="s">
        <v>1223</v>
      </c>
      <c r="AB592">
        <v>1.21</v>
      </c>
      <c r="AC592" t="s">
        <v>3086</v>
      </c>
      <c r="AD592">
        <v>40.83</v>
      </c>
      <c r="AE592" t="s">
        <v>867</v>
      </c>
      <c r="AF592">
        <v>0.44</v>
      </c>
      <c r="AG592">
        <v>0</v>
      </c>
      <c r="AH592">
        <v>0</v>
      </c>
      <c r="AI592" s="4">
        <v>35461</v>
      </c>
    </row>
    <row r="593" spans="1:35">
      <c r="A593">
        <v>592</v>
      </c>
      <c r="B593" t="str">
        <f>"000650"</f>
        <v>000650</v>
      </c>
      <c r="C593" t="s">
        <v>4388</v>
      </c>
      <c r="D593" s="4">
        <v>43190</v>
      </c>
      <c r="E593" t="s">
        <v>548</v>
      </c>
      <c r="F593" t="s">
        <v>548</v>
      </c>
      <c r="G593" t="s">
        <v>4389</v>
      </c>
      <c r="H593">
        <v>0.09</v>
      </c>
      <c r="I593">
        <v>2.52</v>
      </c>
      <c r="J593">
        <v>3.48</v>
      </c>
      <c r="K593" t="s">
        <v>919</v>
      </c>
      <c r="L593">
        <v>26.02</v>
      </c>
      <c r="M593" t="s">
        <v>2424</v>
      </c>
      <c r="N593" t="s">
        <v>4390</v>
      </c>
      <c r="O593" t="s">
        <v>2424</v>
      </c>
      <c r="P593" t="s">
        <v>1475</v>
      </c>
      <c r="Q593">
        <v>34.049999999999997</v>
      </c>
      <c r="R593" t="s">
        <v>350</v>
      </c>
      <c r="S593">
        <v>1.1000000000000001</v>
      </c>
      <c r="T593">
        <v>41.84</v>
      </c>
      <c r="U593" t="s">
        <v>527</v>
      </c>
      <c r="V593" t="s">
        <v>2542</v>
      </c>
      <c r="W593" t="s">
        <v>504</v>
      </c>
      <c r="X593">
        <v>3.48</v>
      </c>
      <c r="Y593" t="s">
        <v>2648</v>
      </c>
      <c r="Z593" t="s">
        <v>3632</v>
      </c>
      <c r="AA593" t="s">
        <v>4391</v>
      </c>
      <c r="AB593">
        <v>2.25</v>
      </c>
      <c r="AC593" t="s">
        <v>2064</v>
      </c>
      <c r="AD593">
        <v>71.64</v>
      </c>
      <c r="AE593" t="s">
        <v>535</v>
      </c>
      <c r="AF593">
        <v>0.24</v>
      </c>
      <c r="AG593">
        <v>0</v>
      </c>
      <c r="AH593">
        <v>0</v>
      </c>
      <c r="AI593" s="4">
        <v>35409</v>
      </c>
    </row>
    <row r="594" spans="1:35">
      <c r="A594">
        <v>593</v>
      </c>
      <c r="B594" t="str">
        <f>"300439"</f>
        <v>300439</v>
      </c>
      <c r="C594" t="s">
        <v>4392</v>
      </c>
      <c r="D594" s="4">
        <v>43190</v>
      </c>
      <c r="E594" t="s">
        <v>597</v>
      </c>
      <c r="F594" t="s">
        <v>1016</v>
      </c>
      <c r="G594">
        <v>5114</v>
      </c>
      <c r="H594">
        <v>0.19</v>
      </c>
      <c r="I594">
        <v>5.0199999999999996</v>
      </c>
      <c r="J594">
        <v>3.47</v>
      </c>
      <c r="K594" t="s">
        <v>348</v>
      </c>
      <c r="L594">
        <v>45.18</v>
      </c>
      <c r="M594" t="s">
        <v>4393</v>
      </c>
      <c r="N594" t="s">
        <v>4394</v>
      </c>
      <c r="O594" t="s">
        <v>4395</v>
      </c>
      <c r="P594" t="s">
        <v>4396</v>
      </c>
      <c r="Q594">
        <v>45.61</v>
      </c>
      <c r="R594" t="s">
        <v>4397</v>
      </c>
      <c r="S594">
        <v>2.29</v>
      </c>
      <c r="T594">
        <v>47.97</v>
      </c>
      <c r="U594" t="s">
        <v>2283</v>
      </c>
      <c r="V594" t="s">
        <v>757</v>
      </c>
      <c r="W594" t="s">
        <v>977</v>
      </c>
      <c r="X594">
        <v>3.47</v>
      </c>
      <c r="Y594" t="s">
        <v>584</v>
      </c>
      <c r="Z594" t="s">
        <v>161</v>
      </c>
      <c r="AA594" t="s">
        <v>1298</v>
      </c>
      <c r="AB594">
        <v>4.09</v>
      </c>
      <c r="AC594" t="s">
        <v>867</v>
      </c>
      <c r="AD594">
        <v>52.12</v>
      </c>
      <c r="AE594" t="s">
        <v>3368</v>
      </c>
      <c r="AF594">
        <v>1.73</v>
      </c>
      <c r="AG594">
        <v>0</v>
      </c>
      <c r="AH594">
        <v>0</v>
      </c>
      <c r="AI594" s="4">
        <v>42116</v>
      </c>
    </row>
    <row r="595" spans="1:35">
      <c r="A595">
        <v>594</v>
      </c>
      <c r="B595" t="str">
        <f>"603301"</f>
        <v>603301</v>
      </c>
      <c r="C595" t="s">
        <v>4398</v>
      </c>
      <c r="D595" s="4">
        <v>43190</v>
      </c>
      <c r="E595" t="s">
        <v>2307</v>
      </c>
      <c r="F595" t="s">
        <v>534</v>
      </c>
      <c r="G595" t="s">
        <v>4399</v>
      </c>
      <c r="H595">
        <v>0.2</v>
      </c>
      <c r="I595">
        <v>10.130000000000001</v>
      </c>
      <c r="J595">
        <v>3.46</v>
      </c>
      <c r="K595" t="s">
        <v>1664</v>
      </c>
      <c r="L595">
        <v>-4.34</v>
      </c>
      <c r="M595" t="s">
        <v>4400</v>
      </c>
      <c r="N595" t="s">
        <v>4401</v>
      </c>
      <c r="O595" t="s">
        <v>4402</v>
      </c>
      <c r="P595" t="s">
        <v>4403</v>
      </c>
      <c r="Q595">
        <v>-10.54</v>
      </c>
      <c r="R595" t="s">
        <v>1853</v>
      </c>
      <c r="S595">
        <v>2.02</v>
      </c>
      <c r="T595">
        <v>28.56</v>
      </c>
      <c r="U595" t="s">
        <v>971</v>
      </c>
      <c r="V595" t="s">
        <v>690</v>
      </c>
      <c r="W595" t="s">
        <v>68</v>
      </c>
      <c r="X595">
        <v>3.46</v>
      </c>
      <c r="Y595" t="s">
        <v>1041</v>
      </c>
      <c r="Z595" t="s">
        <v>4404</v>
      </c>
      <c r="AA595" t="s">
        <v>4174</v>
      </c>
      <c r="AB595">
        <v>4.42</v>
      </c>
      <c r="AC595" t="s">
        <v>2571</v>
      </c>
      <c r="AD595">
        <v>42.33</v>
      </c>
      <c r="AE595" t="s">
        <v>286</v>
      </c>
      <c r="AF595">
        <v>6.99</v>
      </c>
      <c r="AG595">
        <v>0</v>
      </c>
      <c r="AH595">
        <v>0</v>
      </c>
      <c r="AI595" s="4">
        <v>43202</v>
      </c>
    </row>
    <row r="596" spans="1:35">
      <c r="A596">
        <v>595</v>
      </c>
      <c r="B596" t="str">
        <f>"603188"</f>
        <v>603188</v>
      </c>
      <c r="C596" t="s">
        <v>4405</v>
      </c>
      <c r="D596" s="4">
        <v>43190</v>
      </c>
      <c r="E596" t="s">
        <v>2310</v>
      </c>
      <c r="F596" t="s">
        <v>2310</v>
      </c>
      <c r="G596" t="s">
        <v>3438</v>
      </c>
      <c r="H596">
        <v>0.2</v>
      </c>
      <c r="I596">
        <v>5.28</v>
      </c>
      <c r="J596">
        <v>3.46</v>
      </c>
      <c r="K596" t="s">
        <v>690</v>
      </c>
      <c r="L596">
        <v>-22.69</v>
      </c>
      <c r="M596" t="s">
        <v>45</v>
      </c>
      <c r="N596">
        <v>0</v>
      </c>
      <c r="O596" t="s">
        <v>1376</v>
      </c>
      <c r="P596" t="s">
        <v>1349</v>
      </c>
      <c r="Q596">
        <v>-38.49</v>
      </c>
      <c r="R596" t="s">
        <v>303</v>
      </c>
      <c r="S596">
        <v>3.11</v>
      </c>
      <c r="T596">
        <v>46.06</v>
      </c>
      <c r="U596" t="s">
        <v>1061</v>
      </c>
      <c r="V596" t="s">
        <v>418</v>
      </c>
      <c r="W596" t="s">
        <v>789</v>
      </c>
      <c r="X596">
        <v>3.46</v>
      </c>
      <c r="Y596" t="s">
        <v>516</v>
      </c>
      <c r="Z596" t="s">
        <v>1678</v>
      </c>
      <c r="AA596" t="s">
        <v>4406</v>
      </c>
      <c r="AB596">
        <v>1.72</v>
      </c>
      <c r="AC596" t="s">
        <v>1161</v>
      </c>
      <c r="AD596">
        <v>60.09</v>
      </c>
      <c r="AE596" t="s">
        <v>3044</v>
      </c>
      <c r="AF596">
        <v>0.76</v>
      </c>
      <c r="AG596">
        <v>0</v>
      </c>
      <c r="AH596">
        <v>0</v>
      </c>
      <c r="AI596" s="4">
        <v>41891</v>
      </c>
    </row>
    <row r="597" spans="1:35">
      <c r="A597">
        <v>596</v>
      </c>
      <c r="B597" t="str">
        <f>"600000"</f>
        <v>600000</v>
      </c>
      <c r="C597" t="s">
        <v>4407</v>
      </c>
      <c r="D597" s="4">
        <v>43190</v>
      </c>
      <c r="E597" t="s">
        <v>4408</v>
      </c>
      <c r="F597" t="s">
        <v>4409</v>
      </c>
      <c r="G597" t="s">
        <v>4410</v>
      </c>
      <c r="H597">
        <v>0.49</v>
      </c>
      <c r="I597">
        <v>13.57</v>
      </c>
      <c r="J597">
        <v>3.45</v>
      </c>
      <c r="K597" t="s">
        <v>2314</v>
      </c>
      <c r="L597">
        <v>-7.72</v>
      </c>
      <c r="M597" t="s">
        <v>4411</v>
      </c>
      <c r="N597" t="s">
        <v>2871</v>
      </c>
      <c r="O597" t="s">
        <v>4411</v>
      </c>
      <c r="P597" t="s">
        <v>412</v>
      </c>
      <c r="Q597">
        <v>-1.0900000000000001</v>
      </c>
      <c r="R597" t="s">
        <v>4412</v>
      </c>
      <c r="S597">
        <v>4.03</v>
      </c>
      <c r="T597">
        <v>0</v>
      </c>
      <c r="U597" t="s">
        <v>4413</v>
      </c>
      <c r="V597">
        <v>0</v>
      </c>
      <c r="W597" t="s">
        <v>2896</v>
      </c>
      <c r="X597">
        <v>3.45</v>
      </c>
      <c r="Y597" t="s">
        <v>4414</v>
      </c>
      <c r="Z597">
        <v>0</v>
      </c>
      <c r="AA597">
        <v>0</v>
      </c>
      <c r="AB597">
        <v>0.73</v>
      </c>
      <c r="AC597" t="s">
        <v>4415</v>
      </c>
      <c r="AD597">
        <v>6.98</v>
      </c>
      <c r="AE597" t="s">
        <v>4416</v>
      </c>
      <c r="AF597">
        <v>2.79</v>
      </c>
      <c r="AG597">
        <v>0</v>
      </c>
      <c r="AH597">
        <v>0</v>
      </c>
      <c r="AI597" s="4">
        <v>36474</v>
      </c>
    </row>
    <row r="598" spans="1:35">
      <c r="A598">
        <v>597</v>
      </c>
      <c r="B598" t="str">
        <f>"300423"</f>
        <v>300423</v>
      </c>
      <c r="C598" t="s">
        <v>4417</v>
      </c>
      <c r="D598" s="4">
        <v>43190</v>
      </c>
      <c r="E598" t="s">
        <v>1124</v>
      </c>
      <c r="F598" t="s">
        <v>1459</v>
      </c>
      <c r="G598" t="s">
        <v>4418</v>
      </c>
      <c r="H598">
        <v>0.23</v>
      </c>
      <c r="I598">
        <v>8.49</v>
      </c>
      <c r="J598">
        <v>3.45</v>
      </c>
      <c r="K598" t="s">
        <v>476</v>
      </c>
      <c r="L598">
        <v>1171.26</v>
      </c>
      <c r="M598" t="s">
        <v>4419</v>
      </c>
      <c r="N598" t="s">
        <v>4420</v>
      </c>
      <c r="O598" t="s">
        <v>4421</v>
      </c>
      <c r="P598" t="s">
        <v>4422</v>
      </c>
      <c r="Q598">
        <v>1967.03</v>
      </c>
      <c r="R598" t="s">
        <v>134</v>
      </c>
      <c r="S598">
        <v>0.87</v>
      </c>
      <c r="T598">
        <v>32.56</v>
      </c>
      <c r="U598" t="s">
        <v>740</v>
      </c>
      <c r="V598" t="s">
        <v>2499</v>
      </c>
      <c r="W598" t="s">
        <v>610</v>
      </c>
      <c r="X598">
        <v>3.45</v>
      </c>
      <c r="Y598" t="s">
        <v>1308</v>
      </c>
      <c r="Z598" t="s">
        <v>1308</v>
      </c>
      <c r="AA598">
        <v>0</v>
      </c>
      <c r="AB598">
        <v>2.2799999999999998</v>
      </c>
      <c r="AC598" t="s">
        <v>691</v>
      </c>
      <c r="AD598">
        <v>42.73</v>
      </c>
      <c r="AE598" t="s">
        <v>1244</v>
      </c>
      <c r="AF598">
        <v>6.82</v>
      </c>
      <c r="AG598">
        <v>0</v>
      </c>
      <c r="AH598">
        <v>0</v>
      </c>
      <c r="AI598" s="4">
        <v>42052</v>
      </c>
    </row>
    <row r="599" spans="1:35">
      <c r="A599">
        <v>598</v>
      </c>
      <c r="B599" t="str">
        <f>"002734"</f>
        <v>002734</v>
      </c>
      <c r="C599" t="s">
        <v>4423</v>
      </c>
      <c r="D599" s="4">
        <v>43190</v>
      </c>
      <c r="E599" t="s">
        <v>1664</v>
      </c>
      <c r="F599" t="s">
        <v>920</v>
      </c>
      <c r="G599">
        <v>8421</v>
      </c>
      <c r="H599">
        <v>0.21</v>
      </c>
      <c r="I599">
        <v>5.9</v>
      </c>
      <c r="J599">
        <v>3.45</v>
      </c>
      <c r="K599" t="s">
        <v>265</v>
      </c>
      <c r="L599">
        <v>4.84</v>
      </c>
      <c r="M599" t="s">
        <v>4424</v>
      </c>
      <c r="N599" t="s">
        <v>4425</v>
      </c>
      <c r="O599" t="s">
        <v>4426</v>
      </c>
      <c r="P599" t="s">
        <v>4018</v>
      </c>
      <c r="Q599">
        <v>15.74</v>
      </c>
      <c r="R599" t="s">
        <v>4185</v>
      </c>
      <c r="S599">
        <v>1.32</v>
      </c>
      <c r="T599">
        <v>28.74</v>
      </c>
      <c r="U599" t="s">
        <v>1704</v>
      </c>
      <c r="V599" t="s">
        <v>250</v>
      </c>
      <c r="W599" t="s">
        <v>566</v>
      </c>
      <c r="X599">
        <v>3.45</v>
      </c>
      <c r="Y599" t="s">
        <v>107</v>
      </c>
      <c r="Z599" t="s">
        <v>4427</v>
      </c>
      <c r="AA599" t="s">
        <v>3402</v>
      </c>
      <c r="AB599">
        <v>1.88</v>
      </c>
      <c r="AC599" t="s">
        <v>79</v>
      </c>
      <c r="AD599">
        <v>72.8</v>
      </c>
      <c r="AE599" t="s">
        <v>1223</v>
      </c>
      <c r="AF599">
        <v>3.48</v>
      </c>
      <c r="AG599">
        <v>0</v>
      </c>
      <c r="AH599">
        <v>0</v>
      </c>
      <c r="AI599" s="4">
        <v>42031</v>
      </c>
    </row>
    <row r="600" spans="1:35">
      <c r="A600">
        <v>599</v>
      </c>
      <c r="B600" t="str">
        <f>"300723"</f>
        <v>300723</v>
      </c>
      <c r="C600" t="s">
        <v>4428</v>
      </c>
      <c r="D600" s="4">
        <v>43190</v>
      </c>
      <c r="E600" t="s">
        <v>136</v>
      </c>
      <c r="F600" t="s">
        <v>4429</v>
      </c>
      <c r="G600">
        <v>1838</v>
      </c>
      <c r="H600">
        <v>0.24</v>
      </c>
      <c r="I600">
        <v>7.15</v>
      </c>
      <c r="J600">
        <v>3.44</v>
      </c>
      <c r="K600" t="s">
        <v>1968</v>
      </c>
      <c r="L600">
        <v>30.72</v>
      </c>
      <c r="M600" t="s">
        <v>4430</v>
      </c>
      <c r="N600" t="s">
        <v>4431</v>
      </c>
      <c r="O600" t="s">
        <v>4432</v>
      </c>
      <c r="P600" t="s">
        <v>4433</v>
      </c>
      <c r="Q600">
        <v>30.53</v>
      </c>
      <c r="R600" t="s">
        <v>1578</v>
      </c>
      <c r="S600">
        <v>1.95</v>
      </c>
      <c r="T600">
        <v>61.51</v>
      </c>
      <c r="U600" t="s">
        <v>1569</v>
      </c>
      <c r="V600" t="s">
        <v>124</v>
      </c>
      <c r="W600" t="s">
        <v>368</v>
      </c>
      <c r="X600">
        <v>3.44</v>
      </c>
      <c r="Y600" t="s">
        <v>769</v>
      </c>
      <c r="Z600" t="s">
        <v>507</v>
      </c>
      <c r="AA600" t="s">
        <v>3011</v>
      </c>
      <c r="AB600">
        <v>5.41</v>
      </c>
      <c r="AC600" t="s">
        <v>973</v>
      </c>
      <c r="AD600">
        <v>68.400000000000006</v>
      </c>
      <c r="AE600" t="s">
        <v>569</v>
      </c>
      <c r="AF600">
        <v>4.0999999999999996</v>
      </c>
      <c r="AG600">
        <v>0</v>
      </c>
      <c r="AH600">
        <v>0</v>
      </c>
      <c r="AI600" s="4">
        <v>43055</v>
      </c>
    </row>
    <row r="601" spans="1:35">
      <c r="A601">
        <v>600</v>
      </c>
      <c r="B601" t="str">
        <f>"300071"</f>
        <v>300071</v>
      </c>
      <c r="C601" t="s">
        <v>4434</v>
      </c>
      <c r="D601" s="4">
        <v>43190</v>
      </c>
      <c r="E601" t="s">
        <v>189</v>
      </c>
      <c r="F601" t="s">
        <v>216</v>
      </c>
      <c r="G601" t="s">
        <v>3585</v>
      </c>
      <c r="H601">
        <v>0.05</v>
      </c>
      <c r="I601">
        <v>1.35</v>
      </c>
      <c r="J601">
        <v>3.44</v>
      </c>
      <c r="K601" t="s">
        <v>4435</v>
      </c>
      <c r="L601">
        <v>-7.66</v>
      </c>
      <c r="M601" t="s">
        <v>4436</v>
      </c>
      <c r="N601" t="s">
        <v>1966</v>
      </c>
      <c r="O601" t="s">
        <v>379</v>
      </c>
      <c r="P601" t="s">
        <v>4437</v>
      </c>
      <c r="Q601">
        <v>40.880000000000003</v>
      </c>
      <c r="R601" t="s">
        <v>610</v>
      </c>
      <c r="S601">
        <v>0.23</v>
      </c>
      <c r="T601">
        <v>23.3</v>
      </c>
      <c r="U601" t="s">
        <v>2901</v>
      </c>
      <c r="V601" t="s">
        <v>1920</v>
      </c>
      <c r="W601" t="s">
        <v>4438</v>
      </c>
      <c r="X601">
        <v>3.44</v>
      </c>
      <c r="Y601" t="s">
        <v>1943</v>
      </c>
      <c r="Z601" t="s">
        <v>183</v>
      </c>
      <c r="AA601" t="s">
        <v>1909</v>
      </c>
      <c r="AB601">
        <v>2.38</v>
      </c>
      <c r="AC601" t="s">
        <v>3745</v>
      </c>
      <c r="AD601">
        <v>26.5</v>
      </c>
      <c r="AE601" t="s">
        <v>4439</v>
      </c>
      <c r="AF601">
        <v>0.02</v>
      </c>
      <c r="AG601">
        <v>0</v>
      </c>
      <c r="AH601">
        <v>0</v>
      </c>
      <c r="AI601" s="4">
        <v>40289</v>
      </c>
    </row>
    <row r="602" spans="1:35">
      <c r="A602">
        <v>601</v>
      </c>
      <c r="B602" t="str">
        <f>"600217"</f>
        <v>600217</v>
      </c>
      <c r="C602" t="s">
        <v>4440</v>
      </c>
      <c r="D602" s="4">
        <v>43190</v>
      </c>
      <c r="E602" t="s">
        <v>624</v>
      </c>
      <c r="F602" t="s">
        <v>1867</v>
      </c>
      <c r="G602" t="s">
        <v>1788</v>
      </c>
      <c r="H602">
        <v>0.04</v>
      </c>
      <c r="I602">
        <v>1.25</v>
      </c>
      <c r="J602">
        <v>3.43</v>
      </c>
      <c r="K602" t="s">
        <v>196</v>
      </c>
      <c r="L602">
        <v>34.71</v>
      </c>
      <c r="M602" t="s">
        <v>1863</v>
      </c>
      <c r="N602" t="s">
        <v>4441</v>
      </c>
      <c r="O602" t="s">
        <v>4442</v>
      </c>
      <c r="P602" t="s">
        <v>4443</v>
      </c>
      <c r="Q602">
        <v>53.06</v>
      </c>
      <c r="R602" t="s">
        <v>488</v>
      </c>
      <c r="S602">
        <v>0.56000000000000005</v>
      </c>
      <c r="T602">
        <v>45.89</v>
      </c>
      <c r="U602" t="s">
        <v>3288</v>
      </c>
      <c r="V602" t="s">
        <v>1419</v>
      </c>
      <c r="W602" t="s">
        <v>140</v>
      </c>
      <c r="X602">
        <v>3.43</v>
      </c>
      <c r="Y602" t="s">
        <v>2941</v>
      </c>
      <c r="Z602" t="s">
        <v>877</v>
      </c>
      <c r="AA602" t="s">
        <v>1019</v>
      </c>
      <c r="AB602">
        <v>4.8899999999999997</v>
      </c>
      <c r="AC602" t="s">
        <v>867</v>
      </c>
      <c r="AD602">
        <v>37.76</v>
      </c>
      <c r="AE602" t="s">
        <v>4444</v>
      </c>
      <c r="AF602">
        <v>0.01</v>
      </c>
      <c r="AG602">
        <v>0</v>
      </c>
      <c r="AH602">
        <v>0</v>
      </c>
      <c r="AI602" s="4">
        <v>36510</v>
      </c>
    </row>
    <row r="603" spans="1:35">
      <c r="A603">
        <v>602</v>
      </c>
      <c r="B603" t="str">
        <f>"300507"</f>
        <v>300507</v>
      </c>
      <c r="C603" t="s">
        <v>4445</v>
      </c>
      <c r="D603" s="4">
        <v>43190</v>
      </c>
      <c r="E603" t="s">
        <v>209</v>
      </c>
      <c r="F603" t="s">
        <v>4446</v>
      </c>
      <c r="G603">
        <v>3983</v>
      </c>
      <c r="H603">
        <v>0.25</v>
      </c>
      <c r="I603">
        <v>7.42</v>
      </c>
      <c r="J603">
        <v>3.43</v>
      </c>
      <c r="K603" t="s">
        <v>64</v>
      </c>
      <c r="L603">
        <v>6.71</v>
      </c>
      <c r="M603" t="s">
        <v>4447</v>
      </c>
      <c r="N603" t="s">
        <v>3225</v>
      </c>
      <c r="O603" t="s">
        <v>4448</v>
      </c>
      <c r="P603" t="s">
        <v>4449</v>
      </c>
      <c r="Q603">
        <v>4.99</v>
      </c>
      <c r="R603" t="s">
        <v>914</v>
      </c>
      <c r="S603">
        <v>3.35</v>
      </c>
      <c r="T603">
        <v>31.94</v>
      </c>
      <c r="U603" t="s">
        <v>407</v>
      </c>
      <c r="V603" t="s">
        <v>2428</v>
      </c>
      <c r="W603" t="s">
        <v>1626</v>
      </c>
      <c r="X603">
        <v>3.43</v>
      </c>
      <c r="Y603" t="s">
        <v>322</v>
      </c>
      <c r="Z603" t="s">
        <v>282</v>
      </c>
      <c r="AA603" t="s">
        <v>4450</v>
      </c>
      <c r="AB603">
        <v>2.91</v>
      </c>
      <c r="AC603" t="s">
        <v>1215</v>
      </c>
      <c r="AD603">
        <v>85.57</v>
      </c>
      <c r="AE603" t="s">
        <v>145</v>
      </c>
      <c r="AF603">
        <v>2.71</v>
      </c>
      <c r="AG603">
        <v>0</v>
      </c>
      <c r="AH603">
        <v>0</v>
      </c>
      <c r="AI603" s="4">
        <v>42489</v>
      </c>
    </row>
    <row r="604" spans="1:35">
      <c r="A604">
        <v>603</v>
      </c>
      <c r="B604" t="str">
        <f>"002183"</f>
        <v>002183</v>
      </c>
      <c r="C604" t="s">
        <v>4451</v>
      </c>
      <c r="D604" s="4">
        <v>43190</v>
      </c>
      <c r="E604" t="s">
        <v>1693</v>
      </c>
      <c r="F604" t="s">
        <v>1693</v>
      </c>
      <c r="G604" t="s">
        <v>2015</v>
      </c>
      <c r="H604">
        <v>0.1</v>
      </c>
      <c r="I604">
        <v>2.88</v>
      </c>
      <c r="J604">
        <v>3.43</v>
      </c>
      <c r="K604" t="s">
        <v>962</v>
      </c>
      <c r="L604">
        <v>18.61</v>
      </c>
      <c r="M604" t="s">
        <v>3674</v>
      </c>
      <c r="N604" t="s">
        <v>4452</v>
      </c>
      <c r="O604" t="s">
        <v>3674</v>
      </c>
      <c r="P604" t="s">
        <v>415</v>
      </c>
      <c r="Q604">
        <v>11.65</v>
      </c>
      <c r="R604" t="s">
        <v>877</v>
      </c>
      <c r="S604">
        <v>0.98</v>
      </c>
      <c r="T604">
        <v>6.72</v>
      </c>
      <c r="U604" t="s">
        <v>4453</v>
      </c>
      <c r="V604" t="s">
        <v>4454</v>
      </c>
      <c r="W604" t="s">
        <v>980</v>
      </c>
      <c r="X604">
        <v>3.43</v>
      </c>
      <c r="Y604" t="s">
        <v>2717</v>
      </c>
      <c r="Z604" t="s">
        <v>4455</v>
      </c>
      <c r="AA604" t="s">
        <v>2212</v>
      </c>
      <c r="AB604">
        <v>2.39</v>
      </c>
      <c r="AC604" t="s">
        <v>225</v>
      </c>
      <c r="AD604">
        <v>12.89</v>
      </c>
      <c r="AE604" t="s">
        <v>101</v>
      </c>
      <c r="AF604">
        <v>0.61</v>
      </c>
      <c r="AG604">
        <v>0</v>
      </c>
      <c r="AH604">
        <v>0</v>
      </c>
      <c r="AI604" s="4">
        <v>39399</v>
      </c>
    </row>
    <row r="605" spans="1:35">
      <c r="A605">
        <v>604</v>
      </c>
      <c r="B605" t="str">
        <f>"600022"</f>
        <v>600022</v>
      </c>
      <c r="C605" t="s">
        <v>4456</v>
      </c>
      <c r="D605" s="4">
        <v>43190</v>
      </c>
      <c r="E605" t="s">
        <v>586</v>
      </c>
      <c r="F605" t="s">
        <v>3472</v>
      </c>
      <c r="G605" t="s">
        <v>4047</v>
      </c>
      <c r="H605">
        <v>0.06</v>
      </c>
      <c r="I605">
        <v>1.71</v>
      </c>
      <c r="J605">
        <v>3.42</v>
      </c>
      <c r="K605" t="s">
        <v>815</v>
      </c>
      <c r="L605">
        <v>-8.82</v>
      </c>
      <c r="M605" t="s">
        <v>941</v>
      </c>
      <c r="N605" t="s">
        <v>4457</v>
      </c>
      <c r="O605" t="s">
        <v>2295</v>
      </c>
      <c r="P605" t="s">
        <v>661</v>
      </c>
      <c r="Q605">
        <v>37.32</v>
      </c>
      <c r="R605" t="s">
        <v>4458</v>
      </c>
      <c r="S605">
        <v>-0.11</v>
      </c>
      <c r="T605">
        <v>9.11</v>
      </c>
      <c r="U605" t="s">
        <v>4459</v>
      </c>
      <c r="V605" t="s">
        <v>718</v>
      </c>
      <c r="W605" t="s">
        <v>311</v>
      </c>
      <c r="X605">
        <v>3.42</v>
      </c>
      <c r="Y605" t="s">
        <v>4460</v>
      </c>
      <c r="Z605" t="s">
        <v>4461</v>
      </c>
      <c r="AA605" t="s">
        <v>2725</v>
      </c>
      <c r="AB605">
        <v>1.18</v>
      </c>
      <c r="AC605" t="s">
        <v>4462</v>
      </c>
      <c r="AD605">
        <v>32.200000000000003</v>
      </c>
      <c r="AE605" t="s">
        <v>4463</v>
      </c>
      <c r="AF605">
        <v>0.75</v>
      </c>
      <c r="AG605">
        <v>0</v>
      </c>
      <c r="AH605">
        <v>0</v>
      </c>
      <c r="AI605" s="4">
        <v>38167</v>
      </c>
    </row>
    <row r="606" spans="1:35">
      <c r="A606">
        <v>605</v>
      </c>
      <c r="B606" t="str">
        <f>"603578"</f>
        <v>603578</v>
      </c>
      <c r="C606" t="s">
        <v>4464</v>
      </c>
      <c r="D606" s="4">
        <v>43190</v>
      </c>
      <c r="E606" t="s">
        <v>4121</v>
      </c>
      <c r="F606" t="s">
        <v>4465</v>
      </c>
      <c r="G606">
        <v>1700</v>
      </c>
      <c r="H606">
        <v>0.2</v>
      </c>
      <c r="I606">
        <v>5.64</v>
      </c>
      <c r="J606">
        <v>3.42</v>
      </c>
      <c r="K606" t="s">
        <v>4058</v>
      </c>
      <c r="L606">
        <v>9.56</v>
      </c>
      <c r="M606" t="s">
        <v>4466</v>
      </c>
      <c r="N606" t="s">
        <v>4467</v>
      </c>
      <c r="O606" t="s">
        <v>4466</v>
      </c>
      <c r="P606" t="s">
        <v>3625</v>
      </c>
      <c r="Q606">
        <v>21.73</v>
      </c>
      <c r="R606" t="s">
        <v>657</v>
      </c>
      <c r="S606">
        <v>1.38</v>
      </c>
      <c r="T606">
        <v>27.96</v>
      </c>
      <c r="U606" t="s">
        <v>1652</v>
      </c>
      <c r="V606" t="s">
        <v>1059</v>
      </c>
      <c r="W606" t="s">
        <v>4468</v>
      </c>
      <c r="X606">
        <v>3.42</v>
      </c>
      <c r="Y606" t="s">
        <v>4469</v>
      </c>
      <c r="Z606" t="s">
        <v>4470</v>
      </c>
      <c r="AA606" t="s">
        <v>4471</v>
      </c>
      <c r="AB606">
        <v>3.81</v>
      </c>
      <c r="AC606" t="s">
        <v>97</v>
      </c>
      <c r="AD606">
        <v>86.41</v>
      </c>
      <c r="AE606" t="s">
        <v>1995</v>
      </c>
      <c r="AF606">
        <v>2.97</v>
      </c>
      <c r="AG606">
        <v>0</v>
      </c>
      <c r="AH606">
        <v>0</v>
      </c>
      <c r="AI606" s="4">
        <v>42800</v>
      </c>
    </row>
    <row r="607" spans="1:35">
      <c r="A607">
        <v>606</v>
      </c>
      <c r="B607" t="str">
        <f>"300309"</f>
        <v>300309</v>
      </c>
      <c r="C607" t="s">
        <v>4472</v>
      </c>
      <c r="D607" s="4">
        <v>43190</v>
      </c>
      <c r="E607" t="s">
        <v>616</v>
      </c>
      <c r="F607" t="s">
        <v>704</v>
      </c>
      <c r="G607" t="s">
        <v>4473</v>
      </c>
      <c r="H607">
        <v>0.12</v>
      </c>
      <c r="I607">
        <v>3.58</v>
      </c>
      <c r="J607">
        <v>3.42</v>
      </c>
      <c r="K607" t="s">
        <v>603</v>
      </c>
      <c r="L607">
        <v>-5.28</v>
      </c>
      <c r="M607" t="s">
        <v>4474</v>
      </c>
      <c r="N607" t="s">
        <v>4475</v>
      </c>
      <c r="O607" t="s">
        <v>4476</v>
      </c>
      <c r="P607" t="s">
        <v>4171</v>
      </c>
      <c r="Q607">
        <v>188.14</v>
      </c>
      <c r="R607" t="s">
        <v>1011</v>
      </c>
      <c r="S607">
        <v>0.44</v>
      </c>
      <c r="T607">
        <v>61.66</v>
      </c>
      <c r="U607" t="s">
        <v>1344</v>
      </c>
      <c r="V607" t="s">
        <v>124</v>
      </c>
      <c r="W607" t="s">
        <v>255</v>
      </c>
      <c r="X607">
        <v>3.42</v>
      </c>
      <c r="Y607" t="s">
        <v>305</v>
      </c>
      <c r="Z607" t="s">
        <v>124</v>
      </c>
      <c r="AA607" t="s">
        <v>2568</v>
      </c>
      <c r="AB607">
        <v>5.46</v>
      </c>
      <c r="AC607" t="s">
        <v>79</v>
      </c>
      <c r="AD607">
        <v>31.42</v>
      </c>
      <c r="AE607" t="s">
        <v>1079</v>
      </c>
      <c r="AF607">
        <v>2.0499999999999998</v>
      </c>
      <c r="AG607">
        <v>0</v>
      </c>
      <c r="AH607">
        <v>0</v>
      </c>
      <c r="AI607" s="4">
        <v>41009</v>
      </c>
    </row>
    <row r="608" spans="1:35">
      <c r="A608">
        <v>607</v>
      </c>
      <c r="B608" t="str">
        <f>"603607"</f>
        <v>603607</v>
      </c>
      <c r="C608" t="s">
        <v>4477</v>
      </c>
      <c r="D608" s="4">
        <v>43190</v>
      </c>
      <c r="E608" t="s">
        <v>86</v>
      </c>
      <c r="F608" t="s">
        <v>4478</v>
      </c>
      <c r="G608">
        <v>1758</v>
      </c>
      <c r="H608">
        <v>0.19</v>
      </c>
      <c r="I608">
        <v>5.42</v>
      </c>
      <c r="J608">
        <v>3.41</v>
      </c>
      <c r="K608" t="s">
        <v>863</v>
      </c>
      <c r="L608">
        <v>14.07</v>
      </c>
      <c r="M608" t="s">
        <v>4479</v>
      </c>
      <c r="N608" t="s">
        <v>4480</v>
      </c>
      <c r="O608" t="s">
        <v>4481</v>
      </c>
      <c r="P608" t="s">
        <v>4482</v>
      </c>
      <c r="Q608">
        <v>1.5</v>
      </c>
      <c r="R608" t="s">
        <v>321</v>
      </c>
      <c r="S608">
        <v>1.03</v>
      </c>
      <c r="T608">
        <v>29.11</v>
      </c>
      <c r="U608" t="s">
        <v>2235</v>
      </c>
      <c r="V608" t="s">
        <v>675</v>
      </c>
      <c r="W608" t="s">
        <v>4483</v>
      </c>
      <c r="X608">
        <v>3.41</v>
      </c>
      <c r="Y608" t="s">
        <v>1974</v>
      </c>
      <c r="Z608" t="s">
        <v>657</v>
      </c>
      <c r="AA608" t="s">
        <v>4484</v>
      </c>
      <c r="AB608">
        <v>4.66</v>
      </c>
      <c r="AC608" t="s">
        <v>1837</v>
      </c>
      <c r="AD608">
        <v>83.9</v>
      </c>
      <c r="AE608" t="s">
        <v>157</v>
      </c>
      <c r="AF608">
        <v>3.33</v>
      </c>
      <c r="AG608">
        <v>0</v>
      </c>
      <c r="AH608">
        <v>0</v>
      </c>
      <c r="AI608" s="4">
        <v>43033</v>
      </c>
    </row>
    <row r="609" spans="1:35">
      <c r="A609">
        <v>608</v>
      </c>
      <c r="B609" t="str">
        <f>"601366"</f>
        <v>601366</v>
      </c>
      <c r="C609" t="s">
        <v>4485</v>
      </c>
      <c r="D609" s="4">
        <v>43190</v>
      </c>
      <c r="E609" t="s">
        <v>2781</v>
      </c>
      <c r="F609" t="s">
        <v>611</v>
      </c>
      <c r="G609">
        <v>3195</v>
      </c>
      <c r="H609">
        <v>0.18</v>
      </c>
      <c r="I609">
        <v>5.45</v>
      </c>
      <c r="J609">
        <v>3.41</v>
      </c>
      <c r="K609" t="s">
        <v>946</v>
      </c>
      <c r="L609">
        <v>5.45</v>
      </c>
      <c r="M609" t="s">
        <v>618</v>
      </c>
      <c r="N609" t="s">
        <v>4486</v>
      </c>
      <c r="O609" t="s">
        <v>193</v>
      </c>
      <c r="P609" t="s">
        <v>382</v>
      </c>
      <c r="Q609">
        <v>37.6</v>
      </c>
      <c r="R609" t="s">
        <v>867</v>
      </c>
      <c r="S609">
        <v>2.02</v>
      </c>
      <c r="T609">
        <v>21.71</v>
      </c>
      <c r="U609" t="s">
        <v>4487</v>
      </c>
      <c r="V609" t="s">
        <v>2064</v>
      </c>
      <c r="W609" t="s">
        <v>1242</v>
      </c>
      <c r="X609">
        <v>3.41</v>
      </c>
      <c r="Y609" t="s">
        <v>1391</v>
      </c>
      <c r="Z609" t="s">
        <v>1396</v>
      </c>
      <c r="AA609" t="s">
        <v>595</v>
      </c>
      <c r="AB609">
        <v>1.65</v>
      </c>
      <c r="AC609" t="s">
        <v>811</v>
      </c>
      <c r="AD609">
        <v>58.12</v>
      </c>
      <c r="AE609" t="s">
        <v>775</v>
      </c>
      <c r="AF609">
        <v>2.0499999999999998</v>
      </c>
      <c r="AG609">
        <v>0</v>
      </c>
      <c r="AH609">
        <v>0</v>
      </c>
      <c r="AI609" s="4">
        <v>42837</v>
      </c>
    </row>
    <row r="610" spans="1:35">
      <c r="A610">
        <v>609</v>
      </c>
      <c r="B610" t="str">
        <f>"300687"</f>
        <v>300687</v>
      </c>
      <c r="C610" t="s">
        <v>4488</v>
      </c>
      <c r="D610" s="4">
        <v>43190</v>
      </c>
      <c r="E610" t="s">
        <v>1016</v>
      </c>
      <c r="F610" t="s">
        <v>3223</v>
      </c>
      <c r="G610">
        <v>2183</v>
      </c>
      <c r="H610">
        <v>7.0000000000000007E-2</v>
      </c>
      <c r="I610">
        <v>5.27</v>
      </c>
      <c r="J610">
        <v>3.41</v>
      </c>
      <c r="K610" t="s">
        <v>863</v>
      </c>
      <c r="L610">
        <v>5.21</v>
      </c>
      <c r="M610" t="s">
        <v>1466</v>
      </c>
      <c r="N610" t="s">
        <v>4489</v>
      </c>
      <c r="O610" t="s">
        <v>4490</v>
      </c>
      <c r="P610" t="s">
        <v>4491</v>
      </c>
      <c r="Q610">
        <v>-35.770000000000003</v>
      </c>
      <c r="R610" t="s">
        <v>1597</v>
      </c>
      <c r="S610">
        <v>1.1200000000000001</v>
      </c>
      <c r="T610">
        <v>27.32</v>
      </c>
      <c r="U610" t="s">
        <v>3145</v>
      </c>
      <c r="V610" t="s">
        <v>652</v>
      </c>
      <c r="W610" t="s">
        <v>4492</v>
      </c>
      <c r="X610">
        <v>3.41</v>
      </c>
      <c r="Y610" t="s">
        <v>4493</v>
      </c>
      <c r="Z610" t="s">
        <v>4493</v>
      </c>
      <c r="AA610">
        <v>0</v>
      </c>
      <c r="AB610">
        <v>4.79</v>
      </c>
      <c r="AC610" t="s">
        <v>1162</v>
      </c>
      <c r="AD610">
        <v>88.64</v>
      </c>
      <c r="AE610" t="s">
        <v>3374</v>
      </c>
      <c r="AF610">
        <v>3.01</v>
      </c>
      <c r="AG610">
        <v>0</v>
      </c>
      <c r="AH610">
        <v>0</v>
      </c>
      <c r="AI610" s="4">
        <v>42950</v>
      </c>
    </row>
    <row r="611" spans="1:35">
      <c r="A611">
        <v>610</v>
      </c>
      <c r="B611" t="str">
        <f>"300429"</f>
        <v>300429</v>
      </c>
      <c r="C611" t="s">
        <v>4494</v>
      </c>
      <c r="D611" s="4">
        <v>43190</v>
      </c>
      <c r="E611" t="s">
        <v>798</v>
      </c>
      <c r="F611" t="s">
        <v>657</v>
      </c>
      <c r="G611" t="s">
        <v>4495</v>
      </c>
      <c r="H611">
        <v>0.14000000000000001</v>
      </c>
      <c r="I611">
        <v>5.35</v>
      </c>
      <c r="J611">
        <v>3.41</v>
      </c>
      <c r="K611" t="s">
        <v>290</v>
      </c>
      <c r="L611">
        <v>24.45</v>
      </c>
      <c r="M611" t="s">
        <v>4496</v>
      </c>
      <c r="N611" t="s">
        <v>4399</v>
      </c>
      <c r="O611" t="s">
        <v>4497</v>
      </c>
      <c r="P611" t="s">
        <v>4498</v>
      </c>
      <c r="Q611">
        <v>23.89</v>
      </c>
      <c r="R611" t="s">
        <v>1476</v>
      </c>
      <c r="S611">
        <v>1.51</v>
      </c>
      <c r="T611">
        <v>44.15</v>
      </c>
      <c r="U611" t="s">
        <v>624</v>
      </c>
      <c r="V611" t="s">
        <v>943</v>
      </c>
      <c r="W611" t="s">
        <v>342</v>
      </c>
      <c r="X611">
        <v>3.41</v>
      </c>
      <c r="Y611" t="s">
        <v>262</v>
      </c>
      <c r="Z611" t="s">
        <v>1202</v>
      </c>
      <c r="AA611" t="s">
        <v>4499</v>
      </c>
      <c r="AB611">
        <v>5.08</v>
      </c>
      <c r="AC611" t="s">
        <v>602</v>
      </c>
      <c r="AD611">
        <v>79.22</v>
      </c>
      <c r="AE611" t="s">
        <v>375</v>
      </c>
      <c r="AF611">
        <v>2.75</v>
      </c>
      <c r="AG611">
        <v>0</v>
      </c>
      <c r="AH611">
        <v>0</v>
      </c>
      <c r="AI611" s="4">
        <v>42087</v>
      </c>
    </row>
    <row r="612" spans="1:35">
      <c r="A612">
        <v>611</v>
      </c>
      <c r="B612" t="str">
        <f>"601229"</f>
        <v>601229</v>
      </c>
      <c r="C612" t="s">
        <v>4500</v>
      </c>
      <c r="D612" s="4">
        <v>43190</v>
      </c>
      <c r="E612" t="s">
        <v>4501</v>
      </c>
      <c r="F612" t="s">
        <v>2725</v>
      </c>
      <c r="G612" t="s">
        <v>3240</v>
      </c>
      <c r="H612">
        <v>0.56000000000000005</v>
      </c>
      <c r="I612">
        <v>16.850000000000001</v>
      </c>
      <c r="J612">
        <v>3.4</v>
      </c>
      <c r="K612" t="s">
        <v>1132</v>
      </c>
      <c r="L612">
        <v>11.86</v>
      </c>
      <c r="M612" t="s">
        <v>3288</v>
      </c>
      <c r="N612" t="s">
        <v>2291</v>
      </c>
      <c r="O612" t="s">
        <v>1277</v>
      </c>
      <c r="P612" t="s">
        <v>773</v>
      </c>
      <c r="Q612">
        <v>13.52</v>
      </c>
      <c r="R612" t="s">
        <v>3371</v>
      </c>
      <c r="S612">
        <v>5.57</v>
      </c>
      <c r="T612">
        <v>0</v>
      </c>
      <c r="U612" t="s">
        <v>3274</v>
      </c>
      <c r="V612">
        <v>0</v>
      </c>
      <c r="W612" t="s">
        <v>2267</v>
      </c>
      <c r="X612">
        <v>3.4</v>
      </c>
      <c r="Y612" t="s">
        <v>4502</v>
      </c>
      <c r="Z612">
        <v>0</v>
      </c>
      <c r="AA612">
        <v>0</v>
      </c>
      <c r="AB612">
        <v>0.94</v>
      </c>
      <c r="AC612" t="s">
        <v>4503</v>
      </c>
      <c r="AD612">
        <v>8.24</v>
      </c>
      <c r="AE612" t="s">
        <v>1148</v>
      </c>
      <c r="AF612">
        <v>3.65</v>
      </c>
      <c r="AG612">
        <v>0</v>
      </c>
      <c r="AH612">
        <v>0</v>
      </c>
      <c r="AI612" s="4">
        <v>42690</v>
      </c>
    </row>
    <row r="613" spans="1:35">
      <c r="A613">
        <v>612</v>
      </c>
      <c r="B613" t="str">
        <f>"600850"</f>
        <v>600850</v>
      </c>
      <c r="C613" t="s">
        <v>4504</v>
      </c>
      <c r="D613" s="4">
        <v>43190</v>
      </c>
      <c r="E613" t="s">
        <v>3376</v>
      </c>
      <c r="F613" t="s">
        <v>3376</v>
      </c>
      <c r="G613" t="s">
        <v>4505</v>
      </c>
      <c r="H613">
        <v>0.17</v>
      </c>
      <c r="I613">
        <v>5.22</v>
      </c>
      <c r="J613">
        <v>3.4</v>
      </c>
      <c r="K613" t="s">
        <v>161</v>
      </c>
      <c r="L613">
        <v>8.8800000000000008</v>
      </c>
      <c r="M613" t="s">
        <v>4506</v>
      </c>
      <c r="N613" t="s">
        <v>4507</v>
      </c>
      <c r="O613" t="s">
        <v>4506</v>
      </c>
      <c r="P613" t="s">
        <v>4508</v>
      </c>
      <c r="Q613">
        <v>-4.18</v>
      </c>
      <c r="R613" t="s">
        <v>820</v>
      </c>
      <c r="S613">
        <v>4.0199999999999996</v>
      </c>
      <c r="T613">
        <v>16.78</v>
      </c>
      <c r="U613" t="s">
        <v>4509</v>
      </c>
      <c r="V613" t="s">
        <v>762</v>
      </c>
      <c r="W613" t="s">
        <v>4510</v>
      </c>
      <c r="X613">
        <v>3.4</v>
      </c>
      <c r="Y613" t="s">
        <v>260</v>
      </c>
      <c r="Z613" t="s">
        <v>260</v>
      </c>
      <c r="AA613">
        <v>0</v>
      </c>
      <c r="AB613">
        <v>3.68</v>
      </c>
      <c r="AC613" t="s">
        <v>789</v>
      </c>
      <c r="AD613">
        <v>43.69</v>
      </c>
      <c r="AE613" t="s">
        <v>4511</v>
      </c>
      <c r="AF613">
        <v>7.0000000000000007E-2</v>
      </c>
      <c r="AG613">
        <v>0</v>
      </c>
      <c r="AH613">
        <v>0</v>
      </c>
      <c r="AI613" s="4">
        <v>34417</v>
      </c>
    </row>
    <row r="614" spans="1:35">
      <c r="A614">
        <v>613</v>
      </c>
      <c r="B614" t="str">
        <f>"000968"</f>
        <v>000968</v>
      </c>
      <c r="C614" t="s">
        <v>4512</v>
      </c>
      <c r="D614" s="4">
        <v>43190</v>
      </c>
      <c r="E614" t="s">
        <v>2705</v>
      </c>
      <c r="F614" t="s">
        <v>97</v>
      </c>
      <c r="G614" t="s">
        <v>3761</v>
      </c>
      <c r="H614">
        <v>0.11</v>
      </c>
      <c r="I614">
        <v>3.38</v>
      </c>
      <c r="J614">
        <v>3.4</v>
      </c>
      <c r="K614" t="s">
        <v>1789</v>
      </c>
      <c r="L614">
        <v>-4.6399999999999997</v>
      </c>
      <c r="M614" t="s">
        <v>595</v>
      </c>
      <c r="N614">
        <v>0</v>
      </c>
      <c r="O614" t="s">
        <v>595</v>
      </c>
      <c r="P614" t="s">
        <v>600</v>
      </c>
      <c r="Q614">
        <v>46.24</v>
      </c>
      <c r="R614" t="s">
        <v>295</v>
      </c>
      <c r="S614">
        <v>1.1100000000000001</v>
      </c>
      <c r="T614">
        <v>40.020000000000003</v>
      </c>
      <c r="U614" t="s">
        <v>4513</v>
      </c>
      <c r="V614" t="s">
        <v>1205</v>
      </c>
      <c r="W614" t="s">
        <v>2339</v>
      </c>
      <c r="X614">
        <v>3.4</v>
      </c>
      <c r="Y614" t="s">
        <v>1486</v>
      </c>
      <c r="Z614" t="s">
        <v>1908</v>
      </c>
      <c r="AA614" t="s">
        <v>521</v>
      </c>
      <c r="AB614">
        <v>2.73</v>
      </c>
      <c r="AC614" t="s">
        <v>273</v>
      </c>
      <c r="AD614">
        <v>45.96</v>
      </c>
      <c r="AE614" t="s">
        <v>4514</v>
      </c>
      <c r="AF614">
        <v>1.01</v>
      </c>
      <c r="AG614">
        <v>0</v>
      </c>
      <c r="AH614">
        <v>0</v>
      </c>
      <c r="AI614" s="4">
        <v>36699</v>
      </c>
    </row>
    <row r="615" spans="1:35">
      <c r="A615">
        <v>614</v>
      </c>
      <c r="B615" t="str">
        <f>"300243"</f>
        <v>300243</v>
      </c>
      <c r="C615" t="s">
        <v>4515</v>
      </c>
      <c r="D615" s="4">
        <v>43190</v>
      </c>
      <c r="E615" t="s">
        <v>862</v>
      </c>
      <c r="F615" t="s">
        <v>290</v>
      </c>
      <c r="G615" t="s">
        <v>3091</v>
      </c>
      <c r="H615">
        <v>0.08</v>
      </c>
      <c r="I615">
        <v>2.62</v>
      </c>
      <c r="J615">
        <v>3.39</v>
      </c>
      <c r="K615" t="s">
        <v>1124</v>
      </c>
      <c r="L615">
        <v>16.93</v>
      </c>
      <c r="M615" t="s">
        <v>4516</v>
      </c>
      <c r="N615">
        <v>0</v>
      </c>
      <c r="O615" t="s">
        <v>4517</v>
      </c>
      <c r="P615" t="s">
        <v>4518</v>
      </c>
      <c r="Q615">
        <v>277.33</v>
      </c>
      <c r="R615" t="s">
        <v>1905</v>
      </c>
      <c r="S615">
        <v>1.19</v>
      </c>
      <c r="T615">
        <v>25.68</v>
      </c>
      <c r="U615" t="s">
        <v>4345</v>
      </c>
      <c r="V615" t="s">
        <v>1015</v>
      </c>
      <c r="W615" t="s">
        <v>807</v>
      </c>
      <c r="X615">
        <v>3.39</v>
      </c>
      <c r="Y615" t="s">
        <v>922</v>
      </c>
      <c r="Z615" t="s">
        <v>1209</v>
      </c>
      <c r="AA615" t="s">
        <v>4519</v>
      </c>
      <c r="AB615">
        <v>3.61</v>
      </c>
      <c r="AC615" t="s">
        <v>769</v>
      </c>
      <c r="AD615">
        <v>54.19</v>
      </c>
      <c r="AE615" t="s">
        <v>4520</v>
      </c>
      <c r="AF615">
        <v>0.3</v>
      </c>
      <c r="AG615">
        <v>0</v>
      </c>
      <c r="AH615">
        <v>0</v>
      </c>
      <c r="AI615" s="4">
        <v>40736</v>
      </c>
    </row>
    <row r="616" spans="1:35">
      <c r="A616">
        <v>615</v>
      </c>
      <c r="B616" t="str">
        <f>"002911"</f>
        <v>002911</v>
      </c>
      <c r="C616" t="s">
        <v>4521</v>
      </c>
      <c r="D616" s="4">
        <v>43190</v>
      </c>
      <c r="E616" t="s">
        <v>2392</v>
      </c>
      <c r="F616" t="s">
        <v>4522</v>
      </c>
      <c r="G616">
        <v>1456</v>
      </c>
      <c r="H616">
        <v>0.15</v>
      </c>
      <c r="I616">
        <v>4.1500000000000004</v>
      </c>
      <c r="J616">
        <v>3.39</v>
      </c>
      <c r="K616" t="s">
        <v>147</v>
      </c>
      <c r="L616">
        <v>19.25</v>
      </c>
      <c r="M616" t="s">
        <v>372</v>
      </c>
      <c r="N616">
        <v>0</v>
      </c>
      <c r="O616" t="s">
        <v>84</v>
      </c>
      <c r="P616" t="s">
        <v>1973</v>
      </c>
      <c r="Q616">
        <v>47.07</v>
      </c>
      <c r="R616" t="s">
        <v>1223</v>
      </c>
      <c r="S616">
        <v>1.66</v>
      </c>
      <c r="T616">
        <v>18.45</v>
      </c>
      <c r="U616" t="s">
        <v>572</v>
      </c>
      <c r="V616" t="s">
        <v>1244</v>
      </c>
      <c r="W616" t="s">
        <v>2100</v>
      </c>
      <c r="X616">
        <v>3.39</v>
      </c>
      <c r="Y616" t="s">
        <v>316</v>
      </c>
      <c r="Z616" t="s">
        <v>1052</v>
      </c>
      <c r="AA616" t="s">
        <v>1714</v>
      </c>
      <c r="AB616">
        <v>5.21</v>
      </c>
      <c r="AC616" t="s">
        <v>1687</v>
      </c>
      <c r="AD616">
        <v>47.35</v>
      </c>
      <c r="AE616" t="s">
        <v>1276</v>
      </c>
      <c r="AF616">
        <v>1.19</v>
      </c>
      <c r="AG616">
        <v>0</v>
      </c>
      <c r="AH616">
        <v>0</v>
      </c>
      <c r="AI616" s="4">
        <v>43061</v>
      </c>
    </row>
    <row r="617" spans="1:35">
      <c r="A617">
        <v>616</v>
      </c>
      <c r="B617" t="str">
        <f>"002661"</f>
        <v>002661</v>
      </c>
      <c r="C617" t="s">
        <v>4523</v>
      </c>
      <c r="D617" s="4">
        <v>43190</v>
      </c>
      <c r="E617" t="s">
        <v>1967</v>
      </c>
      <c r="F617" t="s">
        <v>1400</v>
      </c>
      <c r="G617" t="s">
        <v>2266</v>
      </c>
      <c r="H617">
        <v>0.22</v>
      </c>
      <c r="I617">
        <v>6.46</v>
      </c>
      <c r="J617">
        <v>3.39</v>
      </c>
      <c r="K617" t="s">
        <v>380</v>
      </c>
      <c r="L617">
        <v>45.19</v>
      </c>
      <c r="M617" t="s">
        <v>4524</v>
      </c>
      <c r="N617" t="s">
        <v>4525</v>
      </c>
      <c r="O617" t="s">
        <v>4526</v>
      </c>
      <c r="P617" t="s">
        <v>4527</v>
      </c>
      <c r="Q617">
        <v>110.86</v>
      </c>
      <c r="R617" t="s">
        <v>498</v>
      </c>
      <c r="S617">
        <v>1.21</v>
      </c>
      <c r="T617">
        <v>25.38</v>
      </c>
      <c r="U617" t="s">
        <v>1542</v>
      </c>
      <c r="V617" t="s">
        <v>747</v>
      </c>
      <c r="W617" t="s">
        <v>1756</v>
      </c>
      <c r="X617">
        <v>3.39</v>
      </c>
      <c r="Y617" t="s">
        <v>523</v>
      </c>
      <c r="Z617" t="s">
        <v>1671</v>
      </c>
      <c r="AA617" t="s">
        <v>4528</v>
      </c>
      <c r="AB617">
        <v>1.9</v>
      </c>
      <c r="AC617" t="s">
        <v>114</v>
      </c>
      <c r="AD617">
        <v>75.02</v>
      </c>
      <c r="AE617" t="s">
        <v>971</v>
      </c>
      <c r="AF617">
        <v>4.0999999999999996</v>
      </c>
      <c r="AG617">
        <v>0</v>
      </c>
      <c r="AH617">
        <v>0</v>
      </c>
      <c r="AI617" s="4">
        <v>40984</v>
      </c>
    </row>
    <row r="618" spans="1:35">
      <c r="A618">
        <v>617</v>
      </c>
      <c r="B618" t="str">
        <f>"002550"</f>
        <v>002550</v>
      </c>
      <c r="C618" t="s">
        <v>4529</v>
      </c>
      <c r="D618" s="4">
        <v>43190</v>
      </c>
      <c r="E618" t="s">
        <v>926</v>
      </c>
      <c r="F618" t="s">
        <v>3494</v>
      </c>
      <c r="G618" t="s">
        <v>1199</v>
      </c>
      <c r="H618">
        <v>7.0000000000000007E-2</v>
      </c>
      <c r="I618">
        <v>1.97</v>
      </c>
      <c r="J618">
        <v>3.39</v>
      </c>
      <c r="K618" t="s">
        <v>499</v>
      </c>
      <c r="L618">
        <v>38.729999999999997</v>
      </c>
      <c r="M618" t="s">
        <v>651</v>
      </c>
      <c r="N618">
        <v>0</v>
      </c>
      <c r="O618" t="s">
        <v>533</v>
      </c>
      <c r="P618" t="s">
        <v>4530</v>
      </c>
      <c r="Q618">
        <v>19.399999999999999</v>
      </c>
      <c r="R618" t="s">
        <v>919</v>
      </c>
      <c r="S618">
        <v>0.81</v>
      </c>
      <c r="T618">
        <v>45.57</v>
      </c>
      <c r="U618" t="s">
        <v>946</v>
      </c>
      <c r="V618" t="s">
        <v>242</v>
      </c>
      <c r="W618" t="s">
        <v>2063</v>
      </c>
      <c r="X618">
        <v>3.39</v>
      </c>
      <c r="Y618" t="s">
        <v>2413</v>
      </c>
      <c r="Z618" t="s">
        <v>647</v>
      </c>
      <c r="AA618" t="s">
        <v>4531</v>
      </c>
      <c r="AB618">
        <v>2.8</v>
      </c>
      <c r="AC618" t="s">
        <v>1347</v>
      </c>
      <c r="AD618">
        <v>81.78</v>
      </c>
      <c r="AE618" t="s">
        <v>4532</v>
      </c>
      <c r="AF618">
        <v>0.03</v>
      </c>
      <c r="AG618">
        <v>0</v>
      </c>
      <c r="AH618">
        <v>0</v>
      </c>
      <c r="AI618" s="4">
        <v>40592</v>
      </c>
    </row>
    <row r="619" spans="1:35">
      <c r="A619">
        <v>618</v>
      </c>
      <c r="B619" t="str">
        <f>"603680"</f>
        <v>603680</v>
      </c>
      <c r="C619" t="s">
        <v>4533</v>
      </c>
      <c r="D619" s="4">
        <v>43190</v>
      </c>
      <c r="E619" t="s">
        <v>324</v>
      </c>
      <c r="F619" t="s">
        <v>4534</v>
      </c>
      <c r="G619">
        <v>1232</v>
      </c>
      <c r="H619">
        <v>0.21</v>
      </c>
      <c r="I619">
        <v>8.36</v>
      </c>
      <c r="J619">
        <v>3.38</v>
      </c>
      <c r="K619" t="s">
        <v>2921</v>
      </c>
      <c r="L619">
        <v>21.01</v>
      </c>
      <c r="M619" t="s">
        <v>600</v>
      </c>
      <c r="N619" t="s">
        <v>4535</v>
      </c>
      <c r="O619" t="s">
        <v>600</v>
      </c>
      <c r="P619" t="s">
        <v>4536</v>
      </c>
      <c r="Q619">
        <v>-14.72</v>
      </c>
      <c r="R619" t="s">
        <v>521</v>
      </c>
      <c r="S619">
        <v>2.5299999999999998</v>
      </c>
      <c r="T619">
        <v>36.32</v>
      </c>
      <c r="U619" t="s">
        <v>2501</v>
      </c>
      <c r="V619" t="s">
        <v>742</v>
      </c>
      <c r="W619" t="s">
        <v>1042</v>
      </c>
      <c r="X619">
        <v>3.38</v>
      </c>
      <c r="Y619" t="s">
        <v>2833</v>
      </c>
      <c r="Z619" t="s">
        <v>1242</v>
      </c>
      <c r="AA619" t="s">
        <v>883</v>
      </c>
      <c r="AB619">
        <v>3.55</v>
      </c>
      <c r="AC619" t="s">
        <v>1225</v>
      </c>
      <c r="AD619">
        <v>48.7</v>
      </c>
      <c r="AE619" t="s">
        <v>304</v>
      </c>
      <c r="AF619">
        <v>4.09</v>
      </c>
      <c r="AG619">
        <v>0</v>
      </c>
      <c r="AH619">
        <v>0</v>
      </c>
      <c r="AI619" s="4">
        <v>43158</v>
      </c>
    </row>
    <row r="620" spans="1:35">
      <c r="A620">
        <v>619</v>
      </c>
      <c r="B620" t="str">
        <f>"603298"</f>
        <v>603298</v>
      </c>
      <c r="C620" t="s">
        <v>4537</v>
      </c>
      <c r="D620" s="4">
        <v>43190</v>
      </c>
      <c r="E620" t="s">
        <v>3900</v>
      </c>
      <c r="F620" t="s">
        <v>368</v>
      </c>
      <c r="G620">
        <v>5532</v>
      </c>
      <c r="H620">
        <v>0.19</v>
      </c>
      <c r="I620">
        <v>5.54</v>
      </c>
      <c r="J620">
        <v>3.38</v>
      </c>
      <c r="K620" t="s">
        <v>510</v>
      </c>
      <c r="L620">
        <v>15.84</v>
      </c>
      <c r="M620" t="s">
        <v>93</v>
      </c>
      <c r="N620" t="s">
        <v>4157</v>
      </c>
      <c r="O620" t="s">
        <v>2424</v>
      </c>
      <c r="P620" t="s">
        <v>280</v>
      </c>
      <c r="Q620">
        <v>1.61</v>
      </c>
      <c r="R620" t="s">
        <v>1343</v>
      </c>
      <c r="S620">
        <v>2.5299999999999998</v>
      </c>
      <c r="T620">
        <v>19.760000000000002</v>
      </c>
      <c r="U620" t="s">
        <v>3982</v>
      </c>
      <c r="V620" t="s">
        <v>830</v>
      </c>
      <c r="W620" t="s">
        <v>4097</v>
      </c>
      <c r="X620">
        <v>3.38</v>
      </c>
      <c r="Y620" t="s">
        <v>712</v>
      </c>
      <c r="Z620" t="s">
        <v>691</v>
      </c>
      <c r="AA620" t="s">
        <v>4538</v>
      </c>
      <c r="AB620">
        <v>2.19</v>
      </c>
      <c r="AC620" t="s">
        <v>940</v>
      </c>
      <c r="AD620">
        <v>60.93</v>
      </c>
      <c r="AE620" t="s">
        <v>4539</v>
      </c>
      <c r="AF620">
        <v>1.55</v>
      </c>
      <c r="AG620">
        <v>0</v>
      </c>
      <c r="AH620">
        <v>0</v>
      </c>
      <c r="AI620" s="4">
        <v>42731</v>
      </c>
    </row>
    <row r="621" spans="1:35">
      <c r="A621">
        <v>620</v>
      </c>
      <c r="B621" t="str">
        <f>"601998"</f>
        <v>601998</v>
      </c>
      <c r="C621" t="s">
        <v>4540</v>
      </c>
      <c r="D621" s="4">
        <v>43190</v>
      </c>
      <c r="E621" t="s">
        <v>4541</v>
      </c>
      <c r="F621" t="s">
        <v>4542</v>
      </c>
      <c r="G621" t="s">
        <v>4543</v>
      </c>
      <c r="H621">
        <v>0.25</v>
      </c>
      <c r="I621">
        <v>7.6</v>
      </c>
      <c r="J621">
        <v>3.38</v>
      </c>
      <c r="K621" t="s">
        <v>2314</v>
      </c>
      <c r="L621">
        <v>4.91</v>
      </c>
      <c r="M621" t="s">
        <v>587</v>
      </c>
      <c r="N621" t="s">
        <v>4544</v>
      </c>
      <c r="O621" t="s">
        <v>587</v>
      </c>
      <c r="P621" t="s">
        <v>580</v>
      </c>
      <c r="Q621">
        <v>6.82</v>
      </c>
      <c r="R621" t="s">
        <v>4545</v>
      </c>
      <c r="S621">
        <v>3.39</v>
      </c>
      <c r="T621">
        <v>0</v>
      </c>
      <c r="U621" t="s">
        <v>4546</v>
      </c>
      <c r="V621">
        <v>0</v>
      </c>
      <c r="W621" t="s">
        <v>2617</v>
      </c>
      <c r="X621">
        <v>3.38</v>
      </c>
      <c r="Y621" t="s">
        <v>4547</v>
      </c>
      <c r="Z621">
        <v>0</v>
      </c>
      <c r="AA621">
        <v>0</v>
      </c>
      <c r="AB621">
        <v>0.83</v>
      </c>
      <c r="AC621" t="s">
        <v>4548</v>
      </c>
      <c r="AD621">
        <v>7.23</v>
      </c>
      <c r="AE621" t="s">
        <v>3305</v>
      </c>
      <c r="AF621">
        <v>1.21</v>
      </c>
      <c r="AG621">
        <v>0</v>
      </c>
      <c r="AH621" t="s">
        <v>1741</v>
      </c>
      <c r="AI621" s="4">
        <v>39199</v>
      </c>
    </row>
    <row r="622" spans="1:35">
      <c r="A622">
        <v>621</v>
      </c>
      <c r="B622" t="str">
        <f>"600229"</f>
        <v>600229</v>
      </c>
      <c r="C622" t="s">
        <v>4549</v>
      </c>
      <c r="D622" s="4">
        <v>43190</v>
      </c>
      <c r="E622" t="s">
        <v>2001</v>
      </c>
      <c r="F622" t="s">
        <v>914</v>
      </c>
      <c r="G622">
        <v>9871</v>
      </c>
      <c r="H622">
        <v>0.11</v>
      </c>
      <c r="I622">
        <v>3.41</v>
      </c>
      <c r="J622">
        <v>3.38</v>
      </c>
      <c r="K622" t="s">
        <v>860</v>
      </c>
      <c r="L622">
        <v>7.12</v>
      </c>
      <c r="M622" t="s">
        <v>686</v>
      </c>
      <c r="N622" t="s">
        <v>4232</v>
      </c>
      <c r="O622" t="s">
        <v>4550</v>
      </c>
      <c r="P622" t="s">
        <v>3647</v>
      </c>
      <c r="Q622">
        <v>22.55</v>
      </c>
      <c r="R622" t="s">
        <v>982</v>
      </c>
      <c r="S622">
        <v>1.73</v>
      </c>
      <c r="T622">
        <v>40.74</v>
      </c>
      <c r="U622" t="s">
        <v>2093</v>
      </c>
      <c r="V622" t="s">
        <v>1126</v>
      </c>
      <c r="W622" t="s">
        <v>1645</v>
      </c>
      <c r="X622">
        <v>3.38</v>
      </c>
      <c r="Y622" t="s">
        <v>613</v>
      </c>
      <c r="Z622" t="s">
        <v>147</v>
      </c>
      <c r="AA622" t="s">
        <v>3695</v>
      </c>
      <c r="AB622">
        <v>2.2200000000000002</v>
      </c>
      <c r="AC622" t="s">
        <v>1348</v>
      </c>
      <c r="AD622">
        <v>67.319999999999993</v>
      </c>
      <c r="AE622" t="s">
        <v>335</v>
      </c>
      <c r="AF622">
        <v>0.63</v>
      </c>
      <c r="AG622">
        <v>0</v>
      </c>
      <c r="AH622">
        <v>0</v>
      </c>
      <c r="AI622" s="4">
        <v>36594</v>
      </c>
    </row>
    <row r="623" spans="1:35">
      <c r="A623">
        <v>622</v>
      </c>
      <c r="B623" t="str">
        <f>"000951"</f>
        <v>000951</v>
      </c>
      <c r="C623" t="s">
        <v>4551</v>
      </c>
      <c r="D623" s="4">
        <v>43190</v>
      </c>
      <c r="E623" t="s">
        <v>4552</v>
      </c>
      <c r="F623" t="s">
        <v>4552</v>
      </c>
      <c r="G623" t="s">
        <v>4553</v>
      </c>
      <c r="H623">
        <v>0.28999999999999998</v>
      </c>
      <c r="I623">
        <v>8.01</v>
      </c>
      <c r="J623">
        <v>3.38</v>
      </c>
      <c r="K623" t="s">
        <v>1411</v>
      </c>
      <c r="L623">
        <v>29.42</v>
      </c>
      <c r="M623" t="s">
        <v>89</v>
      </c>
      <c r="N623">
        <v>0</v>
      </c>
      <c r="O623" t="s">
        <v>1672</v>
      </c>
      <c r="P623" t="s">
        <v>3332</v>
      </c>
      <c r="Q623">
        <v>15.37</v>
      </c>
      <c r="R623" t="s">
        <v>3571</v>
      </c>
      <c r="S623">
        <v>5.43</v>
      </c>
      <c r="T623">
        <v>8.98</v>
      </c>
      <c r="U623" t="s">
        <v>2335</v>
      </c>
      <c r="V623" t="s">
        <v>3685</v>
      </c>
      <c r="W623" t="s">
        <v>982</v>
      </c>
      <c r="X623">
        <v>3.38</v>
      </c>
      <c r="Y623" t="s">
        <v>1150</v>
      </c>
      <c r="Z623" t="s">
        <v>4554</v>
      </c>
      <c r="AA623" t="s">
        <v>3768</v>
      </c>
      <c r="AB623">
        <v>1.65</v>
      </c>
      <c r="AC623" t="s">
        <v>2639</v>
      </c>
      <c r="AD623">
        <v>20.55</v>
      </c>
      <c r="AE623" t="s">
        <v>1295</v>
      </c>
      <c r="AF623">
        <v>0.64</v>
      </c>
      <c r="AG623">
        <v>0</v>
      </c>
      <c r="AH623">
        <v>0</v>
      </c>
      <c r="AI623" s="4">
        <v>36489</v>
      </c>
    </row>
    <row r="624" spans="1:35">
      <c r="A624">
        <v>623</v>
      </c>
      <c r="B624" t="str">
        <f>"603866"</f>
        <v>603866</v>
      </c>
      <c r="C624" t="s">
        <v>4555</v>
      </c>
      <c r="D624" s="4">
        <v>43190</v>
      </c>
      <c r="E624" t="s">
        <v>1006</v>
      </c>
      <c r="F624" t="s">
        <v>4556</v>
      </c>
      <c r="G624">
        <v>8858</v>
      </c>
      <c r="H624">
        <v>0.23</v>
      </c>
      <c r="I624">
        <v>6.14</v>
      </c>
      <c r="J624">
        <v>3.37</v>
      </c>
      <c r="K624" t="s">
        <v>3630</v>
      </c>
      <c r="L624">
        <v>20.57</v>
      </c>
      <c r="M624" t="s">
        <v>993</v>
      </c>
      <c r="N624" t="s">
        <v>4557</v>
      </c>
      <c r="O624" t="s">
        <v>657</v>
      </c>
      <c r="P624" t="s">
        <v>71</v>
      </c>
      <c r="Q624">
        <v>51.6</v>
      </c>
      <c r="R624" t="s">
        <v>350</v>
      </c>
      <c r="S624">
        <v>2.1</v>
      </c>
      <c r="T624">
        <v>38.82</v>
      </c>
      <c r="U624" t="s">
        <v>4558</v>
      </c>
      <c r="V624" t="s">
        <v>275</v>
      </c>
      <c r="W624" t="s">
        <v>101</v>
      </c>
      <c r="X624">
        <v>3.37</v>
      </c>
      <c r="Y624" t="s">
        <v>375</v>
      </c>
      <c r="Z624" t="s">
        <v>2268</v>
      </c>
      <c r="AA624" t="s">
        <v>4559</v>
      </c>
      <c r="AB624">
        <v>8.5399999999999991</v>
      </c>
      <c r="AC624" t="s">
        <v>2700</v>
      </c>
      <c r="AD624">
        <v>89.53</v>
      </c>
      <c r="AE624" t="s">
        <v>405</v>
      </c>
      <c r="AF624">
        <v>2.61</v>
      </c>
      <c r="AG624">
        <v>0</v>
      </c>
      <c r="AH624">
        <v>0</v>
      </c>
      <c r="AI624" s="4">
        <v>42360</v>
      </c>
    </row>
    <row r="625" spans="1:35">
      <c r="A625">
        <v>624</v>
      </c>
      <c r="B625" t="str">
        <f>"603013"</f>
        <v>603013</v>
      </c>
      <c r="C625" t="s">
        <v>4560</v>
      </c>
      <c r="D625" s="4">
        <v>43190</v>
      </c>
      <c r="E625" t="s">
        <v>1076</v>
      </c>
      <c r="F625" t="s">
        <v>4561</v>
      </c>
      <c r="G625">
        <v>0</v>
      </c>
      <c r="H625">
        <v>0.14000000000000001</v>
      </c>
      <c r="I625">
        <v>5.45</v>
      </c>
      <c r="J625">
        <v>3.37</v>
      </c>
      <c r="K625" t="s">
        <v>1190</v>
      </c>
      <c r="L625">
        <v>24.26</v>
      </c>
      <c r="M625" t="s">
        <v>4562</v>
      </c>
      <c r="N625" t="s">
        <v>4563</v>
      </c>
      <c r="O625" t="s">
        <v>3914</v>
      </c>
      <c r="P625" t="s">
        <v>4564</v>
      </c>
      <c r="Q625">
        <v>83.6</v>
      </c>
      <c r="R625" t="s">
        <v>924</v>
      </c>
      <c r="S625">
        <v>2.63</v>
      </c>
      <c r="T625">
        <v>15.36</v>
      </c>
      <c r="U625" t="s">
        <v>2982</v>
      </c>
      <c r="V625" t="s">
        <v>1219</v>
      </c>
      <c r="W625" t="s">
        <v>1343</v>
      </c>
      <c r="X625">
        <v>3.37</v>
      </c>
      <c r="Y625" t="s">
        <v>1174</v>
      </c>
      <c r="Z625" t="s">
        <v>710</v>
      </c>
      <c r="AA625" t="s">
        <v>2537</v>
      </c>
      <c r="AB625">
        <v>5.77</v>
      </c>
      <c r="AC625" t="s">
        <v>2753</v>
      </c>
      <c r="AD625">
        <v>37.71</v>
      </c>
      <c r="AE625" t="s">
        <v>136</v>
      </c>
      <c r="AF625">
        <v>1.4</v>
      </c>
      <c r="AG625">
        <v>0</v>
      </c>
      <c r="AH625">
        <v>0</v>
      </c>
      <c r="AI625" s="4">
        <v>43229</v>
      </c>
    </row>
    <row r="626" spans="1:35">
      <c r="A626">
        <v>625</v>
      </c>
      <c r="B626" t="str">
        <f>"601900"</f>
        <v>601900</v>
      </c>
      <c r="C626" t="s">
        <v>4565</v>
      </c>
      <c r="D626" s="4">
        <v>43190</v>
      </c>
      <c r="E626" t="s">
        <v>724</v>
      </c>
      <c r="F626" t="s">
        <v>603</v>
      </c>
      <c r="G626">
        <v>4573</v>
      </c>
      <c r="H626">
        <v>0.19</v>
      </c>
      <c r="I626">
        <v>5.64</v>
      </c>
      <c r="J626">
        <v>3.37</v>
      </c>
      <c r="K626" t="s">
        <v>926</v>
      </c>
      <c r="L626">
        <v>9.15</v>
      </c>
      <c r="M626" t="s">
        <v>337</v>
      </c>
      <c r="N626" t="s">
        <v>4566</v>
      </c>
      <c r="O626" t="s">
        <v>321</v>
      </c>
      <c r="P626" t="s">
        <v>290</v>
      </c>
      <c r="Q626">
        <v>50.73</v>
      </c>
      <c r="R626" t="s">
        <v>243</v>
      </c>
      <c r="S626">
        <v>2.5</v>
      </c>
      <c r="T626">
        <v>29.74</v>
      </c>
      <c r="U626" t="s">
        <v>1656</v>
      </c>
      <c r="V626" t="s">
        <v>2452</v>
      </c>
      <c r="W626" t="s">
        <v>1779</v>
      </c>
      <c r="X626">
        <v>3.37</v>
      </c>
      <c r="Y626" t="s">
        <v>1032</v>
      </c>
      <c r="Z626" t="s">
        <v>2989</v>
      </c>
      <c r="AA626" t="s">
        <v>1450</v>
      </c>
      <c r="AB626">
        <v>1.64</v>
      </c>
      <c r="AC626" t="s">
        <v>2043</v>
      </c>
      <c r="AD626">
        <v>53.71</v>
      </c>
      <c r="AE626" t="s">
        <v>1678</v>
      </c>
      <c r="AF626">
        <v>1.99</v>
      </c>
      <c r="AG626">
        <v>0</v>
      </c>
      <c r="AH626">
        <v>0</v>
      </c>
      <c r="AI626" s="4">
        <v>42415</v>
      </c>
    </row>
    <row r="627" spans="1:35">
      <c r="A627">
        <v>626</v>
      </c>
      <c r="B627" t="str">
        <f>"600328"</f>
        <v>600328</v>
      </c>
      <c r="C627" t="s">
        <v>4567</v>
      </c>
      <c r="D627" s="4">
        <v>43190</v>
      </c>
      <c r="E627" t="s">
        <v>3044</v>
      </c>
      <c r="F627" t="s">
        <v>3044</v>
      </c>
      <c r="G627" t="s">
        <v>3219</v>
      </c>
      <c r="H627">
        <v>0.17</v>
      </c>
      <c r="I627">
        <v>5.05</v>
      </c>
      <c r="J627">
        <v>3.37</v>
      </c>
      <c r="K627" t="s">
        <v>4568</v>
      </c>
      <c r="L627">
        <v>25.56</v>
      </c>
      <c r="M627" t="s">
        <v>93</v>
      </c>
      <c r="N627" t="s">
        <v>4569</v>
      </c>
      <c r="O627" t="s">
        <v>1724</v>
      </c>
      <c r="P627" t="s">
        <v>4570</v>
      </c>
      <c r="Q627">
        <v>34.15</v>
      </c>
      <c r="R627" t="s">
        <v>918</v>
      </c>
      <c r="S627">
        <v>1.47</v>
      </c>
      <c r="T627">
        <v>37.159999999999997</v>
      </c>
      <c r="U627" t="s">
        <v>2795</v>
      </c>
      <c r="V627" t="s">
        <v>757</v>
      </c>
      <c r="W627" t="s">
        <v>1133</v>
      </c>
      <c r="X627">
        <v>3.37</v>
      </c>
      <c r="Y627" t="s">
        <v>2105</v>
      </c>
      <c r="Z627" t="s">
        <v>431</v>
      </c>
      <c r="AA627" t="s">
        <v>918</v>
      </c>
      <c r="AB627">
        <v>1.78</v>
      </c>
      <c r="AC627" t="s">
        <v>2291</v>
      </c>
      <c r="AD627">
        <v>32.97</v>
      </c>
      <c r="AE627" t="s">
        <v>1496</v>
      </c>
      <c r="AF627">
        <v>2.33</v>
      </c>
      <c r="AG627">
        <v>0</v>
      </c>
      <c r="AH627">
        <v>0</v>
      </c>
      <c r="AI627" s="4">
        <v>36882</v>
      </c>
    </row>
    <row r="628" spans="1:35">
      <c r="A628">
        <v>627</v>
      </c>
      <c r="B628" t="str">
        <f>"600233"</f>
        <v>600233</v>
      </c>
      <c r="C628" t="s">
        <v>4571</v>
      </c>
      <c r="D628" s="4">
        <v>43190</v>
      </c>
      <c r="E628" t="s">
        <v>356</v>
      </c>
      <c r="F628" t="s">
        <v>911</v>
      </c>
      <c r="G628" t="s">
        <v>1381</v>
      </c>
      <c r="H628">
        <v>0.11</v>
      </c>
      <c r="I628">
        <v>3.3</v>
      </c>
      <c r="J628">
        <v>3.37</v>
      </c>
      <c r="K628" t="s">
        <v>2396</v>
      </c>
      <c r="L628">
        <v>52.88</v>
      </c>
      <c r="M628" t="s">
        <v>1235</v>
      </c>
      <c r="N628" t="s">
        <v>2579</v>
      </c>
      <c r="O628" t="s">
        <v>1827</v>
      </c>
      <c r="P628" t="s">
        <v>167</v>
      </c>
      <c r="Q628">
        <v>13</v>
      </c>
      <c r="R628" t="s">
        <v>1285</v>
      </c>
      <c r="S628">
        <v>1</v>
      </c>
      <c r="T628">
        <v>12.31</v>
      </c>
      <c r="U628" t="s">
        <v>413</v>
      </c>
      <c r="V628" t="s">
        <v>2923</v>
      </c>
      <c r="W628" t="s">
        <v>1488</v>
      </c>
      <c r="X628">
        <v>3.37</v>
      </c>
      <c r="Y628" t="s">
        <v>1133</v>
      </c>
      <c r="Z628" t="s">
        <v>2498</v>
      </c>
      <c r="AA628" t="s">
        <v>679</v>
      </c>
      <c r="AB628">
        <v>4.12</v>
      </c>
      <c r="AC628" t="s">
        <v>3683</v>
      </c>
      <c r="AD628">
        <v>70.459999999999994</v>
      </c>
      <c r="AE628" t="s">
        <v>1081</v>
      </c>
      <c r="AF628">
        <v>2.16</v>
      </c>
      <c r="AG628">
        <v>0</v>
      </c>
      <c r="AH628">
        <v>0</v>
      </c>
      <c r="AI628" s="4">
        <v>36685</v>
      </c>
    </row>
    <row r="629" spans="1:35">
      <c r="A629">
        <v>628</v>
      </c>
      <c r="B629" t="str">
        <f>"300219"</f>
        <v>300219</v>
      </c>
      <c r="C629" t="s">
        <v>4572</v>
      </c>
      <c r="D629" s="4">
        <v>43190</v>
      </c>
      <c r="E629" t="s">
        <v>2454</v>
      </c>
      <c r="F629" t="s">
        <v>68</v>
      </c>
      <c r="G629" t="s">
        <v>4573</v>
      </c>
      <c r="H629">
        <v>0.13</v>
      </c>
      <c r="I629">
        <v>3.81</v>
      </c>
      <c r="J629">
        <v>3.37</v>
      </c>
      <c r="K629" t="s">
        <v>2131</v>
      </c>
      <c r="L629">
        <v>26.24</v>
      </c>
      <c r="M629" t="s">
        <v>4574</v>
      </c>
      <c r="N629" t="s">
        <v>4575</v>
      </c>
      <c r="O629" t="s">
        <v>600</v>
      </c>
      <c r="P629" t="s">
        <v>4576</v>
      </c>
      <c r="Q629">
        <v>16.07</v>
      </c>
      <c r="R629" t="s">
        <v>2512</v>
      </c>
      <c r="S629">
        <v>1.22</v>
      </c>
      <c r="T629">
        <v>21.93</v>
      </c>
      <c r="U629" t="s">
        <v>3217</v>
      </c>
      <c r="V629" t="s">
        <v>565</v>
      </c>
      <c r="W629" t="s">
        <v>1223</v>
      </c>
      <c r="X629">
        <v>3.37</v>
      </c>
      <c r="Y629" t="s">
        <v>565</v>
      </c>
      <c r="Z629" t="s">
        <v>980</v>
      </c>
      <c r="AA629" t="s">
        <v>3027</v>
      </c>
      <c r="AB629">
        <v>2.34</v>
      </c>
      <c r="AC629" t="s">
        <v>239</v>
      </c>
      <c r="AD629">
        <v>53.94</v>
      </c>
      <c r="AE629" t="s">
        <v>1223</v>
      </c>
      <c r="AF629">
        <v>1.53</v>
      </c>
      <c r="AG629">
        <v>0</v>
      </c>
      <c r="AH629">
        <v>0</v>
      </c>
      <c r="AI629" s="4">
        <v>40681</v>
      </c>
    </row>
    <row r="630" spans="1:35">
      <c r="A630">
        <v>629</v>
      </c>
      <c r="B630" t="str">
        <f>"603055"</f>
        <v>603055</v>
      </c>
      <c r="C630" t="s">
        <v>4577</v>
      </c>
      <c r="D630" s="4">
        <v>43190</v>
      </c>
      <c r="E630" t="s">
        <v>1438</v>
      </c>
      <c r="F630" t="s">
        <v>4578</v>
      </c>
      <c r="G630">
        <v>2526</v>
      </c>
      <c r="H630">
        <v>0.14000000000000001</v>
      </c>
      <c r="I630">
        <v>4.3099999999999996</v>
      </c>
      <c r="J630">
        <v>3.36</v>
      </c>
      <c r="K630" t="s">
        <v>4279</v>
      </c>
      <c r="L630">
        <v>13.34</v>
      </c>
      <c r="M630" t="s">
        <v>4579</v>
      </c>
      <c r="N630" t="s">
        <v>4580</v>
      </c>
      <c r="O630" t="s">
        <v>4581</v>
      </c>
      <c r="P630" t="s">
        <v>4582</v>
      </c>
      <c r="Q630">
        <v>4.92</v>
      </c>
      <c r="R630" t="s">
        <v>295</v>
      </c>
      <c r="S630">
        <v>1.95</v>
      </c>
      <c r="T630">
        <v>27.39</v>
      </c>
      <c r="U630" t="s">
        <v>612</v>
      </c>
      <c r="V630" t="s">
        <v>510</v>
      </c>
      <c r="W630" t="s">
        <v>250</v>
      </c>
      <c r="X630">
        <v>3.36</v>
      </c>
      <c r="Y630" t="s">
        <v>1223</v>
      </c>
      <c r="Z630" t="s">
        <v>295</v>
      </c>
      <c r="AA630" t="s">
        <v>4583</v>
      </c>
      <c r="AB630">
        <v>3.3</v>
      </c>
      <c r="AC630" t="s">
        <v>826</v>
      </c>
      <c r="AD630">
        <v>68.33</v>
      </c>
      <c r="AE630" t="s">
        <v>4404</v>
      </c>
      <c r="AF630">
        <v>1.32</v>
      </c>
      <c r="AG630">
        <v>0</v>
      </c>
      <c r="AH630">
        <v>0</v>
      </c>
      <c r="AI630" s="4">
        <v>42999</v>
      </c>
    </row>
    <row r="631" spans="1:35">
      <c r="A631">
        <v>630</v>
      </c>
      <c r="B631" t="str">
        <f>"300620"</f>
        <v>300620</v>
      </c>
      <c r="C631" t="s">
        <v>4584</v>
      </c>
      <c r="D631" s="4">
        <v>43190</v>
      </c>
      <c r="E631" t="s">
        <v>4121</v>
      </c>
      <c r="F631" t="s">
        <v>4585</v>
      </c>
      <c r="G631">
        <v>1702</v>
      </c>
      <c r="H631">
        <v>0.19</v>
      </c>
      <c r="I631">
        <v>5.39</v>
      </c>
      <c r="J631">
        <v>3.36</v>
      </c>
      <c r="K631" t="s">
        <v>4586</v>
      </c>
      <c r="L631">
        <v>44.79</v>
      </c>
      <c r="M631" t="s">
        <v>4587</v>
      </c>
      <c r="N631" t="s">
        <v>1727</v>
      </c>
      <c r="O631" t="s">
        <v>4587</v>
      </c>
      <c r="P631" t="s">
        <v>4588</v>
      </c>
      <c r="Q631">
        <v>69.760000000000005</v>
      </c>
      <c r="R631" t="s">
        <v>2306</v>
      </c>
      <c r="S631">
        <v>1.3</v>
      </c>
      <c r="T631">
        <v>48.66</v>
      </c>
      <c r="U631" t="s">
        <v>181</v>
      </c>
      <c r="V631" t="s">
        <v>860</v>
      </c>
      <c r="W631" t="s">
        <v>4589</v>
      </c>
      <c r="X631">
        <v>3.36</v>
      </c>
      <c r="Y631" t="s">
        <v>4590</v>
      </c>
      <c r="Z631" t="s">
        <v>4591</v>
      </c>
      <c r="AA631" t="s">
        <v>2777</v>
      </c>
      <c r="AB631">
        <v>6.6</v>
      </c>
      <c r="AC631" t="s">
        <v>1615</v>
      </c>
      <c r="AD631">
        <v>83.96</v>
      </c>
      <c r="AE631" t="s">
        <v>726</v>
      </c>
      <c r="AF631">
        <v>2.94</v>
      </c>
      <c r="AG631">
        <v>0</v>
      </c>
      <c r="AH631">
        <v>0</v>
      </c>
      <c r="AI631" s="4">
        <v>42804</v>
      </c>
    </row>
    <row r="632" spans="1:35">
      <c r="A632">
        <v>631</v>
      </c>
      <c r="B632" t="str">
        <f>"002179"</f>
        <v>002179</v>
      </c>
      <c r="C632" t="s">
        <v>4592</v>
      </c>
      <c r="D632" s="4">
        <v>43190</v>
      </c>
      <c r="E632" t="s">
        <v>3549</v>
      </c>
      <c r="F632" t="s">
        <v>776</v>
      </c>
      <c r="G632" t="s">
        <v>4593</v>
      </c>
      <c r="H632">
        <v>0.21</v>
      </c>
      <c r="I632">
        <v>6.28</v>
      </c>
      <c r="J632">
        <v>3.36</v>
      </c>
      <c r="K632" t="s">
        <v>141</v>
      </c>
      <c r="L632">
        <v>3.86</v>
      </c>
      <c r="M632" t="s">
        <v>2769</v>
      </c>
      <c r="N632" t="s">
        <v>4594</v>
      </c>
      <c r="O632" t="s">
        <v>255</v>
      </c>
      <c r="P632" t="s">
        <v>321</v>
      </c>
      <c r="Q632">
        <v>-8.89</v>
      </c>
      <c r="R632" t="s">
        <v>451</v>
      </c>
      <c r="S632">
        <v>3.19</v>
      </c>
      <c r="T632">
        <v>35.090000000000003</v>
      </c>
      <c r="U632" t="s">
        <v>252</v>
      </c>
      <c r="V632" t="s">
        <v>4595</v>
      </c>
      <c r="W632" t="s">
        <v>538</v>
      </c>
      <c r="X632">
        <v>3.36</v>
      </c>
      <c r="Y632" t="s">
        <v>2106</v>
      </c>
      <c r="Z632" t="s">
        <v>1233</v>
      </c>
      <c r="AA632" t="s">
        <v>1320</v>
      </c>
      <c r="AB632">
        <v>6.23</v>
      </c>
      <c r="AC632" t="s">
        <v>1061</v>
      </c>
      <c r="AD632">
        <v>48.82</v>
      </c>
      <c r="AE632" t="s">
        <v>722</v>
      </c>
      <c r="AF632">
        <v>1.24</v>
      </c>
      <c r="AG632">
        <v>0</v>
      </c>
      <c r="AH632">
        <v>0</v>
      </c>
      <c r="AI632" s="4">
        <v>39387</v>
      </c>
    </row>
    <row r="633" spans="1:35">
      <c r="A633">
        <v>632</v>
      </c>
      <c r="B633" t="str">
        <f>"603356"</f>
        <v>603356</v>
      </c>
      <c r="C633" t="s">
        <v>4596</v>
      </c>
      <c r="D633" s="4">
        <v>43190</v>
      </c>
      <c r="E633" t="s">
        <v>45</v>
      </c>
      <c r="F633" t="s">
        <v>4597</v>
      </c>
      <c r="G633">
        <v>1516</v>
      </c>
      <c r="H633">
        <v>0.09</v>
      </c>
      <c r="I633">
        <v>4.7699999999999996</v>
      </c>
      <c r="J633">
        <v>3.35</v>
      </c>
      <c r="K633" t="s">
        <v>1936</v>
      </c>
      <c r="L633">
        <v>40.85</v>
      </c>
      <c r="M633" t="s">
        <v>1696</v>
      </c>
      <c r="N633">
        <v>0</v>
      </c>
      <c r="O633" t="s">
        <v>4598</v>
      </c>
      <c r="P633" t="s">
        <v>170</v>
      </c>
      <c r="Q633">
        <v>42.68</v>
      </c>
      <c r="R633" t="s">
        <v>293</v>
      </c>
      <c r="S633">
        <v>1.35</v>
      </c>
      <c r="T633">
        <v>17.48</v>
      </c>
      <c r="U633" t="s">
        <v>4599</v>
      </c>
      <c r="V633" t="s">
        <v>2450</v>
      </c>
      <c r="W633" t="s">
        <v>2069</v>
      </c>
      <c r="X633">
        <v>3.35</v>
      </c>
      <c r="Y633" t="s">
        <v>1038</v>
      </c>
      <c r="Z633" t="s">
        <v>4600</v>
      </c>
      <c r="AA633" t="s">
        <v>4601</v>
      </c>
      <c r="AB633">
        <v>4.34</v>
      </c>
      <c r="AC633" t="s">
        <v>3603</v>
      </c>
      <c r="AD633">
        <v>82.74</v>
      </c>
      <c r="AE633" t="s">
        <v>2551</v>
      </c>
      <c r="AF633">
        <v>2.34</v>
      </c>
      <c r="AG633">
        <v>0</v>
      </c>
      <c r="AH633">
        <v>0</v>
      </c>
      <c r="AI633" s="4">
        <v>43124</v>
      </c>
    </row>
    <row r="634" spans="1:35">
      <c r="A634">
        <v>633</v>
      </c>
      <c r="B634" t="str">
        <f>"600285"</f>
        <v>600285</v>
      </c>
      <c r="C634" t="s">
        <v>4602</v>
      </c>
      <c r="D634" s="4">
        <v>43190</v>
      </c>
      <c r="E634" t="s">
        <v>2851</v>
      </c>
      <c r="F634" t="s">
        <v>2111</v>
      </c>
      <c r="G634" t="s">
        <v>2258</v>
      </c>
      <c r="H634">
        <v>0.13</v>
      </c>
      <c r="I634">
        <v>3.59</v>
      </c>
      <c r="J634">
        <v>3.35</v>
      </c>
      <c r="K634" t="s">
        <v>2392</v>
      </c>
      <c r="L634">
        <v>34.22</v>
      </c>
      <c r="M634" t="s">
        <v>4603</v>
      </c>
      <c r="N634" t="s">
        <v>4604</v>
      </c>
      <c r="O634" t="s">
        <v>4605</v>
      </c>
      <c r="P634" t="s">
        <v>4606</v>
      </c>
      <c r="Q634">
        <v>8.24</v>
      </c>
      <c r="R634" t="s">
        <v>871</v>
      </c>
      <c r="S634">
        <v>1.1399999999999999</v>
      </c>
      <c r="T634">
        <v>75.180000000000007</v>
      </c>
      <c r="U634" t="s">
        <v>1225</v>
      </c>
      <c r="V634" t="s">
        <v>516</v>
      </c>
      <c r="W634" t="s">
        <v>3544</v>
      </c>
      <c r="X634">
        <v>3.35</v>
      </c>
      <c r="Y634" t="s">
        <v>164</v>
      </c>
      <c r="Z634" t="s">
        <v>250</v>
      </c>
      <c r="AA634" t="s">
        <v>4607</v>
      </c>
      <c r="AB634">
        <v>2.36</v>
      </c>
      <c r="AC634" t="s">
        <v>728</v>
      </c>
      <c r="AD634">
        <v>63.13</v>
      </c>
      <c r="AE634" t="s">
        <v>106</v>
      </c>
      <c r="AF634">
        <v>0.95</v>
      </c>
      <c r="AG634">
        <v>0</v>
      </c>
      <c r="AH634">
        <v>0</v>
      </c>
      <c r="AI634" s="4">
        <v>36817</v>
      </c>
    </row>
    <row r="635" spans="1:35">
      <c r="A635">
        <v>634</v>
      </c>
      <c r="B635" t="str">
        <f>"600211"</f>
        <v>600211</v>
      </c>
      <c r="C635" t="s">
        <v>4608</v>
      </c>
      <c r="D635" s="4">
        <v>43190</v>
      </c>
      <c r="E635" t="s">
        <v>1839</v>
      </c>
      <c r="F635" t="s">
        <v>93</v>
      </c>
      <c r="G635" t="s">
        <v>779</v>
      </c>
      <c r="H635">
        <v>0.38</v>
      </c>
      <c r="I635">
        <v>11.09</v>
      </c>
      <c r="J635">
        <v>3.35</v>
      </c>
      <c r="K635" t="s">
        <v>1417</v>
      </c>
      <c r="L635">
        <v>-13.4</v>
      </c>
      <c r="M635" t="s">
        <v>4609</v>
      </c>
      <c r="N635" t="s">
        <v>4610</v>
      </c>
      <c r="O635" t="s">
        <v>4611</v>
      </c>
      <c r="P635" t="s">
        <v>4612</v>
      </c>
      <c r="Q635">
        <v>26.84</v>
      </c>
      <c r="R635" t="s">
        <v>4613</v>
      </c>
      <c r="S635">
        <v>2.2000000000000002</v>
      </c>
      <c r="T635">
        <v>79.23</v>
      </c>
      <c r="U635" t="s">
        <v>276</v>
      </c>
      <c r="V635" t="s">
        <v>649</v>
      </c>
      <c r="W635" t="s">
        <v>326</v>
      </c>
      <c r="X635">
        <v>3.35</v>
      </c>
      <c r="Y635" t="s">
        <v>641</v>
      </c>
      <c r="Z635" t="s">
        <v>4614</v>
      </c>
      <c r="AA635" t="s">
        <v>4615</v>
      </c>
      <c r="AB635">
        <v>3.15</v>
      </c>
      <c r="AC635" t="s">
        <v>251</v>
      </c>
      <c r="AD635">
        <v>89.02</v>
      </c>
      <c r="AE635" t="s">
        <v>1384</v>
      </c>
      <c r="AF635">
        <v>7.84</v>
      </c>
      <c r="AG635">
        <v>0</v>
      </c>
      <c r="AH635">
        <v>0</v>
      </c>
      <c r="AI635" s="4">
        <v>36362</v>
      </c>
    </row>
    <row r="636" spans="1:35">
      <c r="A636">
        <v>635</v>
      </c>
      <c r="B636" t="str">
        <f>"002562"</f>
        <v>002562</v>
      </c>
      <c r="C636" t="s">
        <v>4616</v>
      </c>
      <c r="D636" s="4">
        <v>43190</v>
      </c>
      <c r="E636" t="s">
        <v>519</v>
      </c>
      <c r="F636" t="s">
        <v>1596</v>
      </c>
      <c r="G636" t="s">
        <v>2221</v>
      </c>
      <c r="H636">
        <v>0.08</v>
      </c>
      <c r="I636">
        <v>2.41</v>
      </c>
      <c r="J636">
        <v>3.35</v>
      </c>
      <c r="K636" t="s">
        <v>2581</v>
      </c>
      <c r="L636">
        <v>46.41</v>
      </c>
      <c r="M636" t="s">
        <v>4617</v>
      </c>
      <c r="N636" t="s">
        <v>1848</v>
      </c>
      <c r="O636" t="s">
        <v>4618</v>
      </c>
      <c r="P636" t="s">
        <v>4619</v>
      </c>
      <c r="Q636">
        <v>10.48</v>
      </c>
      <c r="R636" t="s">
        <v>3570</v>
      </c>
      <c r="S636">
        <v>0.76</v>
      </c>
      <c r="T636">
        <v>42.28</v>
      </c>
      <c r="U636" t="s">
        <v>940</v>
      </c>
      <c r="V636" t="s">
        <v>275</v>
      </c>
      <c r="W636" t="s">
        <v>926</v>
      </c>
      <c r="X636">
        <v>3.35</v>
      </c>
      <c r="Y636" t="s">
        <v>300</v>
      </c>
      <c r="Z636" t="s">
        <v>2089</v>
      </c>
      <c r="AA636" t="s">
        <v>2310</v>
      </c>
      <c r="AB636">
        <v>2.17</v>
      </c>
      <c r="AC636" t="s">
        <v>826</v>
      </c>
      <c r="AD636">
        <v>65.36</v>
      </c>
      <c r="AE636" t="s">
        <v>1722</v>
      </c>
      <c r="AF636">
        <v>0.61</v>
      </c>
      <c r="AG636">
        <v>0</v>
      </c>
      <c r="AH636">
        <v>0</v>
      </c>
      <c r="AI636" s="4">
        <v>40612</v>
      </c>
    </row>
    <row r="637" spans="1:35">
      <c r="A637">
        <v>636</v>
      </c>
      <c r="B637" t="str">
        <f>"002277"</f>
        <v>002277</v>
      </c>
      <c r="C637" t="s">
        <v>4620</v>
      </c>
      <c r="D637" s="4">
        <v>43190</v>
      </c>
      <c r="E637" t="s">
        <v>173</v>
      </c>
      <c r="F637" t="s">
        <v>173</v>
      </c>
      <c r="G637" t="s">
        <v>4074</v>
      </c>
      <c r="H637">
        <v>0.12</v>
      </c>
      <c r="I637">
        <v>3.69</v>
      </c>
      <c r="J637">
        <v>3.35</v>
      </c>
      <c r="K637" t="s">
        <v>242</v>
      </c>
      <c r="L637">
        <v>10.36</v>
      </c>
      <c r="M637" t="s">
        <v>205</v>
      </c>
      <c r="N637" t="s">
        <v>3540</v>
      </c>
      <c r="O637" t="s">
        <v>205</v>
      </c>
      <c r="P637" t="s">
        <v>603</v>
      </c>
      <c r="Q637">
        <v>6.64</v>
      </c>
      <c r="R637" t="s">
        <v>1029</v>
      </c>
      <c r="S637">
        <v>1.58</v>
      </c>
      <c r="T637">
        <v>23.21</v>
      </c>
      <c r="U637" t="s">
        <v>1929</v>
      </c>
      <c r="V637" t="s">
        <v>1923</v>
      </c>
      <c r="W637" t="s">
        <v>238</v>
      </c>
      <c r="X637">
        <v>3.35</v>
      </c>
      <c r="Y637" t="s">
        <v>2243</v>
      </c>
      <c r="Z637" t="s">
        <v>2725</v>
      </c>
      <c r="AA637" t="s">
        <v>2941</v>
      </c>
      <c r="AB637">
        <v>1.22</v>
      </c>
      <c r="AC637" t="s">
        <v>1494</v>
      </c>
      <c r="AD637">
        <v>41.22</v>
      </c>
      <c r="AE637" t="s">
        <v>1082</v>
      </c>
      <c r="AF637">
        <v>0.9</v>
      </c>
      <c r="AG637">
        <v>0</v>
      </c>
      <c r="AH637">
        <v>0</v>
      </c>
      <c r="AI637" s="4">
        <v>40011</v>
      </c>
    </row>
    <row r="638" spans="1:35">
      <c r="A638">
        <v>637</v>
      </c>
      <c r="B638" t="str">
        <f>"601818"</f>
        <v>601818</v>
      </c>
      <c r="C638" t="s">
        <v>4621</v>
      </c>
      <c r="D638" s="4">
        <v>43190</v>
      </c>
      <c r="E638" t="s">
        <v>4622</v>
      </c>
      <c r="F638" t="s">
        <v>4623</v>
      </c>
      <c r="G638" t="s">
        <v>4624</v>
      </c>
      <c r="H638">
        <v>0.17</v>
      </c>
      <c r="I638">
        <v>5.16</v>
      </c>
      <c r="J638">
        <v>3.34</v>
      </c>
      <c r="K638" t="s">
        <v>1290</v>
      </c>
      <c r="L638">
        <v>7.13</v>
      </c>
      <c r="M638" t="s">
        <v>558</v>
      </c>
      <c r="N638" t="s">
        <v>1517</v>
      </c>
      <c r="O638" t="s">
        <v>558</v>
      </c>
      <c r="P638" t="s">
        <v>1282</v>
      </c>
      <c r="Q638">
        <v>5.5</v>
      </c>
      <c r="R638" t="s">
        <v>4625</v>
      </c>
      <c r="S638">
        <v>1.75</v>
      </c>
      <c r="T638">
        <v>0</v>
      </c>
      <c r="U638" t="s">
        <v>4626</v>
      </c>
      <c r="V638">
        <v>0</v>
      </c>
      <c r="W638" t="s">
        <v>571</v>
      </c>
      <c r="X638">
        <v>3.34</v>
      </c>
      <c r="Y638" t="s">
        <v>4627</v>
      </c>
      <c r="Z638">
        <v>0</v>
      </c>
      <c r="AA638">
        <v>0</v>
      </c>
      <c r="AB638">
        <v>0.76</v>
      </c>
      <c r="AC638" t="s">
        <v>4628</v>
      </c>
      <c r="AD638">
        <v>7.35</v>
      </c>
      <c r="AE638" t="s">
        <v>4629</v>
      </c>
      <c r="AF638">
        <v>1.02</v>
      </c>
      <c r="AG638">
        <v>0</v>
      </c>
      <c r="AH638" t="s">
        <v>1857</v>
      </c>
      <c r="AI638" s="4">
        <v>40408</v>
      </c>
    </row>
    <row r="639" spans="1:35">
      <c r="A639">
        <v>638</v>
      </c>
      <c r="B639" t="str">
        <f>"600195"</f>
        <v>600195</v>
      </c>
      <c r="C639" t="s">
        <v>4630</v>
      </c>
      <c r="D639" s="4">
        <v>43190</v>
      </c>
      <c r="E639" t="s">
        <v>914</v>
      </c>
      <c r="F639" t="s">
        <v>914</v>
      </c>
      <c r="G639" t="s">
        <v>2775</v>
      </c>
      <c r="H639">
        <v>0.28999999999999998</v>
      </c>
      <c r="I639">
        <v>8.84</v>
      </c>
      <c r="J639">
        <v>3.34</v>
      </c>
      <c r="K639" t="s">
        <v>2731</v>
      </c>
      <c r="L639">
        <v>20.22</v>
      </c>
      <c r="M639" t="s">
        <v>845</v>
      </c>
      <c r="N639" t="s">
        <v>4631</v>
      </c>
      <c r="O639" t="s">
        <v>863</v>
      </c>
      <c r="P639" t="s">
        <v>2603</v>
      </c>
      <c r="Q639">
        <v>67.569999999999993</v>
      </c>
      <c r="R639" t="s">
        <v>514</v>
      </c>
      <c r="S639">
        <v>4.95</v>
      </c>
      <c r="T639">
        <v>31.84</v>
      </c>
      <c r="U639" t="s">
        <v>3164</v>
      </c>
      <c r="V639" t="s">
        <v>2212</v>
      </c>
      <c r="W639" t="s">
        <v>161</v>
      </c>
      <c r="X639">
        <v>3.34</v>
      </c>
      <c r="Y639" t="s">
        <v>1449</v>
      </c>
      <c r="Z639" t="s">
        <v>1094</v>
      </c>
      <c r="AA639" t="s">
        <v>300</v>
      </c>
      <c r="AB639">
        <v>2.1800000000000002</v>
      </c>
      <c r="AC639" t="s">
        <v>949</v>
      </c>
      <c r="AD639">
        <v>59.93</v>
      </c>
      <c r="AE639" t="s">
        <v>1094</v>
      </c>
      <c r="AF639">
        <v>2.34</v>
      </c>
      <c r="AG639">
        <v>0</v>
      </c>
      <c r="AH639">
        <v>0</v>
      </c>
      <c r="AI639" s="4">
        <v>36167</v>
      </c>
    </row>
    <row r="640" spans="1:35">
      <c r="A640">
        <v>639</v>
      </c>
      <c r="B640" t="str">
        <f>"002499"</f>
        <v>002499</v>
      </c>
      <c r="C640" t="s">
        <v>4632</v>
      </c>
      <c r="D640" s="4">
        <v>43190</v>
      </c>
      <c r="E640" t="s">
        <v>905</v>
      </c>
      <c r="F640" t="s">
        <v>552</v>
      </c>
      <c r="G640">
        <v>9853</v>
      </c>
      <c r="H640">
        <v>0.13</v>
      </c>
      <c r="I640">
        <v>4.0599999999999996</v>
      </c>
      <c r="J640">
        <v>3.34</v>
      </c>
      <c r="K640" t="s">
        <v>2307</v>
      </c>
      <c r="L640">
        <v>-48.08</v>
      </c>
      <c r="M640" t="s">
        <v>4633</v>
      </c>
      <c r="N640" t="s">
        <v>4634</v>
      </c>
      <c r="O640" t="s">
        <v>4635</v>
      </c>
      <c r="P640" t="s">
        <v>4636</v>
      </c>
      <c r="Q640">
        <v>412.24</v>
      </c>
      <c r="R640" t="s">
        <v>975</v>
      </c>
      <c r="S640">
        <v>1.07</v>
      </c>
      <c r="T640">
        <v>37.97</v>
      </c>
      <c r="U640" t="s">
        <v>115</v>
      </c>
      <c r="V640" t="s">
        <v>161</v>
      </c>
      <c r="W640" t="s">
        <v>1853</v>
      </c>
      <c r="X640">
        <v>3.34</v>
      </c>
      <c r="Y640" t="s">
        <v>2000</v>
      </c>
      <c r="Z640" t="s">
        <v>2431</v>
      </c>
      <c r="AA640" t="s">
        <v>2551</v>
      </c>
      <c r="AB640">
        <v>2.35</v>
      </c>
      <c r="AC640" t="s">
        <v>63</v>
      </c>
      <c r="AD640">
        <v>45.37</v>
      </c>
      <c r="AE640" t="s">
        <v>1712</v>
      </c>
      <c r="AF640">
        <v>1.86</v>
      </c>
      <c r="AG640">
        <v>0</v>
      </c>
      <c r="AH640">
        <v>0</v>
      </c>
      <c r="AI640" s="4">
        <v>40491</v>
      </c>
    </row>
    <row r="641" spans="1:35">
      <c r="A641">
        <v>640</v>
      </c>
      <c r="B641" t="str">
        <f>"603960"</f>
        <v>603960</v>
      </c>
      <c r="C641" t="s">
        <v>4637</v>
      </c>
      <c r="D641" s="4">
        <v>43190</v>
      </c>
      <c r="E641" t="s">
        <v>1370</v>
      </c>
      <c r="F641" t="s">
        <v>4638</v>
      </c>
      <c r="G641">
        <v>5458</v>
      </c>
      <c r="H641">
        <v>0.11</v>
      </c>
      <c r="I641">
        <v>3.25</v>
      </c>
      <c r="J641">
        <v>3.33</v>
      </c>
      <c r="K641" t="s">
        <v>4639</v>
      </c>
      <c r="L641">
        <v>76.739999999999995</v>
      </c>
      <c r="M641" t="s">
        <v>4640</v>
      </c>
      <c r="N641" t="s">
        <v>4641</v>
      </c>
      <c r="O641" t="s">
        <v>4642</v>
      </c>
      <c r="P641" t="s">
        <v>4643</v>
      </c>
      <c r="Q641">
        <v>18.95</v>
      </c>
      <c r="R641" t="s">
        <v>2424</v>
      </c>
      <c r="S641">
        <v>0.99</v>
      </c>
      <c r="T641">
        <v>34.72</v>
      </c>
      <c r="U641" t="s">
        <v>1198</v>
      </c>
      <c r="V641" t="s">
        <v>2490</v>
      </c>
      <c r="W641" t="s">
        <v>1038</v>
      </c>
      <c r="X641">
        <v>3.33</v>
      </c>
      <c r="Y641" t="s">
        <v>3259</v>
      </c>
      <c r="Z641" t="s">
        <v>1968</v>
      </c>
      <c r="AA641" t="s">
        <v>4644</v>
      </c>
      <c r="AB641">
        <v>8.08</v>
      </c>
      <c r="AC641" t="s">
        <v>155</v>
      </c>
      <c r="AD641">
        <v>49.71</v>
      </c>
      <c r="AE641" t="s">
        <v>383</v>
      </c>
      <c r="AF641">
        <v>1.1499999999999999</v>
      </c>
      <c r="AG641">
        <v>0</v>
      </c>
      <c r="AH641">
        <v>0</v>
      </c>
      <c r="AI641" s="4">
        <v>42808</v>
      </c>
    </row>
    <row r="642" spans="1:35">
      <c r="A642">
        <v>641</v>
      </c>
      <c r="B642" t="str">
        <f>"603648"</f>
        <v>603648</v>
      </c>
      <c r="C642" t="s">
        <v>4645</v>
      </c>
      <c r="D642" s="4">
        <v>43190</v>
      </c>
      <c r="E642" t="s">
        <v>3726</v>
      </c>
      <c r="F642" t="s">
        <v>4646</v>
      </c>
      <c r="G642">
        <v>2641</v>
      </c>
      <c r="H642">
        <v>0.14000000000000001</v>
      </c>
      <c r="I642">
        <v>4.33</v>
      </c>
      <c r="J642">
        <v>3.33</v>
      </c>
      <c r="K642" t="s">
        <v>679</v>
      </c>
      <c r="L642">
        <v>-5.36</v>
      </c>
      <c r="M642" t="s">
        <v>2409</v>
      </c>
      <c r="N642" t="s">
        <v>4647</v>
      </c>
      <c r="O642" t="s">
        <v>4648</v>
      </c>
      <c r="P642" t="s">
        <v>4649</v>
      </c>
      <c r="Q642">
        <v>-5.15</v>
      </c>
      <c r="R642" t="s">
        <v>492</v>
      </c>
      <c r="S642">
        <v>0.71</v>
      </c>
      <c r="T642">
        <v>30.52</v>
      </c>
      <c r="U642" t="s">
        <v>516</v>
      </c>
      <c r="V642" t="s">
        <v>625</v>
      </c>
      <c r="W642" t="s">
        <v>1664</v>
      </c>
      <c r="X642">
        <v>3.33</v>
      </c>
      <c r="Y642" t="s">
        <v>81</v>
      </c>
      <c r="Z642" t="s">
        <v>641</v>
      </c>
      <c r="AA642" t="s">
        <v>4650</v>
      </c>
      <c r="AB642">
        <v>4.5199999999999996</v>
      </c>
      <c r="AC642" t="s">
        <v>847</v>
      </c>
      <c r="AD642">
        <v>85.54</v>
      </c>
      <c r="AE642" t="s">
        <v>3494</v>
      </c>
      <c r="AF642">
        <v>2.4500000000000002</v>
      </c>
      <c r="AG642">
        <v>0</v>
      </c>
      <c r="AH642">
        <v>0</v>
      </c>
      <c r="AI642" s="4">
        <v>42991</v>
      </c>
    </row>
    <row r="643" spans="1:35">
      <c r="A643">
        <v>642</v>
      </c>
      <c r="B643" t="str">
        <f>"300394"</f>
        <v>300394</v>
      </c>
      <c r="C643" t="s">
        <v>4651</v>
      </c>
      <c r="D643" s="4">
        <v>43190</v>
      </c>
      <c r="E643" t="s">
        <v>383</v>
      </c>
      <c r="F643" t="s">
        <v>2031</v>
      </c>
      <c r="G643" t="s">
        <v>2589</v>
      </c>
      <c r="H643">
        <v>0.15</v>
      </c>
      <c r="I643">
        <v>4.18</v>
      </c>
      <c r="J643">
        <v>3.33</v>
      </c>
      <c r="K643" t="s">
        <v>4652</v>
      </c>
      <c r="L643">
        <v>13.59</v>
      </c>
      <c r="M643" t="s">
        <v>4021</v>
      </c>
      <c r="N643" t="s">
        <v>3836</v>
      </c>
      <c r="O643" t="s">
        <v>4653</v>
      </c>
      <c r="P643" t="s">
        <v>4654</v>
      </c>
      <c r="Q643">
        <v>-13.62</v>
      </c>
      <c r="R643" t="s">
        <v>138</v>
      </c>
      <c r="S643">
        <v>1.7</v>
      </c>
      <c r="T643">
        <v>50.28</v>
      </c>
      <c r="U643" t="s">
        <v>2537</v>
      </c>
      <c r="V643" t="s">
        <v>2310</v>
      </c>
      <c r="W643" t="s">
        <v>1905</v>
      </c>
      <c r="X643">
        <v>3.33</v>
      </c>
      <c r="Y643" t="s">
        <v>4655</v>
      </c>
      <c r="Z643" t="s">
        <v>4656</v>
      </c>
      <c r="AA643" t="s">
        <v>4657</v>
      </c>
      <c r="AB643">
        <v>3.89</v>
      </c>
      <c r="AC643" t="s">
        <v>2443</v>
      </c>
      <c r="AD643">
        <v>89.64</v>
      </c>
      <c r="AE643" t="s">
        <v>262</v>
      </c>
      <c r="AF643">
        <v>1.19</v>
      </c>
      <c r="AG643">
        <v>0</v>
      </c>
      <c r="AH643">
        <v>0</v>
      </c>
      <c r="AI643" s="4">
        <v>42052</v>
      </c>
    </row>
    <row r="644" spans="1:35">
      <c r="A644">
        <v>643</v>
      </c>
      <c r="B644" t="str">
        <f>"002900"</f>
        <v>002900</v>
      </c>
      <c r="C644" t="s">
        <v>4658</v>
      </c>
      <c r="D644" s="4">
        <v>43190</v>
      </c>
      <c r="E644" t="s">
        <v>1964</v>
      </c>
      <c r="F644" t="s">
        <v>4659</v>
      </c>
      <c r="G644">
        <v>1373</v>
      </c>
      <c r="H644">
        <v>0.2</v>
      </c>
      <c r="I644">
        <v>5.66</v>
      </c>
      <c r="J644">
        <v>3.33</v>
      </c>
      <c r="K644" t="s">
        <v>1695</v>
      </c>
      <c r="L644">
        <v>177.24</v>
      </c>
      <c r="M644" t="s">
        <v>4660</v>
      </c>
      <c r="N644" t="s">
        <v>2937</v>
      </c>
      <c r="O644" t="s">
        <v>4661</v>
      </c>
      <c r="P644" t="s">
        <v>4662</v>
      </c>
      <c r="Q644">
        <v>151.87</v>
      </c>
      <c r="R644" t="s">
        <v>922</v>
      </c>
      <c r="S644">
        <v>1.08</v>
      </c>
      <c r="T644">
        <v>83.84</v>
      </c>
      <c r="U644" t="s">
        <v>1029</v>
      </c>
      <c r="V644" t="s">
        <v>80</v>
      </c>
      <c r="W644" t="s">
        <v>475</v>
      </c>
      <c r="X644">
        <v>3.33</v>
      </c>
      <c r="Y644" t="s">
        <v>3027</v>
      </c>
      <c r="Z644" t="s">
        <v>89</v>
      </c>
      <c r="AA644" t="s">
        <v>4663</v>
      </c>
      <c r="AB644">
        <v>3.1</v>
      </c>
      <c r="AC644" t="s">
        <v>183</v>
      </c>
      <c r="AD644">
        <v>82.2</v>
      </c>
      <c r="AE644" t="s">
        <v>192</v>
      </c>
      <c r="AF644">
        <v>3.35</v>
      </c>
      <c r="AG644">
        <v>0</v>
      </c>
      <c r="AH644">
        <v>0</v>
      </c>
      <c r="AI644" s="4">
        <v>43000</v>
      </c>
    </row>
    <row r="645" spans="1:35">
      <c r="A645">
        <v>644</v>
      </c>
      <c r="B645" t="str">
        <f>"601128"</f>
        <v>601128</v>
      </c>
      <c r="C645" t="s">
        <v>4664</v>
      </c>
      <c r="D645" s="4">
        <v>43190</v>
      </c>
      <c r="E645" t="s">
        <v>728</v>
      </c>
      <c r="F645" t="s">
        <v>3489</v>
      </c>
      <c r="G645" t="s">
        <v>4665</v>
      </c>
      <c r="H645">
        <v>0.17</v>
      </c>
      <c r="I645">
        <v>4.72</v>
      </c>
      <c r="J645">
        <v>3.32</v>
      </c>
      <c r="K645" t="s">
        <v>101</v>
      </c>
      <c r="L645">
        <v>12.5</v>
      </c>
      <c r="M645" t="s">
        <v>944</v>
      </c>
      <c r="N645" t="s">
        <v>4666</v>
      </c>
      <c r="O645" t="s">
        <v>1731</v>
      </c>
      <c r="P645" t="s">
        <v>3726</v>
      </c>
      <c r="Q645">
        <v>16.760000000000002</v>
      </c>
      <c r="R645" t="s">
        <v>114</v>
      </c>
      <c r="S645">
        <v>0.79</v>
      </c>
      <c r="T645">
        <v>0</v>
      </c>
      <c r="U645" t="s">
        <v>4667</v>
      </c>
      <c r="V645">
        <v>0</v>
      </c>
      <c r="W645" t="s">
        <v>407</v>
      </c>
      <c r="X645">
        <v>3.32</v>
      </c>
      <c r="Y645" t="s">
        <v>4668</v>
      </c>
      <c r="Z645">
        <v>0</v>
      </c>
      <c r="AA645">
        <v>0</v>
      </c>
      <c r="AB645">
        <v>1.19</v>
      </c>
      <c r="AC645" t="s">
        <v>689</v>
      </c>
      <c r="AD645">
        <v>7.59</v>
      </c>
      <c r="AE645" t="s">
        <v>1493</v>
      </c>
      <c r="AF645">
        <v>0.31</v>
      </c>
      <c r="AG645">
        <v>0</v>
      </c>
      <c r="AH645">
        <v>0</v>
      </c>
      <c r="AI645" s="4">
        <v>42643</v>
      </c>
    </row>
    <row r="646" spans="1:35">
      <c r="A646">
        <v>645</v>
      </c>
      <c r="B646" t="str">
        <f>"600711"</f>
        <v>600711</v>
      </c>
      <c r="C646" t="s">
        <v>4669</v>
      </c>
      <c r="D646" s="4">
        <v>43190</v>
      </c>
      <c r="E646" t="s">
        <v>1569</v>
      </c>
      <c r="F646" t="s">
        <v>855</v>
      </c>
      <c r="G646" t="s">
        <v>1440</v>
      </c>
      <c r="H646">
        <v>0.09</v>
      </c>
      <c r="I646">
        <v>3.59</v>
      </c>
      <c r="J646">
        <v>3.32</v>
      </c>
      <c r="K646" t="s">
        <v>1600</v>
      </c>
      <c r="L646">
        <v>81.599999999999994</v>
      </c>
      <c r="M646" t="s">
        <v>345</v>
      </c>
      <c r="N646" t="s">
        <v>4670</v>
      </c>
      <c r="O646" t="s">
        <v>148</v>
      </c>
      <c r="P646" t="s">
        <v>863</v>
      </c>
      <c r="Q646">
        <v>64.44</v>
      </c>
      <c r="R646" t="s">
        <v>625</v>
      </c>
      <c r="S646">
        <v>0.61</v>
      </c>
      <c r="T646">
        <v>4.8099999999999996</v>
      </c>
      <c r="U646" t="s">
        <v>311</v>
      </c>
      <c r="V646" t="s">
        <v>4671</v>
      </c>
      <c r="W646" t="s">
        <v>4306</v>
      </c>
      <c r="X646">
        <v>3.32</v>
      </c>
      <c r="Y646" t="s">
        <v>4672</v>
      </c>
      <c r="Z646" t="s">
        <v>1890</v>
      </c>
      <c r="AA646" t="s">
        <v>1329</v>
      </c>
      <c r="AB646">
        <v>2.31</v>
      </c>
      <c r="AC646" t="s">
        <v>2918</v>
      </c>
      <c r="AD646">
        <v>48.3</v>
      </c>
      <c r="AE646" t="s">
        <v>249</v>
      </c>
      <c r="AF646">
        <v>1.93</v>
      </c>
      <c r="AG646">
        <v>0</v>
      </c>
      <c r="AH646">
        <v>0</v>
      </c>
      <c r="AI646" s="4">
        <v>35216</v>
      </c>
    </row>
    <row r="647" spans="1:35">
      <c r="A647">
        <v>646</v>
      </c>
      <c r="B647" t="str">
        <f>"300585"</f>
        <v>300585</v>
      </c>
      <c r="C647" t="s">
        <v>4673</v>
      </c>
      <c r="D647" s="4">
        <v>43190</v>
      </c>
      <c r="E647" t="s">
        <v>1203</v>
      </c>
      <c r="F647" t="s">
        <v>4674</v>
      </c>
      <c r="G647">
        <v>5929</v>
      </c>
      <c r="H647">
        <v>0.09</v>
      </c>
      <c r="I647">
        <v>2.89</v>
      </c>
      <c r="J647">
        <v>3.32</v>
      </c>
      <c r="K647" t="s">
        <v>4675</v>
      </c>
      <c r="L647">
        <v>5.76</v>
      </c>
      <c r="M647" t="s">
        <v>4676</v>
      </c>
      <c r="N647" t="s">
        <v>4677</v>
      </c>
      <c r="O647" t="s">
        <v>4678</v>
      </c>
      <c r="P647" t="s">
        <v>529</v>
      </c>
      <c r="Q647">
        <v>-8.44</v>
      </c>
      <c r="R647" t="s">
        <v>845</v>
      </c>
      <c r="S647">
        <v>0.96</v>
      </c>
      <c r="T647">
        <v>39.18</v>
      </c>
      <c r="U647" t="s">
        <v>1276</v>
      </c>
      <c r="V647" t="s">
        <v>2036</v>
      </c>
      <c r="W647" t="s">
        <v>282</v>
      </c>
      <c r="X647">
        <v>3.32</v>
      </c>
      <c r="Y647" t="s">
        <v>608</v>
      </c>
      <c r="Z647" t="s">
        <v>1360</v>
      </c>
      <c r="AA647" t="s">
        <v>4679</v>
      </c>
      <c r="AB647">
        <v>4.67</v>
      </c>
      <c r="AC647" t="s">
        <v>140</v>
      </c>
      <c r="AD647">
        <v>70.27</v>
      </c>
      <c r="AE647" t="s">
        <v>802</v>
      </c>
      <c r="AF647">
        <v>0.81</v>
      </c>
      <c r="AG647">
        <v>0</v>
      </c>
      <c r="AH647">
        <v>0</v>
      </c>
      <c r="AI647" s="4">
        <v>42733</v>
      </c>
    </row>
    <row r="648" spans="1:35">
      <c r="A648">
        <v>647</v>
      </c>
      <c r="B648" t="str">
        <f>"002430"</f>
        <v>002430</v>
      </c>
      <c r="C648" t="s">
        <v>4680</v>
      </c>
      <c r="D648" s="4">
        <v>43190</v>
      </c>
      <c r="E648" t="s">
        <v>2032</v>
      </c>
      <c r="F648" t="s">
        <v>1415</v>
      </c>
      <c r="G648" t="s">
        <v>4681</v>
      </c>
      <c r="H648">
        <v>0.16</v>
      </c>
      <c r="I648">
        <v>4.88</v>
      </c>
      <c r="J648">
        <v>3.32</v>
      </c>
      <c r="K648" t="s">
        <v>76</v>
      </c>
      <c r="L648">
        <v>22.53</v>
      </c>
      <c r="M648" t="s">
        <v>1011</v>
      </c>
      <c r="N648" t="s">
        <v>4682</v>
      </c>
      <c r="O648" t="s">
        <v>1417</v>
      </c>
      <c r="P648" t="s">
        <v>382</v>
      </c>
      <c r="Q648">
        <v>304.61</v>
      </c>
      <c r="R648" t="s">
        <v>891</v>
      </c>
      <c r="S648">
        <v>1.85</v>
      </c>
      <c r="T648">
        <v>23.65</v>
      </c>
      <c r="U648" t="s">
        <v>466</v>
      </c>
      <c r="V648" t="s">
        <v>4683</v>
      </c>
      <c r="W648" t="s">
        <v>2694</v>
      </c>
      <c r="X648">
        <v>3.32</v>
      </c>
      <c r="Y648" t="s">
        <v>2633</v>
      </c>
      <c r="Z648" t="s">
        <v>773</v>
      </c>
      <c r="AA648" t="s">
        <v>304</v>
      </c>
      <c r="AB648">
        <v>2.89</v>
      </c>
      <c r="AC648" t="s">
        <v>2092</v>
      </c>
      <c r="AD648">
        <v>42.36</v>
      </c>
      <c r="AE648" t="s">
        <v>1062</v>
      </c>
      <c r="AF648">
        <v>1.68</v>
      </c>
      <c r="AG648">
        <v>0</v>
      </c>
      <c r="AH648">
        <v>0</v>
      </c>
      <c r="AI648" s="4">
        <v>40339</v>
      </c>
    </row>
    <row r="649" spans="1:35">
      <c r="A649">
        <v>648</v>
      </c>
      <c r="B649" t="str">
        <f>"002365"</f>
        <v>002365</v>
      </c>
      <c r="C649" t="s">
        <v>4684</v>
      </c>
      <c r="D649" s="4">
        <v>43190</v>
      </c>
      <c r="E649" t="s">
        <v>535</v>
      </c>
      <c r="F649" t="s">
        <v>676</v>
      </c>
      <c r="G649">
        <v>6706</v>
      </c>
      <c r="H649">
        <v>0.15</v>
      </c>
      <c r="I649">
        <v>4.84</v>
      </c>
      <c r="J649">
        <v>3.32</v>
      </c>
      <c r="K649" t="s">
        <v>986</v>
      </c>
      <c r="L649">
        <v>27.58</v>
      </c>
      <c r="M649" t="s">
        <v>4685</v>
      </c>
      <c r="N649" t="s">
        <v>4686</v>
      </c>
      <c r="O649" t="s">
        <v>4687</v>
      </c>
      <c r="P649" t="s">
        <v>4688</v>
      </c>
      <c r="Q649">
        <v>73.91</v>
      </c>
      <c r="R649" t="s">
        <v>2222</v>
      </c>
      <c r="S649">
        <v>1.48</v>
      </c>
      <c r="T649">
        <v>40.64</v>
      </c>
      <c r="U649" t="s">
        <v>1052</v>
      </c>
      <c r="V649" t="s">
        <v>189</v>
      </c>
      <c r="W649" t="s">
        <v>3374</v>
      </c>
      <c r="X649">
        <v>3.32</v>
      </c>
      <c r="Y649" t="s">
        <v>975</v>
      </c>
      <c r="Z649" t="s">
        <v>1077</v>
      </c>
      <c r="AA649" t="s">
        <v>3668</v>
      </c>
      <c r="AB649">
        <v>2.79</v>
      </c>
      <c r="AC649" t="s">
        <v>263</v>
      </c>
      <c r="AD649">
        <v>87.51</v>
      </c>
      <c r="AE649" t="s">
        <v>2148</v>
      </c>
      <c r="AF649">
        <v>2.31</v>
      </c>
      <c r="AG649">
        <v>0</v>
      </c>
      <c r="AH649">
        <v>0</v>
      </c>
      <c r="AI649" s="4">
        <v>40242</v>
      </c>
    </row>
    <row r="650" spans="1:35">
      <c r="A650">
        <v>649</v>
      </c>
      <c r="B650" t="str">
        <f>"000488"</f>
        <v>000488</v>
      </c>
      <c r="C650" t="s">
        <v>4689</v>
      </c>
      <c r="D650" s="4">
        <v>43190</v>
      </c>
      <c r="E650" t="s">
        <v>2328</v>
      </c>
      <c r="F650" t="s">
        <v>323</v>
      </c>
      <c r="G650" t="s">
        <v>1440</v>
      </c>
      <c r="H650">
        <v>0.4</v>
      </c>
      <c r="I650">
        <v>9.65</v>
      </c>
      <c r="J650">
        <v>3.32</v>
      </c>
      <c r="K650" t="s">
        <v>4690</v>
      </c>
      <c r="L650">
        <v>15.42</v>
      </c>
      <c r="M650" t="s">
        <v>3154</v>
      </c>
      <c r="N650" t="s">
        <v>3907</v>
      </c>
      <c r="O650" t="s">
        <v>1368</v>
      </c>
      <c r="P650" t="s">
        <v>911</v>
      </c>
      <c r="Q650">
        <v>11.39</v>
      </c>
      <c r="R650" t="s">
        <v>4691</v>
      </c>
      <c r="S650">
        <v>4.93</v>
      </c>
      <c r="T650">
        <v>35.21</v>
      </c>
      <c r="U650" t="s">
        <v>4692</v>
      </c>
      <c r="V650" t="s">
        <v>2333</v>
      </c>
      <c r="W650" t="s">
        <v>3407</v>
      </c>
      <c r="X650">
        <v>3.32</v>
      </c>
      <c r="Y650" t="s">
        <v>4693</v>
      </c>
      <c r="Z650" t="s">
        <v>4694</v>
      </c>
      <c r="AA650" t="s">
        <v>1114</v>
      </c>
      <c r="AB650">
        <v>1.31</v>
      </c>
      <c r="AC650" t="s">
        <v>784</v>
      </c>
      <c r="AD650">
        <v>26.84</v>
      </c>
      <c r="AE650" t="s">
        <v>4683</v>
      </c>
      <c r="AF650">
        <v>3.18</v>
      </c>
      <c r="AG650" t="s">
        <v>1006</v>
      </c>
      <c r="AH650" t="s">
        <v>2807</v>
      </c>
      <c r="AI650" s="4">
        <v>36850</v>
      </c>
    </row>
    <row r="651" spans="1:35">
      <c r="A651">
        <v>650</v>
      </c>
      <c r="B651" t="str">
        <f>"603567"</f>
        <v>603567</v>
      </c>
      <c r="C651" t="s">
        <v>4695</v>
      </c>
      <c r="D651" s="4">
        <v>43190</v>
      </c>
      <c r="E651" t="s">
        <v>1274</v>
      </c>
      <c r="F651" t="s">
        <v>1274</v>
      </c>
      <c r="G651">
        <v>9709</v>
      </c>
      <c r="H651">
        <v>0.19</v>
      </c>
      <c r="I651">
        <v>5.5</v>
      </c>
      <c r="J651">
        <v>3.31</v>
      </c>
      <c r="K651" t="s">
        <v>4279</v>
      </c>
      <c r="L651">
        <v>11</v>
      </c>
      <c r="M651" t="s">
        <v>698</v>
      </c>
      <c r="N651">
        <v>0</v>
      </c>
      <c r="O651" t="s">
        <v>905</v>
      </c>
      <c r="P651" t="s">
        <v>382</v>
      </c>
      <c r="Q651">
        <v>33.840000000000003</v>
      </c>
      <c r="R651" t="s">
        <v>1516</v>
      </c>
      <c r="S651">
        <v>2.71</v>
      </c>
      <c r="T651">
        <v>73.260000000000005</v>
      </c>
      <c r="U651" t="s">
        <v>4013</v>
      </c>
      <c r="V651" t="s">
        <v>886</v>
      </c>
      <c r="W651" t="s">
        <v>264</v>
      </c>
      <c r="X651">
        <v>3.31</v>
      </c>
      <c r="Y651" t="s">
        <v>2753</v>
      </c>
      <c r="Z651" t="s">
        <v>418</v>
      </c>
      <c r="AA651" t="s">
        <v>2424</v>
      </c>
      <c r="AB651">
        <v>2.36</v>
      </c>
      <c r="AC651" t="s">
        <v>886</v>
      </c>
      <c r="AD651">
        <v>68.849999999999994</v>
      </c>
      <c r="AE651" t="s">
        <v>405</v>
      </c>
      <c r="AF651">
        <v>1.44</v>
      </c>
      <c r="AG651">
        <v>0</v>
      </c>
      <c r="AH651">
        <v>0</v>
      </c>
      <c r="AI651" s="4">
        <v>42118</v>
      </c>
    </row>
    <row r="652" spans="1:35">
      <c r="A652">
        <v>651</v>
      </c>
      <c r="B652" t="str">
        <f>"600663"</f>
        <v>600663</v>
      </c>
      <c r="C652" t="s">
        <v>4696</v>
      </c>
      <c r="D652" s="4">
        <v>43190</v>
      </c>
      <c r="E652" t="s">
        <v>4697</v>
      </c>
      <c r="F652" t="s">
        <v>352</v>
      </c>
      <c r="G652">
        <v>0</v>
      </c>
      <c r="H652">
        <v>0.2</v>
      </c>
      <c r="I652">
        <v>4.4400000000000004</v>
      </c>
      <c r="J652">
        <v>3.3</v>
      </c>
      <c r="K652" t="s">
        <v>1025</v>
      </c>
      <c r="L652">
        <v>-49.09</v>
      </c>
      <c r="M652" t="s">
        <v>833</v>
      </c>
      <c r="N652" t="s">
        <v>840</v>
      </c>
      <c r="O652" t="s">
        <v>1792</v>
      </c>
      <c r="P652" t="s">
        <v>116</v>
      </c>
      <c r="Q652">
        <v>52.39</v>
      </c>
      <c r="R652" t="s">
        <v>1311</v>
      </c>
      <c r="S652">
        <v>2.77</v>
      </c>
      <c r="T652">
        <v>54.81</v>
      </c>
      <c r="U652" t="s">
        <v>4698</v>
      </c>
      <c r="V652" t="s">
        <v>4699</v>
      </c>
      <c r="W652" t="s">
        <v>1025</v>
      </c>
      <c r="X652">
        <v>3.3</v>
      </c>
      <c r="Y652" t="s">
        <v>4459</v>
      </c>
      <c r="Z652" t="s">
        <v>3911</v>
      </c>
      <c r="AA652" t="s">
        <v>4700</v>
      </c>
      <c r="AB652">
        <v>3.42</v>
      </c>
      <c r="AC652" t="s">
        <v>1741</v>
      </c>
      <c r="AD652">
        <v>18.829999999999998</v>
      </c>
      <c r="AE652" t="s">
        <v>4701</v>
      </c>
      <c r="AF652">
        <v>0.01</v>
      </c>
      <c r="AG652" t="s">
        <v>3745</v>
      </c>
      <c r="AH652">
        <v>0</v>
      </c>
      <c r="AI652" s="4">
        <v>34148</v>
      </c>
    </row>
    <row r="653" spans="1:35">
      <c r="A653">
        <v>652</v>
      </c>
      <c r="B653" t="str">
        <f>"600419"</f>
        <v>600419</v>
      </c>
      <c r="C653" t="s">
        <v>4702</v>
      </c>
      <c r="D653" s="4">
        <v>43190</v>
      </c>
      <c r="E653" t="s">
        <v>618</v>
      </c>
      <c r="F653" t="s">
        <v>345</v>
      </c>
      <c r="G653">
        <v>9544</v>
      </c>
      <c r="H653">
        <v>0.14000000000000001</v>
      </c>
      <c r="I653">
        <v>4.03</v>
      </c>
      <c r="J653">
        <v>3.3</v>
      </c>
      <c r="K653" t="s">
        <v>120</v>
      </c>
      <c r="L653">
        <v>23.28</v>
      </c>
      <c r="M653" t="s">
        <v>4703</v>
      </c>
      <c r="N653">
        <v>0</v>
      </c>
      <c r="O653" t="s">
        <v>1607</v>
      </c>
      <c r="P653" t="s">
        <v>4704</v>
      </c>
      <c r="Q653">
        <v>19.02</v>
      </c>
      <c r="R653" t="s">
        <v>45</v>
      </c>
      <c r="S653">
        <v>0.5</v>
      </c>
      <c r="T653">
        <v>26.75</v>
      </c>
      <c r="U653" t="s">
        <v>161</v>
      </c>
      <c r="V653" t="s">
        <v>540</v>
      </c>
      <c r="W653" t="s">
        <v>1935</v>
      </c>
      <c r="X653">
        <v>3.3</v>
      </c>
      <c r="Y653" t="s">
        <v>364</v>
      </c>
      <c r="Z653" t="s">
        <v>1074</v>
      </c>
      <c r="AA653" t="s">
        <v>45</v>
      </c>
      <c r="AB653">
        <v>5.0199999999999996</v>
      </c>
      <c r="AC653" t="s">
        <v>906</v>
      </c>
      <c r="AD653">
        <v>60.19</v>
      </c>
      <c r="AE653" t="s">
        <v>2445</v>
      </c>
      <c r="AF653">
        <v>2.4300000000000002</v>
      </c>
      <c r="AG653">
        <v>0</v>
      </c>
      <c r="AH653">
        <v>0</v>
      </c>
      <c r="AI653" s="4">
        <v>37070</v>
      </c>
    </row>
    <row r="654" spans="1:35">
      <c r="A654">
        <v>653</v>
      </c>
      <c r="B654" t="str">
        <f>"002491"</f>
        <v>002491</v>
      </c>
      <c r="C654" t="s">
        <v>4705</v>
      </c>
      <c r="D654" s="4">
        <v>43190</v>
      </c>
      <c r="E654" t="s">
        <v>164</v>
      </c>
      <c r="F654" t="s">
        <v>1033</v>
      </c>
      <c r="G654" t="s">
        <v>1763</v>
      </c>
      <c r="H654">
        <v>0.12</v>
      </c>
      <c r="I654">
        <v>3.75</v>
      </c>
      <c r="J654">
        <v>3.3</v>
      </c>
      <c r="K654" t="s">
        <v>1223</v>
      </c>
      <c r="L654">
        <v>22.53</v>
      </c>
      <c r="M654" t="s">
        <v>345</v>
      </c>
      <c r="N654" t="s">
        <v>4706</v>
      </c>
      <c r="O654" t="s">
        <v>284</v>
      </c>
      <c r="P654" t="s">
        <v>845</v>
      </c>
      <c r="Q654">
        <v>75.22</v>
      </c>
      <c r="R654" t="s">
        <v>418</v>
      </c>
      <c r="S654">
        <v>1.6</v>
      </c>
      <c r="T654">
        <v>27.76</v>
      </c>
      <c r="U654" t="s">
        <v>4707</v>
      </c>
      <c r="V654" t="s">
        <v>1494</v>
      </c>
      <c r="W654" t="s">
        <v>391</v>
      </c>
      <c r="X654">
        <v>3.3</v>
      </c>
      <c r="Y654" t="s">
        <v>777</v>
      </c>
      <c r="Z654" t="s">
        <v>3571</v>
      </c>
      <c r="AA654" t="s">
        <v>3712</v>
      </c>
      <c r="AB654">
        <v>2.87</v>
      </c>
      <c r="AC654" t="s">
        <v>3241</v>
      </c>
      <c r="AD654">
        <v>48.88</v>
      </c>
      <c r="AE654" t="s">
        <v>1025</v>
      </c>
      <c r="AF654">
        <v>1.03</v>
      </c>
      <c r="AG654">
        <v>0</v>
      </c>
      <c r="AH654">
        <v>0</v>
      </c>
      <c r="AI654" s="4">
        <v>40472</v>
      </c>
    </row>
    <row r="655" spans="1:35">
      <c r="A655">
        <v>654</v>
      </c>
      <c r="B655" t="str">
        <f>"002372"</f>
        <v>002372</v>
      </c>
      <c r="C655" t="s">
        <v>4708</v>
      </c>
      <c r="D655" s="4">
        <v>43190</v>
      </c>
      <c r="E655" t="s">
        <v>840</v>
      </c>
      <c r="F655" t="s">
        <v>613</v>
      </c>
      <c r="G655" t="s">
        <v>4709</v>
      </c>
      <c r="H655">
        <v>0.08</v>
      </c>
      <c r="I655">
        <v>2.0699999999999998</v>
      </c>
      <c r="J655">
        <v>3.3</v>
      </c>
      <c r="K655" t="s">
        <v>1898</v>
      </c>
      <c r="L655">
        <v>20.16</v>
      </c>
      <c r="M655" t="s">
        <v>322</v>
      </c>
      <c r="N655" t="s">
        <v>4710</v>
      </c>
      <c r="O655" t="s">
        <v>322</v>
      </c>
      <c r="P655" t="s">
        <v>71</v>
      </c>
      <c r="Q655">
        <v>29.21</v>
      </c>
      <c r="R655" t="s">
        <v>971</v>
      </c>
      <c r="S655">
        <v>0.57999999999999996</v>
      </c>
      <c r="T655">
        <v>44.39</v>
      </c>
      <c r="U655" t="s">
        <v>1312</v>
      </c>
      <c r="V655" t="s">
        <v>700</v>
      </c>
      <c r="W655" t="s">
        <v>652</v>
      </c>
      <c r="X655">
        <v>3.3</v>
      </c>
      <c r="Y655" t="s">
        <v>1769</v>
      </c>
      <c r="Z655" t="s">
        <v>4384</v>
      </c>
      <c r="AA655" t="s">
        <v>4711</v>
      </c>
      <c r="AB655">
        <v>9.0399999999999991</v>
      </c>
      <c r="AC655" t="s">
        <v>2028</v>
      </c>
      <c r="AD655">
        <v>78.39</v>
      </c>
      <c r="AE655" t="s">
        <v>918</v>
      </c>
      <c r="AF655">
        <v>0.31</v>
      </c>
      <c r="AG655">
        <v>0</v>
      </c>
      <c r="AH655">
        <v>0</v>
      </c>
      <c r="AI655" s="4">
        <v>40255</v>
      </c>
    </row>
    <row r="656" spans="1:35">
      <c r="A656">
        <v>655</v>
      </c>
      <c r="B656" t="str">
        <f>"000935"</f>
        <v>000935</v>
      </c>
      <c r="C656" t="s">
        <v>4712</v>
      </c>
      <c r="D656" s="4">
        <v>43190</v>
      </c>
      <c r="E656" t="s">
        <v>1608</v>
      </c>
      <c r="F656" t="s">
        <v>1608</v>
      </c>
      <c r="G656">
        <v>8332</v>
      </c>
      <c r="H656">
        <v>0.13</v>
      </c>
      <c r="I656">
        <v>3.78</v>
      </c>
      <c r="J656">
        <v>3.3</v>
      </c>
      <c r="K656" t="s">
        <v>1959</v>
      </c>
      <c r="L656">
        <v>-5.82</v>
      </c>
      <c r="M656" t="s">
        <v>2306</v>
      </c>
      <c r="N656" t="s">
        <v>4713</v>
      </c>
      <c r="O656" t="s">
        <v>2306</v>
      </c>
      <c r="P656" t="s">
        <v>4714</v>
      </c>
      <c r="Q656">
        <v>2536.2800000000002</v>
      </c>
      <c r="R656" t="s">
        <v>3027</v>
      </c>
      <c r="S656">
        <v>0.36</v>
      </c>
      <c r="T656">
        <v>38.56</v>
      </c>
      <c r="U656" t="s">
        <v>369</v>
      </c>
      <c r="V656" t="s">
        <v>855</v>
      </c>
      <c r="W656" t="s">
        <v>848</v>
      </c>
      <c r="X656">
        <v>3.3</v>
      </c>
      <c r="Y656" t="s">
        <v>407</v>
      </c>
      <c r="Z656" t="s">
        <v>919</v>
      </c>
      <c r="AA656" t="s">
        <v>3628</v>
      </c>
      <c r="AB656">
        <v>4.24</v>
      </c>
      <c r="AC656" t="s">
        <v>386</v>
      </c>
      <c r="AD656">
        <v>74.14</v>
      </c>
      <c r="AE656" t="s">
        <v>1678</v>
      </c>
      <c r="AF656">
        <v>2.33</v>
      </c>
      <c r="AG656">
        <v>0</v>
      </c>
      <c r="AH656">
        <v>0</v>
      </c>
      <c r="AI656" s="4">
        <v>36396</v>
      </c>
    </row>
    <row r="657" spans="1:35">
      <c r="A657">
        <v>656</v>
      </c>
      <c r="B657" t="str">
        <f>"000718"</f>
        <v>000718</v>
      </c>
      <c r="C657" t="s">
        <v>4715</v>
      </c>
      <c r="D657" s="4">
        <v>43190</v>
      </c>
      <c r="E657" t="s">
        <v>570</v>
      </c>
      <c r="F657" t="s">
        <v>865</v>
      </c>
      <c r="G657" t="s">
        <v>1777</v>
      </c>
      <c r="H657">
        <v>0.09</v>
      </c>
      <c r="I657">
        <v>2.66</v>
      </c>
      <c r="J657">
        <v>3.3</v>
      </c>
      <c r="K657" t="s">
        <v>4599</v>
      </c>
      <c r="L657">
        <v>42.69</v>
      </c>
      <c r="M657" t="s">
        <v>340</v>
      </c>
      <c r="N657" t="s">
        <v>4716</v>
      </c>
      <c r="O657" t="s">
        <v>160</v>
      </c>
      <c r="P657" t="s">
        <v>1511</v>
      </c>
      <c r="Q657">
        <v>544.28</v>
      </c>
      <c r="R657" t="s">
        <v>1859</v>
      </c>
      <c r="S657">
        <v>1.19</v>
      </c>
      <c r="T657">
        <v>63.32</v>
      </c>
      <c r="U657" t="s">
        <v>3385</v>
      </c>
      <c r="V657" t="s">
        <v>2050</v>
      </c>
      <c r="W657" t="s">
        <v>86</v>
      </c>
      <c r="X657">
        <v>3.3</v>
      </c>
      <c r="Y657" t="s">
        <v>4717</v>
      </c>
      <c r="Z657" t="s">
        <v>4718</v>
      </c>
      <c r="AA657" t="s">
        <v>860</v>
      </c>
      <c r="AB657">
        <v>1.41</v>
      </c>
      <c r="AC657" t="s">
        <v>4719</v>
      </c>
      <c r="AD657">
        <v>43.5</v>
      </c>
      <c r="AE657" t="s">
        <v>919</v>
      </c>
      <c r="AF657">
        <v>0.34</v>
      </c>
      <c r="AG657">
        <v>0</v>
      </c>
      <c r="AH657">
        <v>0</v>
      </c>
      <c r="AI657" s="4">
        <v>35528</v>
      </c>
    </row>
    <row r="658" spans="1:35">
      <c r="A658">
        <v>657</v>
      </c>
      <c r="B658" t="str">
        <f>"601699"</f>
        <v>601699</v>
      </c>
      <c r="C658" t="s">
        <v>4720</v>
      </c>
      <c r="D658" s="4">
        <v>43190</v>
      </c>
      <c r="E658" t="s">
        <v>864</v>
      </c>
      <c r="F658" t="s">
        <v>864</v>
      </c>
      <c r="G658" t="s">
        <v>4721</v>
      </c>
      <c r="H658">
        <v>0.24</v>
      </c>
      <c r="I658">
        <v>7.44</v>
      </c>
      <c r="J658">
        <v>3.29</v>
      </c>
      <c r="K658" t="s">
        <v>2225</v>
      </c>
      <c r="L658">
        <v>14.23</v>
      </c>
      <c r="M658" t="s">
        <v>1658</v>
      </c>
      <c r="N658" t="s">
        <v>4722</v>
      </c>
      <c r="O658" t="s">
        <v>1658</v>
      </c>
      <c r="P658" t="s">
        <v>2454</v>
      </c>
      <c r="Q658">
        <v>40.06</v>
      </c>
      <c r="R658" t="s">
        <v>841</v>
      </c>
      <c r="S658">
        <v>4.0999999999999996</v>
      </c>
      <c r="T658">
        <v>40.69</v>
      </c>
      <c r="U658" t="s">
        <v>4723</v>
      </c>
      <c r="V658" t="s">
        <v>4724</v>
      </c>
      <c r="W658" t="s">
        <v>1221</v>
      </c>
      <c r="X658">
        <v>3.29</v>
      </c>
      <c r="Y658" t="s">
        <v>4725</v>
      </c>
      <c r="Z658" t="s">
        <v>2357</v>
      </c>
      <c r="AA658" t="s">
        <v>2066</v>
      </c>
      <c r="AB658">
        <v>1.32</v>
      </c>
      <c r="AC658" t="s">
        <v>715</v>
      </c>
      <c r="AD658">
        <v>34.44</v>
      </c>
      <c r="AE658" t="s">
        <v>161</v>
      </c>
      <c r="AF658">
        <v>0.48</v>
      </c>
      <c r="AG658">
        <v>0</v>
      </c>
      <c r="AH658">
        <v>0</v>
      </c>
      <c r="AI658" s="4">
        <v>38982</v>
      </c>
    </row>
    <row r="659" spans="1:35">
      <c r="A659">
        <v>658</v>
      </c>
      <c r="B659" t="str">
        <f>"300699"</f>
        <v>300699</v>
      </c>
      <c r="C659" t="s">
        <v>4726</v>
      </c>
      <c r="D659" s="4">
        <v>43190</v>
      </c>
      <c r="E659" t="s">
        <v>2268</v>
      </c>
      <c r="F659" t="s">
        <v>4727</v>
      </c>
      <c r="G659">
        <v>2049</v>
      </c>
      <c r="H659">
        <v>0.24</v>
      </c>
      <c r="I659">
        <v>6.97</v>
      </c>
      <c r="J659">
        <v>3.29</v>
      </c>
      <c r="K659" t="s">
        <v>798</v>
      </c>
      <c r="L659">
        <v>27.75</v>
      </c>
      <c r="M659" t="s">
        <v>4728</v>
      </c>
      <c r="N659" t="s">
        <v>4729</v>
      </c>
      <c r="O659" t="s">
        <v>4730</v>
      </c>
      <c r="P659" t="s">
        <v>4731</v>
      </c>
      <c r="Q659">
        <v>33.659999999999997</v>
      </c>
      <c r="R659" t="s">
        <v>675</v>
      </c>
      <c r="S659">
        <v>1.53</v>
      </c>
      <c r="T659">
        <v>44.73</v>
      </c>
      <c r="U659" t="s">
        <v>1404</v>
      </c>
      <c r="V659" t="s">
        <v>114</v>
      </c>
      <c r="W659" t="s">
        <v>483</v>
      </c>
      <c r="X659">
        <v>3.29</v>
      </c>
      <c r="Y659" t="s">
        <v>2789</v>
      </c>
      <c r="Z659" t="s">
        <v>668</v>
      </c>
      <c r="AA659" t="s">
        <v>1049</v>
      </c>
      <c r="AB659">
        <v>6.09</v>
      </c>
      <c r="AC659" t="s">
        <v>2100</v>
      </c>
      <c r="AD659">
        <v>84.29</v>
      </c>
      <c r="AE659" t="s">
        <v>983</v>
      </c>
      <c r="AF659">
        <v>4.33</v>
      </c>
      <c r="AG659">
        <v>0</v>
      </c>
      <c r="AH659">
        <v>0</v>
      </c>
      <c r="AI659" s="4">
        <v>42979</v>
      </c>
    </row>
    <row r="660" spans="1:35">
      <c r="A660">
        <v>659</v>
      </c>
      <c r="B660" t="str">
        <f>"300575"</f>
        <v>300575</v>
      </c>
      <c r="C660" t="s">
        <v>4732</v>
      </c>
      <c r="D660" s="4">
        <v>43190</v>
      </c>
      <c r="E660" t="s">
        <v>4733</v>
      </c>
      <c r="F660" t="s">
        <v>4734</v>
      </c>
      <c r="G660">
        <v>3082</v>
      </c>
      <c r="H660">
        <v>0.46</v>
      </c>
      <c r="I660">
        <v>13.9</v>
      </c>
      <c r="J660">
        <v>3.29</v>
      </c>
      <c r="K660" t="s">
        <v>749</v>
      </c>
      <c r="L660">
        <v>28.51</v>
      </c>
      <c r="M660" t="s">
        <v>3190</v>
      </c>
      <c r="N660" t="s">
        <v>4735</v>
      </c>
      <c r="O660" t="s">
        <v>4736</v>
      </c>
      <c r="P660" t="s">
        <v>4737</v>
      </c>
      <c r="Q660">
        <v>-13.32</v>
      </c>
      <c r="R660" t="s">
        <v>142</v>
      </c>
      <c r="S660">
        <v>5.66</v>
      </c>
      <c r="T660">
        <v>18.86</v>
      </c>
      <c r="U660" t="s">
        <v>183</v>
      </c>
      <c r="V660" t="s">
        <v>973</v>
      </c>
      <c r="W660" t="s">
        <v>165</v>
      </c>
      <c r="X660">
        <v>3.29</v>
      </c>
      <c r="Y660" t="s">
        <v>649</v>
      </c>
      <c r="Z660" t="s">
        <v>1872</v>
      </c>
      <c r="AA660" t="s">
        <v>326</v>
      </c>
      <c r="AB660">
        <v>2.69</v>
      </c>
      <c r="AC660" t="s">
        <v>919</v>
      </c>
      <c r="AD660">
        <v>54.84</v>
      </c>
      <c r="AE660" t="s">
        <v>1695</v>
      </c>
      <c r="AF660">
        <v>6.43</v>
      </c>
      <c r="AG660">
        <v>0</v>
      </c>
      <c r="AH660">
        <v>0</v>
      </c>
      <c r="AI660" s="4">
        <v>42724</v>
      </c>
    </row>
    <row r="661" spans="1:35">
      <c r="A661">
        <v>660</v>
      </c>
      <c r="B661" t="str">
        <f>"300481"</f>
        <v>300481</v>
      </c>
      <c r="C661" t="s">
        <v>4738</v>
      </c>
      <c r="D661" s="4">
        <v>43190</v>
      </c>
      <c r="E661" t="s">
        <v>217</v>
      </c>
      <c r="F661" t="s">
        <v>600</v>
      </c>
      <c r="G661">
        <v>3537</v>
      </c>
      <c r="H661">
        <v>0.08</v>
      </c>
      <c r="I661">
        <v>2.6</v>
      </c>
      <c r="J661">
        <v>3.29</v>
      </c>
      <c r="K661" t="s">
        <v>452</v>
      </c>
      <c r="L661">
        <v>68.64</v>
      </c>
      <c r="M661" t="s">
        <v>4739</v>
      </c>
      <c r="N661" t="s">
        <v>3547</v>
      </c>
      <c r="O661" t="s">
        <v>4739</v>
      </c>
      <c r="P661" t="s">
        <v>4740</v>
      </c>
      <c r="Q661">
        <v>56.52</v>
      </c>
      <c r="R661" t="s">
        <v>726</v>
      </c>
      <c r="S661">
        <v>0.77</v>
      </c>
      <c r="T661">
        <v>34.83</v>
      </c>
      <c r="U661" t="s">
        <v>1835</v>
      </c>
      <c r="V661" t="s">
        <v>1502</v>
      </c>
      <c r="W661" t="s">
        <v>2034</v>
      </c>
      <c r="X661">
        <v>3.29</v>
      </c>
      <c r="Y661" t="s">
        <v>2424</v>
      </c>
      <c r="Z661" t="s">
        <v>993</v>
      </c>
      <c r="AA661" t="s">
        <v>1642</v>
      </c>
      <c r="AB661">
        <v>4.29</v>
      </c>
      <c r="AC661" t="s">
        <v>2637</v>
      </c>
      <c r="AD661">
        <v>82.74</v>
      </c>
      <c r="AE661" t="s">
        <v>2102</v>
      </c>
      <c r="AF661">
        <v>0.77</v>
      </c>
      <c r="AG661">
        <v>0</v>
      </c>
      <c r="AH661">
        <v>0</v>
      </c>
      <c r="AI661" s="4">
        <v>42185</v>
      </c>
    </row>
    <row r="662" spans="1:35">
      <c r="A662">
        <v>661</v>
      </c>
      <c r="B662" t="str">
        <f>"002772"</f>
        <v>002772</v>
      </c>
      <c r="C662" t="s">
        <v>4741</v>
      </c>
      <c r="D662" s="4">
        <v>43190</v>
      </c>
      <c r="E662" t="s">
        <v>2751</v>
      </c>
      <c r="F662" t="s">
        <v>66</v>
      </c>
      <c r="G662">
        <v>6041</v>
      </c>
      <c r="H662">
        <v>0.24</v>
      </c>
      <c r="I662">
        <v>6.72</v>
      </c>
      <c r="J662">
        <v>3.29</v>
      </c>
      <c r="K662" t="s">
        <v>122</v>
      </c>
      <c r="L662">
        <v>58.74</v>
      </c>
      <c r="M662" t="s">
        <v>4742</v>
      </c>
      <c r="N662" t="s">
        <v>4743</v>
      </c>
      <c r="O662" t="s">
        <v>4744</v>
      </c>
      <c r="P662" t="s">
        <v>4745</v>
      </c>
      <c r="Q662">
        <v>75.66</v>
      </c>
      <c r="R662" t="s">
        <v>448</v>
      </c>
      <c r="S662">
        <v>1.61</v>
      </c>
      <c r="T662">
        <v>42.81</v>
      </c>
      <c r="U662" t="s">
        <v>1583</v>
      </c>
      <c r="V662" t="s">
        <v>183</v>
      </c>
      <c r="W662" t="s">
        <v>924</v>
      </c>
      <c r="X662">
        <v>3.29</v>
      </c>
      <c r="Y662" t="s">
        <v>173</v>
      </c>
      <c r="Z662" t="s">
        <v>134</v>
      </c>
      <c r="AA662" t="s">
        <v>192</v>
      </c>
      <c r="AB662">
        <v>1.36</v>
      </c>
      <c r="AC662" t="s">
        <v>725</v>
      </c>
      <c r="AD662">
        <v>65.67</v>
      </c>
      <c r="AE662" t="s">
        <v>747</v>
      </c>
      <c r="AF662">
        <v>4.1500000000000004</v>
      </c>
      <c r="AG662">
        <v>0</v>
      </c>
      <c r="AH662">
        <v>0</v>
      </c>
      <c r="AI662" s="4">
        <v>42181</v>
      </c>
    </row>
    <row r="663" spans="1:35">
      <c r="A663">
        <v>662</v>
      </c>
      <c r="B663" t="str">
        <f>"600702"</f>
        <v>600702</v>
      </c>
      <c r="C663" t="s">
        <v>4746</v>
      </c>
      <c r="D663" s="4">
        <v>43190</v>
      </c>
      <c r="E663" t="s">
        <v>678</v>
      </c>
      <c r="F663" t="s">
        <v>678</v>
      </c>
      <c r="G663" t="s">
        <v>4747</v>
      </c>
      <c r="H663">
        <v>0.25</v>
      </c>
      <c r="I663">
        <v>7.61</v>
      </c>
      <c r="J663">
        <v>3.28</v>
      </c>
      <c r="K663" t="s">
        <v>2479</v>
      </c>
      <c r="L663">
        <v>21.95</v>
      </c>
      <c r="M663" t="s">
        <v>533</v>
      </c>
      <c r="N663">
        <v>1</v>
      </c>
      <c r="O663" t="s">
        <v>197</v>
      </c>
      <c r="P663" t="s">
        <v>3670</v>
      </c>
      <c r="Q663">
        <v>102.55</v>
      </c>
      <c r="R663" t="s">
        <v>354</v>
      </c>
      <c r="S663">
        <v>3.39</v>
      </c>
      <c r="T663">
        <v>69.459999999999994</v>
      </c>
      <c r="U663" t="s">
        <v>3241</v>
      </c>
      <c r="V663" t="s">
        <v>2541</v>
      </c>
      <c r="W663" t="s">
        <v>174</v>
      </c>
      <c r="X663">
        <v>3.28</v>
      </c>
      <c r="Y663" t="s">
        <v>119</v>
      </c>
      <c r="Z663" t="s">
        <v>2328</v>
      </c>
      <c r="AA663" t="s">
        <v>4748</v>
      </c>
      <c r="AB663">
        <v>5.16</v>
      </c>
      <c r="AC663" t="s">
        <v>710</v>
      </c>
      <c r="AD663">
        <v>54.22</v>
      </c>
      <c r="AE663" t="s">
        <v>1802</v>
      </c>
      <c r="AF663">
        <v>2.4900000000000002</v>
      </c>
      <c r="AG663">
        <v>0</v>
      </c>
      <c r="AH663">
        <v>0</v>
      </c>
      <c r="AI663" s="4">
        <v>35209</v>
      </c>
    </row>
    <row r="664" spans="1:35">
      <c r="A664">
        <v>663</v>
      </c>
      <c r="B664" t="str">
        <f>"300602"</f>
        <v>300602</v>
      </c>
      <c r="C664" t="s">
        <v>4749</v>
      </c>
      <c r="D664" s="4">
        <v>43190</v>
      </c>
      <c r="E664" t="s">
        <v>292</v>
      </c>
      <c r="F664" t="s">
        <v>4750</v>
      </c>
      <c r="G664">
        <v>6256</v>
      </c>
      <c r="H664">
        <v>0.16</v>
      </c>
      <c r="I664">
        <v>5.04</v>
      </c>
      <c r="J664">
        <v>3.28</v>
      </c>
      <c r="K664" t="s">
        <v>474</v>
      </c>
      <c r="L664">
        <v>10.67</v>
      </c>
      <c r="M664" t="s">
        <v>4751</v>
      </c>
      <c r="N664">
        <v>0</v>
      </c>
      <c r="O664" t="s">
        <v>4752</v>
      </c>
      <c r="P664" t="s">
        <v>4753</v>
      </c>
      <c r="Q664">
        <v>98.32</v>
      </c>
      <c r="R664" t="s">
        <v>97</v>
      </c>
      <c r="S664">
        <v>2.4700000000000002</v>
      </c>
      <c r="T664">
        <v>30.45</v>
      </c>
      <c r="U664" t="s">
        <v>547</v>
      </c>
      <c r="V664" t="s">
        <v>405</v>
      </c>
      <c r="W664" t="s">
        <v>807</v>
      </c>
      <c r="X664">
        <v>3.28</v>
      </c>
      <c r="Y664" t="s">
        <v>1076</v>
      </c>
      <c r="Z664" t="s">
        <v>535</v>
      </c>
      <c r="AA664" t="s">
        <v>1364</v>
      </c>
      <c r="AB664">
        <v>5.78</v>
      </c>
      <c r="AC664" t="s">
        <v>4754</v>
      </c>
      <c r="AD664">
        <v>65.680000000000007</v>
      </c>
      <c r="AE664" t="s">
        <v>1074</v>
      </c>
      <c r="AF664">
        <v>1.38</v>
      </c>
      <c r="AG664">
        <v>0</v>
      </c>
      <c r="AH664">
        <v>0</v>
      </c>
      <c r="AI664" s="4">
        <v>42761</v>
      </c>
    </row>
    <row r="665" spans="1:35">
      <c r="A665">
        <v>664</v>
      </c>
      <c r="B665" t="str">
        <f>"300041"</f>
        <v>300041</v>
      </c>
      <c r="C665" t="s">
        <v>4755</v>
      </c>
      <c r="D665" s="4">
        <v>43190</v>
      </c>
      <c r="E665" t="s">
        <v>4756</v>
      </c>
      <c r="F665" t="s">
        <v>507</v>
      </c>
      <c r="G665" t="s">
        <v>70</v>
      </c>
      <c r="H665">
        <v>0.15</v>
      </c>
      <c r="I665">
        <v>4.05</v>
      </c>
      <c r="J665">
        <v>3.28</v>
      </c>
      <c r="K665" t="s">
        <v>2563</v>
      </c>
      <c r="L665">
        <v>41.69</v>
      </c>
      <c r="M665" t="s">
        <v>4757</v>
      </c>
      <c r="N665">
        <v>0</v>
      </c>
      <c r="O665" t="s">
        <v>4758</v>
      </c>
      <c r="P665" t="s">
        <v>4759</v>
      </c>
      <c r="Q665">
        <v>35.17</v>
      </c>
      <c r="R665" t="s">
        <v>127</v>
      </c>
      <c r="S665">
        <v>0.78</v>
      </c>
      <c r="T665">
        <v>26.17</v>
      </c>
      <c r="U665" t="s">
        <v>1832</v>
      </c>
      <c r="V665" t="s">
        <v>1678</v>
      </c>
      <c r="W665" t="s">
        <v>1935</v>
      </c>
      <c r="X665">
        <v>3.28</v>
      </c>
      <c r="Y665" t="s">
        <v>1898</v>
      </c>
      <c r="Z665" t="s">
        <v>4760</v>
      </c>
      <c r="AA665" t="s">
        <v>4761</v>
      </c>
      <c r="AB665">
        <v>2.1800000000000002</v>
      </c>
      <c r="AC665" t="s">
        <v>2328</v>
      </c>
      <c r="AD665">
        <v>74.38</v>
      </c>
      <c r="AE665" t="s">
        <v>3643</v>
      </c>
      <c r="AF665">
        <v>2.0099999999999998</v>
      </c>
      <c r="AG665">
        <v>0</v>
      </c>
      <c r="AH665">
        <v>0</v>
      </c>
      <c r="AI665" s="4">
        <v>40186</v>
      </c>
    </row>
    <row r="666" spans="1:35">
      <c r="A666">
        <v>665</v>
      </c>
      <c r="B666" t="str">
        <f>"000034"</f>
        <v>000034</v>
      </c>
      <c r="C666" t="s">
        <v>4762</v>
      </c>
      <c r="D666" s="4">
        <v>43190</v>
      </c>
      <c r="E666" t="s">
        <v>846</v>
      </c>
      <c r="F666" t="s">
        <v>1028</v>
      </c>
      <c r="G666" t="s">
        <v>4763</v>
      </c>
      <c r="H666">
        <v>0.17</v>
      </c>
      <c r="I666">
        <v>5.23</v>
      </c>
      <c r="J666">
        <v>3.28</v>
      </c>
      <c r="K666" t="s">
        <v>310</v>
      </c>
      <c r="L666">
        <v>29.12</v>
      </c>
      <c r="M666" t="s">
        <v>1974</v>
      </c>
      <c r="N666" t="s">
        <v>4764</v>
      </c>
      <c r="O666" t="s">
        <v>1724</v>
      </c>
      <c r="P666" t="s">
        <v>443</v>
      </c>
      <c r="Q666">
        <v>30.66</v>
      </c>
      <c r="R666" t="s">
        <v>1359</v>
      </c>
      <c r="S666">
        <v>0.51</v>
      </c>
      <c r="T666">
        <v>4.6500000000000004</v>
      </c>
      <c r="U666" t="s">
        <v>1100</v>
      </c>
      <c r="V666" t="s">
        <v>1114</v>
      </c>
      <c r="W666" t="s">
        <v>3768</v>
      </c>
      <c r="X666">
        <v>3.28</v>
      </c>
      <c r="Y666" t="s">
        <v>786</v>
      </c>
      <c r="Z666" t="s">
        <v>1750</v>
      </c>
      <c r="AA666" t="s">
        <v>192</v>
      </c>
      <c r="AB666">
        <v>2.81</v>
      </c>
      <c r="AC666" t="s">
        <v>612</v>
      </c>
      <c r="AD666">
        <v>15.11</v>
      </c>
      <c r="AE666" t="s">
        <v>1704</v>
      </c>
      <c r="AF666">
        <v>3.64</v>
      </c>
      <c r="AG666">
        <v>0</v>
      </c>
      <c r="AH666">
        <v>0</v>
      </c>
      <c r="AI666" s="4">
        <v>34463</v>
      </c>
    </row>
    <row r="667" spans="1:35">
      <c r="A667">
        <v>666</v>
      </c>
      <c r="B667" t="str">
        <f>"600724"</f>
        <v>600724</v>
      </c>
      <c r="C667" t="s">
        <v>4765</v>
      </c>
      <c r="D667" s="4">
        <v>43190</v>
      </c>
      <c r="E667" t="s">
        <v>263</v>
      </c>
      <c r="F667" t="s">
        <v>161</v>
      </c>
      <c r="G667" t="s">
        <v>2704</v>
      </c>
      <c r="H667">
        <v>0.04</v>
      </c>
      <c r="I667">
        <v>1.23</v>
      </c>
      <c r="J667">
        <v>3.27</v>
      </c>
      <c r="K667" t="s">
        <v>605</v>
      </c>
      <c r="L667">
        <v>28.25</v>
      </c>
      <c r="M667" t="s">
        <v>1626</v>
      </c>
      <c r="N667">
        <v>0</v>
      </c>
      <c r="O667" t="s">
        <v>677</v>
      </c>
      <c r="P667" t="s">
        <v>4766</v>
      </c>
      <c r="Q667">
        <v>211.49</v>
      </c>
      <c r="R667" t="s">
        <v>4767</v>
      </c>
      <c r="S667">
        <v>-0.1</v>
      </c>
      <c r="T667">
        <v>28.63</v>
      </c>
      <c r="U667" t="s">
        <v>229</v>
      </c>
      <c r="V667" t="s">
        <v>3449</v>
      </c>
      <c r="W667" t="s">
        <v>2445</v>
      </c>
      <c r="X667">
        <v>3.27</v>
      </c>
      <c r="Y667" t="s">
        <v>404</v>
      </c>
      <c r="Z667" t="s">
        <v>1302</v>
      </c>
      <c r="AA667" t="s">
        <v>2694</v>
      </c>
      <c r="AB667">
        <v>2.69</v>
      </c>
      <c r="AC667" t="s">
        <v>1126</v>
      </c>
      <c r="AD667">
        <v>12.72</v>
      </c>
      <c r="AE667" t="s">
        <v>1049</v>
      </c>
      <c r="AF667">
        <v>0.18</v>
      </c>
      <c r="AG667">
        <v>0</v>
      </c>
      <c r="AH667">
        <v>0</v>
      </c>
      <c r="AI667" s="4">
        <v>35262</v>
      </c>
    </row>
    <row r="668" spans="1:35">
      <c r="A668">
        <v>667</v>
      </c>
      <c r="B668" t="str">
        <f>"600933"</f>
        <v>600933</v>
      </c>
      <c r="C668" t="s">
        <v>4768</v>
      </c>
      <c r="D668" s="4">
        <v>43190</v>
      </c>
      <c r="E668" t="s">
        <v>4041</v>
      </c>
      <c r="F668" t="s">
        <v>711</v>
      </c>
      <c r="G668">
        <v>2490</v>
      </c>
      <c r="H668">
        <v>0.14000000000000001</v>
      </c>
      <c r="I668">
        <v>4.07</v>
      </c>
      <c r="J668">
        <v>3.27</v>
      </c>
      <c r="K668" t="s">
        <v>1907</v>
      </c>
      <c r="L668">
        <v>31.62</v>
      </c>
      <c r="M668" t="s">
        <v>845</v>
      </c>
      <c r="N668" t="s">
        <v>4769</v>
      </c>
      <c r="O668" t="s">
        <v>505</v>
      </c>
      <c r="P668" t="s">
        <v>642</v>
      </c>
      <c r="Q668">
        <v>10.96</v>
      </c>
      <c r="R668" t="s">
        <v>3290</v>
      </c>
      <c r="S668">
        <v>0.85</v>
      </c>
      <c r="T668">
        <v>39.22</v>
      </c>
      <c r="U668" t="s">
        <v>3926</v>
      </c>
      <c r="V668" t="s">
        <v>238</v>
      </c>
      <c r="W668" t="s">
        <v>613</v>
      </c>
      <c r="X668">
        <v>3.27</v>
      </c>
      <c r="Y668" t="s">
        <v>2870</v>
      </c>
      <c r="Z668" t="s">
        <v>1166</v>
      </c>
      <c r="AA668" t="s">
        <v>133</v>
      </c>
      <c r="AB668">
        <v>2.69</v>
      </c>
      <c r="AC668" t="s">
        <v>1397</v>
      </c>
      <c r="AD668">
        <v>78.53</v>
      </c>
      <c r="AE668" t="s">
        <v>1343</v>
      </c>
      <c r="AF668">
        <v>2.0699999999999998</v>
      </c>
      <c r="AG668">
        <v>0</v>
      </c>
      <c r="AH668">
        <v>0</v>
      </c>
      <c r="AI668" s="4">
        <v>43056</v>
      </c>
    </row>
    <row r="669" spans="1:35">
      <c r="A669">
        <v>668</v>
      </c>
      <c r="B669" t="str">
        <f>"600521"</f>
        <v>600521</v>
      </c>
      <c r="C669" t="s">
        <v>4770</v>
      </c>
      <c r="D669" s="4">
        <v>43190</v>
      </c>
      <c r="E669" t="s">
        <v>300</v>
      </c>
      <c r="F669" t="s">
        <v>405</v>
      </c>
      <c r="G669" t="s">
        <v>4771</v>
      </c>
      <c r="H669">
        <v>0.13</v>
      </c>
      <c r="I669">
        <v>3.87</v>
      </c>
      <c r="J669">
        <v>3.26</v>
      </c>
      <c r="K669" t="s">
        <v>548</v>
      </c>
      <c r="L669">
        <v>9.69</v>
      </c>
      <c r="M669" t="s">
        <v>37</v>
      </c>
      <c r="N669" t="s">
        <v>4772</v>
      </c>
      <c r="O669" t="s">
        <v>1288</v>
      </c>
      <c r="P669" t="s">
        <v>319</v>
      </c>
      <c r="Q669">
        <v>15.56</v>
      </c>
      <c r="R669" t="s">
        <v>2273</v>
      </c>
      <c r="S669">
        <v>1.73</v>
      </c>
      <c r="T669">
        <v>54.62</v>
      </c>
      <c r="U669" t="s">
        <v>2925</v>
      </c>
      <c r="V669" t="s">
        <v>893</v>
      </c>
      <c r="W669" t="s">
        <v>578</v>
      </c>
      <c r="X669">
        <v>3.26</v>
      </c>
      <c r="Y669" t="s">
        <v>464</v>
      </c>
      <c r="Z669" t="s">
        <v>236</v>
      </c>
      <c r="AA669" t="s">
        <v>1035</v>
      </c>
      <c r="AB669">
        <v>6.85</v>
      </c>
      <c r="AC669" t="s">
        <v>2043</v>
      </c>
      <c r="AD669">
        <v>57.26</v>
      </c>
      <c r="AE669" t="s">
        <v>405</v>
      </c>
      <c r="AF669">
        <v>0.81</v>
      </c>
      <c r="AG669">
        <v>0</v>
      </c>
      <c r="AH669">
        <v>0</v>
      </c>
      <c r="AI669" s="4">
        <v>37684</v>
      </c>
    </row>
    <row r="670" spans="1:35">
      <c r="A670">
        <v>669</v>
      </c>
      <c r="B670" t="str">
        <f>"300021"</f>
        <v>300021</v>
      </c>
      <c r="C670" t="s">
        <v>4773</v>
      </c>
      <c r="D670" s="4">
        <v>43190</v>
      </c>
      <c r="E670" t="s">
        <v>2380</v>
      </c>
      <c r="F670" t="s">
        <v>504</v>
      </c>
      <c r="G670" t="s">
        <v>4774</v>
      </c>
      <c r="H670">
        <v>0.06</v>
      </c>
      <c r="I670">
        <v>1.81</v>
      </c>
      <c r="J670">
        <v>3.26</v>
      </c>
      <c r="K670" t="s">
        <v>1359</v>
      </c>
      <c r="L670">
        <v>84.92</v>
      </c>
      <c r="M670" t="s">
        <v>4775</v>
      </c>
      <c r="N670" t="s">
        <v>4776</v>
      </c>
      <c r="O670" t="s">
        <v>4777</v>
      </c>
      <c r="P670" t="s">
        <v>4778</v>
      </c>
      <c r="Q670">
        <v>100.51</v>
      </c>
      <c r="R670" t="s">
        <v>340</v>
      </c>
      <c r="S670">
        <v>0.46</v>
      </c>
      <c r="T670">
        <v>31.2</v>
      </c>
      <c r="U670" t="s">
        <v>461</v>
      </c>
      <c r="V670" t="s">
        <v>242</v>
      </c>
      <c r="W670" t="s">
        <v>3297</v>
      </c>
      <c r="X670">
        <v>3.26</v>
      </c>
      <c r="Y670" t="s">
        <v>303</v>
      </c>
      <c r="Z670" t="s">
        <v>547</v>
      </c>
      <c r="AA670" t="s">
        <v>478</v>
      </c>
      <c r="AB670">
        <v>2.88</v>
      </c>
      <c r="AC670" t="s">
        <v>161</v>
      </c>
      <c r="AD670">
        <v>43.62</v>
      </c>
      <c r="AE670" t="s">
        <v>641</v>
      </c>
      <c r="AF670">
        <v>0.32</v>
      </c>
      <c r="AG670">
        <v>0</v>
      </c>
      <c r="AH670">
        <v>0</v>
      </c>
      <c r="AI670" s="4">
        <v>40116</v>
      </c>
    </row>
    <row r="671" spans="1:35">
      <c r="A671">
        <v>670</v>
      </c>
      <c r="B671" t="str">
        <f>"002884"</f>
        <v>002884</v>
      </c>
      <c r="C671" t="s">
        <v>4779</v>
      </c>
      <c r="D671" s="4">
        <v>43190</v>
      </c>
      <c r="E671" t="s">
        <v>4780</v>
      </c>
      <c r="F671" t="s">
        <v>4466</v>
      </c>
      <c r="G671">
        <v>1696</v>
      </c>
      <c r="H671">
        <v>0.52</v>
      </c>
      <c r="I671">
        <v>16.059999999999999</v>
      </c>
      <c r="J671">
        <v>3.26</v>
      </c>
      <c r="K671" t="s">
        <v>2733</v>
      </c>
      <c r="L671">
        <v>7.77</v>
      </c>
      <c r="M671" t="s">
        <v>4781</v>
      </c>
      <c r="N671" t="s">
        <v>4782</v>
      </c>
      <c r="O671" t="s">
        <v>4783</v>
      </c>
      <c r="P671" t="s">
        <v>4784</v>
      </c>
      <c r="Q671">
        <v>5.47</v>
      </c>
      <c r="R671" t="s">
        <v>999</v>
      </c>
      <c r="S671">
        <v>6.45</v>
      </c>
      <c r="T671">
        <v>26.16</v>
      </c>
      <c r="U671" t="s">
        <v>924</v>
      </c>
      <c r="V671" t="s">
        <v>264</v>
      </c>
      <c r="W671" t="s">
        <v>4785</v>
      </c>
      <c r="X671">
        <v>3.26</v>
      </c>
      <c r="Y671" t="s">
        <v>4786</v>
      </c>
      <c r="Z671" t="s">
        <v>4787</v>
      </c>
      <c r="AA671" t="s">
        <v>4788</v>
      </c>
      <c r="AB671">
        <v>2.74</v>
      </c>
      <c r="AC671" t="s">
        <v>548</v>
      </c>
      <c r="AD671">
        <v>92.81</v>
      </c>
      <c r="AE671" t="s">
        <v>318</v>
      </c>
      <c r="AF671">
        <v>7.03</v>
      </c>
      <c r="AG671">
        <v>0</v>
      </c>
      <c r="AH671">
        <v>0</v>
      </c>
      <c r="AI671" s="4">
        <v>42927</v>
      </c>
    </row>
    <row r="672" spans="1:35">
      <c r="A672">
        <v>671</v>
      </c>
      <c r="B672" t="str">
        <f>"002496"</f>
        <v>002496</v>
      </c>
      <c r="C672" t="s">
        <v>4789</v>
      </c>
      <c r="D672" s="4">
        <v>43190</v>
      </c>
      <c r="E672" t="s">
        <v>547</v>
      </c>
      <c r="F672" t="s">
        <v>1496</v>
      </c>
      <c r="G672" t="s">
        <v>1471</v>
      </c>
      <c r="H672">
        <v>0.08</v>
      </c>
      <c r="I672">
        <v>2.59</v>
      </c>
      <c r="J672">
        <v>3.26</v>
      </c>
      <c r="K672" t="s">
        <v>4790</v>
      </c>
      <c r="L672">
        <v>-11.64</v>
      </c>
      <c r="M672" t="s">
        <v>2069</v>
      </c>
      <c r="N672" t="s">
        <v>4791</v>
      </c>
      <c r="O672" t="s">
        <v>64</v>
      </c>
      <c r="P672" t="s">
        <v>2603</v>
      </c>
      <c r="Q672">
        <v>-15.65</v>
      </c>
      <c r="R672" t="s">
        <v>926</v>
      </c>
      <c r="S672">
        <v>0.85</v>
      </c>
      <c r="T672">
        <v>36.04</v>
      </c>
      <c r="U672" t="s">
        <v>760</v>
      </c>
      <c r="V672" t="s">
        <v>2452</v>
      </c>
      <c r="W672" t="s">
        <v>2291</v>
      </c>
      <c r="X672">
        <v>3.26</v>
      </c>
      <c r="Y672" t="s">
        <v>2667</v>
      </c>
      <c r="Z672" t="s">
        <v>1546</v>
      </c>
      <c r="AA672" t="s">
        <v>1835</v>
      </c>
      <c r="AB672">
        <v>0.98</v>
      </c>
      <c r="AC672" t="s">
        <v>3122</v>
      </c>
      <c r="AD672">
        <v>48.02</v>
      </c>
      <c r="AE672" t="s">
        <v>2767</v>
      </c>
      <c r="AF672">
        <v>0.64</v>
      </c>
      <c r="AG672">
        <v>0</v>
      </c>
      <c r="AH672">
        <v>0</v>
      </c>
      <c r="AI672" s="4">
        <v>40491</v>
      </c>
    </row>
    <row r="673" spans="1:35">
      <c r="A673">
        <v>672</v>
      </c>
      <c r="B673" t="str">
        <f>"002317"</f>
        <v>002317</v>
      </c>
      <c r="C673" t="s">
        <v>4792</v>
      </c>
      <c r="D673" s="4">
        <v>43190</v>
      </c>
      <c r="E673" t="s">
        <v>1414</v>
      </c>
      <c r="F673" t="s">
        <v>1714</v>
      </c>
      <c r="G673" t="s">
        <v>3761</v>
      </c>
      <c r="H673">
        <v>0.15</v>
      </c>
      <c r="I673">
        <v>4.5199999999999996</v>
      </c>
      <c r="J673">
        <v>3.25</v>
      </c>
      <c r="K673" t="s">
        <v>1058</v>
      </c>
      <c r="L673">
        <v>36.72</v>
      </c>
      <c r="M673" t="s">
        <v>1016</v>
      </c>
      <c r="N673" t="s">
        <v>4793</v>
      </c>
      <c r="O673" t="s">
        <v>1016</v>
      </c>
      <c r="P673" t="s">
        <v>209</v>
      </c>
      <c r="Q673">
        <v>10.52</v>
      </c>
      <c r="R673" t="s">
        <v>538</v>
      </c>
      <c r="S673">
        <v>1.54</v>
      </c>
      <c r="T673">
        <v>58.84</v>
      </c>
      <c r="U673" t="s">
        <v>111</v>
      </c>
      <c r="V673" t="s">
        <v>1308</v>
      </c>
      <c r="W673" t="s">
        <v>4794</v>
      </c>
      <c r="X673">
        <v>3.25</v>
      </c>
      <c r="Y673" t="s">
        <v>1082</v>
      </c>
      <c r="Z673" t="s">
        <v>894</v>
      </c>
      <c r="AA673" t="s">
        <v>3011</v>
      </c>
      <c r="AB673">
        <v>2.29</v>
      </c>
      <c r="AC673" t="s">
        <v>235</v>
      </c>
      <c r="AD673">
        <v>74.790000000000006</v>
      </c>
      <c r="AE673" t="s">
        <v>173</v>
      </c>
      <c r="AF673">
        <v>1.75</v>
      </c>
      <c r="AG673">
        <v>0</v>
      </c>
      <c r="AH673">
        <v>0</v>
      </c>
      <c r="AI673" s="4">
        <v>40158</v>
      </c>
    </row>
    <row r="674" spans="1:35">
      <c r="A674">
        <v>673</v>
      </c>
      <c r="B674" t="str">
        <f>"600987"</f>
        <v>600987</v>
      </c>
      <c r="C674" t="s">
        <v>4795</v>
      </c>
      <c r="D674" s="4">
        <v>43190</v>
      </c>
      <c r="E674" t="s">
        <v>1567</v>
      </c>
      <c r="F674" t="s">
        <v>1567</v>
      </c>
      <c r="G674" t="s">
        <v>3323</v>
      </c>
      <c r="H674">
        <v>0.16</v>
      </c>
      <c r="I674">
        <v>5.46</v>
      </c>
      <c r="J674">
        <v>3.24</v>
      </c>
      <c r="K674" t="s">
        <v>1561</v>
      </c>
      <c r="L674">
        <v>15.97</v>
      </c>
      <c r="M674" t="s">
        <v>745</v>
      </c>
      <c r="N674" t="s">
        <v>3882</v>
      </c>
      <c r="O674" t="s">
        <v>745</v>
      </c>
      <c r="P674" t="s">
        <v>197</v>
      </c>
      <c r="Q674">
        <v>10.51</v>
      </c>
      <c r="R674" t="s">
        <v>2515</v>
      </c>
      <c r="S674">
        <v>3.86</v>
      </c>
      <c r="T674">
        <v>27</v>
      </c>
      <c r="U674" t="s">
        <v>573</v>
      </c>
      <c r="V674" t="s">
        <v>1313</v>
      </c>
      <c r="W674" t="s">
        <v>757</v>
      </c>
      <c r="X674">
        <v>3.24</v>
      </c>
      <c r="Y674" t="s">
        <v>361</v>
      </c>
      <c r="Z674" t="s">
        <v>4796</v>
      </c>
      <c r="AA674" t="s">
        <v>198</v>
      </c>
      <c r="AB674">
        <v>1.73</v>
      </c>
      <c r="AC674" t="s">
        <v>4558</v>
      </c>
      <c r="AD674">
        <v>73.010000000000005</v>
      </c>
      <c r="AE674" t="s">
        <v>1119</v>
      </c>
      <c r="AF674">
        <v>0.16</v>
      </c>
      <c r="AG674">
        <v>0</v>
      </c>
      <c r="AH674">
        <v>0</v>
      </c>
      <c r="AI674" s="4">
        <v>38208</v>
      </c>
    </row>
    <row r="675" spans="1:35">
      <c r="A675">
        <v>674</v>
      </c>
      <c r="B675" t="str">
        <f>"600977"</f>
        <v>600977</v>
      </c>
      <c r="C675" t="s">
        <v>4797</v>
      </c>
      <c r="D675" s="4">
        <v>43190</v>
      </c>
      <c r="E675" t="s">
        <v>516</v>
      </c>
      <c r="F675" t="s">
        <v>106</v>
      </c>
      <c r="G675">
        <v>5153</v>
      </c>
      <c r="H675">
        <v>0.18</v>
      </c>
      <c r="I675">
        <v>5.72</v>
      </c>
      <c r="J675">
        <v>3.24</v>
      </c>
      <c r="K675" t="s">
        <v>1875</v>
      </c>
      <c r="L675">
        <v>21.54</v>
      </c>
      <c r="M675" t="s">
        <v>1959</v>
      </c>
      <c r="N675" t="s">
        <v>4798</v>
      </c>
      <c r="O675" t="s">
        <v>44</v>
      </c>
      <c r="P675" t="s">
        <v>344</v>
      </c>
      <c r="Q675">
        <v>17.96</v>
      </c>
      <c r="R675" t="s">
        <v>2239</v>
      </c>
      <c r="S675">
        <v>2.2200000000000002</v>
      </c>
      <c r="T675">
        <v>28.18</v>
      </c>
      <c r="U675" t="s">
        <v>3446</v>
      </c>
      <c r="V675" t="s">
        <v>311</v>
      </c>
      <c r="W675" t="s">
        <v>1687</v>
      </c>
      <c r="X675">
        <v>3.24</v>
      </c>
      <c r="Y675" t="s">
        <v>4799</v>
      </c>
      <c r="Z675" t="s">
        <v>2241</v>
      </c>
      <c r="AA675" t="s">
        <v>338</v>
      </c>
      <c r="AB675">
        <v>2.83</v>
      </c>
      <c r="AC675" t="s">
        <v>3472</v>
      </c>
      <c r="AD675">
        <v>63.22</v>
      </c>
      <c r="AE675" t="s">
        <v>2709</v>
      </c>
      <c r="AF675">
        <v>2.29</v>
      </c>
      <c r="AG675">
        <v>0</v>
      </c>
      <c r="AH675">
        <v>0</v>
      </c>
      <c r="AI675" s="4">
        <v>42591</v>
      </c>
    </row>
    <row r="676" spans="1:35">
      <c r="A676">
        <v>675</v>
      </c>
      <c r="B676" t="str">
        <f>"002929"</f>
        <v>002929</v>
      </c>
      <c r="C676" t="s">
        <v>4800</v>
      </c>
      <c r="D676" s="4">
        <v>43190</v>
      </c>
      <c r="E676" t="s">
        <v>682</v>
      </c>
      <c r="F676" t="s">
        <v>2412</v>
      </c>
      <c r="G676">
        <v>1071</v>
      </c>
      <c r="H676">
        <v>0.18</v>
      </c>
      <c r="I676">
        <v>11.25</v>
      </c>
      <c r="J676">
        <v>3.24</v>
      </c>
      <c r="K676" t="s">
        <v>1523</v>
      </c>
      <c r="L676">
        <v>40.17</v>
      </c>
      <c r="M676" t="s">
        <v>4801</v>
      </c>
      <c r="N676">
        <v>0</v>
      </c>
      <c r="O676" t="s">
        <v>4801</v>
      </c>
      <c r="P676" t="s">
        <v>4802</v>
      </c>
      <c r="Q676">
        <v>23.15</v>
      </c>
      <c r="R676" t="s">
        <v>1042</v>
      </c>
      <c r="S676">
        <v>3.36</v>
      </c>
      <c r="T676">
        <v>24.49</v>
      </c>
      <c r="U676" t="s">
        <v>1859</v>
      </c>
      <c r="V676" t="s">
        <v>1419</v>
      </c>
      <c r="W676" t="s">
        <v>4803</v>
      </c>
      <c r="X676">
        <v>3.24</v>
      </c>
      <c r="Y676" t="s">
        <v>162</v>
      </c>
      <c r="Z676" t="s">
        <v>162</v>
      </c>
      <c r="AA676">
        <v>0</v>
      </c>
      <c r="AB676">
        <v>3.38</v>
      </c>
      <c r="AC676" t="s">
        <v>253</v>
      </c>
      <c r="AD676">
        <v>63.44</v>
      </c>
      <c r="AE676" t="s">
        <v>538</v>
      </c>
      <c r="AF676">
        <v>6.36</v>
      </c>
      <c r="AG676">
        <v>0</v>
      </c>
      <c r="AH676">
        <v>0</v>
      </c>
      <c r="AI676" s="4">
        <v>43160</v>
      </c>
    </row>
    <row r="677" spans="1:35">
      <c r="A677">
        <v>676</v>
      </c>
      <c r="B677" t="str">
        <f>"002191"</f>
        <v>002191</v>
      </c>
      <c r="C677" t="s">
        <v>4804</v>
      </c>
      <c r="D677" s="4">
        <v>43190</v>
      </c>
      <c r="E677" t="s">
        <v>759</v>
      </c>
      <c r="F677" t="s">
        <v>1025</v>
      </c>
      <c r="G677" t="s">
        <v>3809</v>
      </c>
      <c r="H677">
        <v>0.14000000000000001</v>
      </c>
      <c r="I677">
        <v>4.41</v>
      </c>
      <c r="J677">
        <v>3.24</v>
      </c>
      <c r="K677" t="s">
        <v>1414</v>
      </c>
      <c r="L677">
        <v>8.08</v>
      </c>
      <c r="M677" t="s">
        <v>1511</v>
      </c>
      <c r="N677" t="s">
        <v>4805</v>
      </c>
      <c r="O677" t="s">
        <v>2774</v>
      </c>
      <c r="P677" t="s">
        <v>1417</v>
      </c>
      <c r="Q677">
        <v>21.09</v>
      </c>
      <c r="R677" t="s">
        <v>2071</v>
      </c>
      <c r="S677">
        <v>2.0699999999999998</v>
      </c>
      <c r="T677">
        <v>47.14</v>
      </c>
      <c r="U677" t="s">
        <v>4188</v>
      </c>
      <c r="V677" t="s">
        <v>2212</v>
      </c>
      <c r="W677" t="s">
        <v>820</v>
      </c>
      <c r="X677">
        <v>3.24</v>
      </c>
      <c r="Y677" t="s">
        <v>173</v>
      </c>
      <c r="Z677" t="s">
        <v>176</v>
      </c>
      <c r="AA677" t="s">
        <v>4806</v>
      </c>
      <c r="AB677">
        <v>1.69</v>
      </c>
      <c r="AC677" t="s">
        <v>4807</v>
      </c>
      <c r="AD677">
        <v>79.77</v>
      </c>
      <c r="AE677" t="s">
        <v>1052</v>
      </c>
      <c r="AF677">
        <v>1.1000000000000001</v>
      </c>
      <c r="AG677">
        <v>0</v>
      </c>
      <c r="AH677">
        <v>0</v>
      </c>
      <c r="AI677" s="4">
        <v>39421</v>
      </c>
    </row>
    <row r="678" spans="1:35">
      <c r="A678">
        <v>677</v>
      </c>
      <c r="B678" t="str">
        <f>"002118"</f>
        <v>002118</v>
      </c>
      <c r="C678" t="s">
        <v>4808</v>
      </c>
      <c r="D678" s="4">
        <v>43190</v>
      </c>
      <c r="E678" t="s">
        <v>926</v>
      </c>
      <c r="F678" t="s">
        <v>978</v>
      </c>
      <c r="G678" t="s">
        <v>1218</v>
      </c>
      <c r="H678">
        <v>0.11</v>
      </c>
      <c r="I678">
        <v>3.33</v>
      </c>
      <c r="J678">
        <v>3.24</v>
      </c>
      <c r="K678" t="s">
        <v>1789</v>
      </c>
      <c r="L678">
        <v>91.82</v>
      </c>
      <c r="M678" t="s">
        <v>863</v>
      </c>
      <c r="N678" t="s">
        <v>4809</v>
      </c>
      <c r="O678" t="s">
        <v>863</v>
      </c>
      <c r="P678" t="s">
        <v>372</v>
      </c>
      <c r="Q678">
        <v>285.87</v>
      </c>
      <c r="R678" t="s">
        <v>971</v>
      </c>
      <c r="S678">
        <v>1.07</v>
      </c>
      <c r="T678">
        <v>77.98</v>
      </c>
      <c r="U678" t="s">
        <v>4810</v>
      </c>
      <c r="V678" t="s">
        <v>1469</v>
      </c>
      <c r="W678" t="s">
        <v>147</v>
      </c>
      <c r="X678">
        <v>3.24</v>
      </c>
      <c r="Y678" t="s">
        <v>3926</v>
      </c>
      <c r="Z678" t="s">
        <v>3073</v>
      </c>
      <c r="AA678" t="s">
        <v>926</v>
      </c>
      <c r="AB678">
        <v>1.99</v>
      </c>
      <c r="AC678" t="s">
        <v>2709</v>
      </c>
      <c r="AD678">
        <v>47.92</v>
      </c>
      <c r="AE678" t="s">
        <v>391</v>
      </c>
      <c r="AF678">
        <v>1.2</v>
      </c>
      <c r="AG678">
        <v>0</v>
      </c>
      <c r="AH678">
        <v>0</v>
      </c>
      <c r="AI678" s="4">
        <v>39143</v>
      </c>
    </row>
    <row r="679" spans="1:35">
      <c r="A679">
        <v>678</v>
      </c>
      <c r="B679" t="str">
        <f>"601328"</f>
        <v>601328</v>
      </c>
      <c r="C679" t="s">
        <v>4811</v>
      </c>
      <c r="D679" s="4">
        <v>43190</v>
      </c>
      <c r="E679" t="s">
        <v>4812</v>
      </c>
      <c r="F679" t="s">
        <v>4813</v>
      </c>
      <c r="G679" t="s">
        <v>4814</v>
      </c>
      <c r="H679">
        <v>0.27</v>
      </c>
      <c r="I679">
        <v>8.1300000000000008</v>
      </c>
      <c r="J679">
        <v>3.23</v>
      </c>
      <c r="K679" t="s">
        <v>4815</v>
      </c>
      <c r="L679">
        <v>-10.59</v>
      </c>
      <c r="M679" t="s">
        <v>2863</v>
      </c>
      <c r="N679" t="s">
        <v>1780</v>
      </c>
      <c r="O679" t="s">
        <v>4816</v>
      </c>
      <c r="P679" t="s">
        <v>1221</v>
      </c>
      <c r="Q679">
        <v>3.97</v>
      </c>
      <c r="R679" t="s">
        <v>4817</v>
      </c>
      <c r="S679">
        <v>1.56</v>
      </c>
      <c r="T679">
        <v>0</v>
      </c>
      <c r="U679" t="s">
        <v>4818</v>
      </c>
      <c r="V679">
        <v>0</v>
      </c>
      <c r="W679" t="s">
        <v>4819</v>
      </c>
      <c r="X679">
        <v>3.23</v>
      </c>
      <c r="Y679" t="s">
        <v>4820</v>
      </c>
      <c r="Z679">
        <v>0</v>
      </c>
      <c r="AA679">
        <v>0</v>
      </c>
      <c r="AB679">
        <v>0.74</v>
      </c>
      <c r="AC679" t="s">
        <v>4821</v>
      </c>
      <c r="AD679">
        <v>7.16</v>
      </c>
      <c r="AE679" t="s">
        <v>4822</v>
      </c>
      <c r="AF679">
        <v>1.53</v>
      </c>
      <c r="AG679">
        <v>0</v>
      </c>
      <c r="AH679" t="s">
        <v>4823</v>
      </c>
      <c r="AI679" s="4">
        <v>39217</v>
      </c>
    </row>
    <row r="680" spans="1:35">
      <c r="A680">
        <v>679</v>
      </c>
      <c r="B680" t="str">
        <f>"603701"</f>
        <v>603701</v>
      </c>
      <c r="C680" t="s">
        <v>4824</v>
      </c>
      <c r="D680" s="4">
        <v>43190</v>
      </c>
      <c r="E680" t="s">
        <v>93</v>
      </c>
      <c r="F680" t="s">
        <v>4825</v>
      </c>
      <c r="G680">
        <v>4751</v>
      </c>
      <c r="H680">
        <v>0.13</v>
      </c>
      <c r="I680">
        <v>4.21</v>
      </c>
      <c r="J680">
        <v>3.23</v>
      </c>
      <c r="K680" t="s">
        <v>209</v>
      </c>
      <c r="L680">
        <v>1.47</v>
      </c>
      <c r="M680" t="s">
        <v>4826</v>
      </c>
      <c r="N680" t="s">
        <v>4431</v>
      </c>
      <c r="O680" t="s">
        <v>4826</v>
      </c>
      <c r="P680" t="s">
        <v>4827</v>
      </c>
      <c r="Q680">
        <v>-1.51</v>
      </c>
      <c r="R680" t="s">
        <v>807</v>
      </c>
      <c r="S680">
        <v>1.4</v>
      </c>
      <c r="T680">
        <v>32.24</v>
      </c>
      <c r="U680" t="s">
        <v>1802</v>
      </c>
      <c r="V680" t="s">
        <v>695</v>
      </c>
      <c r="W680" t="s">
        <v>1853</v>
      </c>
      <c r="X680">
        <v>3.23</v>
      </c>
      <c r="Y680" t="s">
        <v>986</v>
      </c>
      <c r="Z680" t="s">
        <v>383</v>
      </c>
      <c r="AA680" t="s">
        <v>4828</v>
      </c>
      <c r="AB680">
        <v>2.95</v>
      </c>
      <c r="AC680" t="s">
        <v>1480</v>
      </c>
      <c r="AD680">
        <v>72.91</v>
      </c>
      <c r="AE680" t="s">
        <v>2142</v>
      </c>
      <c r="AF680">
        <v>1.69</v>
      </c>
      <c r="AG680">
        <v>0</v>
      </c>
      <c r="AH680">
        <v>0</v>
      </c>
      <c r="AI680" s="4">
        <v>42472</v>
      </c>
    </row>
    <row r="681" spans="1:35">
      <c r="A681">
        <v>680</v>
      </c>
      <c r="B681" t="str">
        <f>"600897"</f>
        <v>600897</v>
      </c>
      <c r="C681" t="s">
        <v>4829</v>
      </c>
      <c r="D681" s="4">
        <v>43190</v>
      </c>
      <c r="E681" t="s">
        <v>1810</v>
      </c>
      <c r="F681" t="s">
        <v>1810</v>
      </c>
      <c r="G681" t="s">
        <v>1568</v>
      </c>
      <c r="H681">
        <v>0.38</v>
      </c>
      <c r="I681">
        <v>11.82</v>
      </c>
      <c r="J681">
        <v>3.23</v>
      </c>
      <c r="K681" t="s">
        <v>806</v>
      </c>
      <c r="L681">
        <v>9.27</v>
      </c>
      <c r="M681" t="s">
        <v>382</v>
      </c>
      <c r="N681" t="s">
        <v>4830</v>
      </c>
      <c r="O681" t="s">
        <v>505</v>
      </c>
      <c r="P681" t="s">
        <v>355</v>
      </c>
      <c r="Q681">
        <v>9.83</v>
      </c>
      <c r="R681" t="s">
        <v>774</v>
      </c>
      <c r="S681">
        <v>8.56</v>
      </c>
      <c r="T681">
        <v>41.65</v>
      </c>
      <c r="U681" t="s">
        <v>152</v>
      </c>
      <c r="V681" t="s">
        <v>1223</v>
      </c>
      <c r="W681" t="s">
        <v>570</v>
      </c>
      <c r="X681">
        <v>3.23</v>
      </c>
      <c r="Y681" t="s">
        <v>3157</v>
      </c>
      <c r="Z681" t="s">
        <v>1957</v>
      </c>
      <c r="AA681" t="s">
        <v>4831</v>
      </c>
      <c r="AB681">
        <v>1.7</v>
      </c>
      <c r="AC681" t="s">
        <v>305</v>
      </c>
      <c r="AD681">
        <v>77.42</v>
      </c>
      <c r="AE681" t="s">
        <v>1288</v>
      </c>
      <c r="AF681">
        <v>0.61</v>
      </c>
      <c r="AG681">
        <v>0</v>
      </c>
      <c r="AH681">
        <v>0</v>
      </c>
      <c r="AI681" s="4">
        <v>35216</v>
      </c>
    </row>
    <row r="682" spans="1:35">
      <c r="A682">
        <v>681</v>
      </c>
      <c r="B682" t="str">
        <f>"600499"</f>
        <v>600499</v>
      </c>
      <c r="C682" t="s">
        <v>4832</v>
      </c>
      <c r="D682" s="4">
        <v>43190</v>
      </c>
      <c r="E682" t="s">
        <v>1367</v>
      </c>
      <c r="F682" t="s">
        <v>1384</v>
      </c>
      <c r="G682" t="s">
        <v>4074</v>
      </c>
      <c r="H682">
        <v>0.11</v>
      </c>
      <c r="I682">
        <v>3.51</v>
      </c>
      <c r="J682">
        <v>3.23</v>
      </c>
      <c r="K682" t="s">
        <v>391</v>
      </c>
      <c r="L682">
        <v>4.22</v>
      </c>
      <c r="M682" t="s">
        <v>1287</v>
      </c>
      <c r="N682" t="s">
        <v>4478</v>
      </c>
      <c r="O682" t="s">
        <v>1004</v>
      </c>
      <c r="P682" t="s">
        <v>1202</v>
      </c>
      <c r="Q682">
        <v>1.21</v>
      </c>
      <c r="R682" t="s">
        <v>512</v>
      </c>
      <c r="S682">
        <v>1.59</v>
      </c>
      <c r="T682">
        <v>22.7</v>
      </c>
      <c r="U682" t="s">
        <v>311</v>
      </c>
      <c r="V682" t="s">
        <v>3301</v>
      </c>
      <c r="W682" t="s">
        <v>253</v>
      </c>
      <c r="X682">
        <v>3.23</v>
      </c>
      <c r="Y682" t="s">
        <v>4205</v>
      </c>
      <c r="Z682" t="s">
        <v>2749</v>
      </c>
      <c r="AA682" t="s">
        <v>298</v>
      </c>
      <c r="AB682">
        <v>1.89</v>
      </c>
      <c r="AC682" t="s">
        <v>1095</v>
      </c>
      <c r="AD682">
        <v>43.8</v>
      </c>
      <c r="AE682" t="s">
        <v>354</v>
      </c>
      <c r="AF682">
        <v>0.72</v>
      </c>
      <c r="AG682">
        <v>0</v>
      </c>
      <c r="AH682">
        <v>0</v>
      </c>
      <c r="AI682" s="4">
        <v>37539</v>
      </c>
    </row>
    <row r="683" spans="1:35">
      <c r="A683">
        <v>682</v>
      </c>
      <c r="B683" t="str">
        <f>"300706"</f>
        <v>300706</v>
      </c>
      <c r="C683" t="s">
        <v>4833</v>
      </c>
      <c r="D683" s="4">
        <v>43190</v>
      </c>
      <c r="E683" t="s">
        <v>84</v>
      </c>
      <c r="F683" t="s">
        <v>4834</v>
      </c>
      <c r="G683">
        <v>1229</v>
      </c>
      <c r="H683">
        <v>0.1</v>
      </c>
      <c r="I683">
        <v>2.95</v>
      </c>
      <c r="J683">
        <v>3.23</v>
      </c>
      <c r="K683" t="s">
        <v>4835</v>
      </c>
      <c r="L683">
        <v>4.87</v>
      </c>
      <c r="M683" t="s">
        <v>4836</v>
      </c>
      <c r="N683" t="s">
        <v>4837</v>
      </c>
      <c r="O683" t="s">
        <v>969</v>
      </c>
      <c r="P683" t="s">
        <v>4838</v>
      </c>
      <c r="Q683">
        <v>27.98</v>
      </c>
      <c r="R683" t="s">
        <v>651</v>
      </c>
      <c r="S683">
        <v>0.68</v>
      </c>
      <c r="T683">
        <v>28.8</v>
      </c>
      <c r="U683" t="s">
        <v>3324</v>
      </c>
      <c r="V683" t="s">
        <v>1035</v>
      </c>
      <c r="W683" t="s">
        <v>84</v>
      </c>
      <c r="X683">
        <v>3.23</v>
      </c>
      <c r="Y683" t="s">
        <v>2424</v>
      </c>
      <c r="Z683" t="s">
        <v>2360</v>
      </c>
      <c r="AA683" t="s">
        <v>4839</v>
      </c>
      <c r="AB683">
        <v>15.11</v>
      </c>
      <c r="AC683" t="s">
        <v>202</v>
      </c>
      <c r="AD683">
        <v>73.849999999999994</v>
      </c>
      <c r="AE683" t="s">
        <v>1245</v>
      </c>
      <c r="AF683">
        <v>1.2</v>
      </c>
      <c r="AG683">
        <v>0</v>
      </c>
      <c r="AH683">
        <v>0</v>
      </c>
      <c r="AI683" s="4">
        <v>43004</v>
      </c>
    </row>
    <row r="684" spans="1:35">
      <c r="A684">
        <v>683</v>
      </c>
      <c r="B684" t="str">
        <f>"300584"</f>
        <v>300584</v>
      </c>
      <c r="C684" t="s">
        <v>4840</v>
      </c>
      <c r="D684" s="4">
        <v>43190</v>
      </c>
      <c r="E684" t="s">
        <v>280</v>
      </c>
      <c r="F684" t="s">
        <v>4841</v>
      </c>
      <c r="G684">
        <v>5278</v>
      </c>
      <c r="H684">
        <v>0.14000000000000001</v>
      </c>
      <c r="I684">
        <v>4.29</v>
      </c>
      <c r="J684">
        <v>3.23</v>
      </c>
      <c r="K684" t="s">
        <v>2031</v>
      </c>
      <c r="L684">
        <v>116.44</v>
      </c>
      <c r="M684" t="s">
        <v>4842</v>
      </c>
      <c r="N684" t="s">
        <v>4843</v>
      </c>
      <c r="O684" t="s">
        <v>4844</v>
      </c>
      <c r="P684" t="s">
        <v>4845</v>
      </c>
      <c r="Q684">
        <v>116.19</v>
      </c>
      <c r="R684" t="s">
        <v>1839</v>
      </c>
      <c r="S684">
        <v>1.33</v>
      </c>
      <c r="T684">
        <v>84.71</v>
      </c>
      <c r="U684" t="s">
        <v>4552</v>
      </c>
      <c r="V684" t="s">
        <v>1180</v>
      </c>
      <c r="W684" t="s">
        <v>290</v>
      </c>
      <c r="X684">
        <v>3.23</v>
      </c>
      <c r="Y684" t="s">
        <v>1370</v>
      </c>
      <c r="Z684" t="s">
        <v>322</v>
      </c>
      <c r="AA684" t="s">
        <v>4846</v>
      </c>
      <c r="AB684">
        <v>9.66</v>
      </c>
      <c r="AC684" t="s">
        <v>2111</v>
      </c>
      <c r="AD684">
        <v>79.819999999999993</v>
      </c>
      <c r="AE684" t="s">
        <v>641</v>
      </c>
      <c r="AF684">
        <v>1.77</v>
      </c>
      <c r="AG684">
        <v>0</v>
      </c>
      <c r="AH684">
        <v>0</v>
      </c>
      <c r="AI684" s="4">
        <v>42747</v>
      </c>
    </row>
    <row r="685" spans="1:35">
      <c r="A685">
        <v>684</v>
      </c>
      <c r="B685" t="str">
        <f>"002247"</f>
        <v>002247</v>
      </c>
      <c r="C685" t="s">
        <v>4847</v>
      </c>
      <c r="D685" s="4">
        <v>43190</v>
      </c>
      <c r="E685" t="s">
        <v>179</v>
      </c>
      <c r="F685" t="s">
        <v>1382</v>
      </c>
      <c r="G685" t="s">
        <v>2704</v>
      </c>
      <c r="H685">
        <v>0.19</v>
      </c>
      <c r="I685">
        <v>6.13</v>
      </c>
      <c r="J685">
        <v>3.23</v>
      </c>
      <c r="K685" t="s">
        <v>2233</v>
      </c>
      <c r="L685">
        <v>79.47</v>
      </c>
      <c r="M685" t="s">
        <v>1077</v>
      </c>
      <c r="N685" t="s">
        <v>4557</v>
      </c>
      <c r="O685" t="s">
        <v>1288</v>
      </c>
      <c r="P685" t="s">
        <v>1360</v>
      </c>
      <c r="Q685">
        <v>109.35</v>
      </c>
      <c r="R685" t="s">
        <v>101</v>
      </c>
      <c r="S685">
        <v>1.51</v>
      </c>
      <c r="T685">
        <v>23.97</v>
      </c>
      <c r="U685" t="s">
        <v>2935</v>
      </c>
      <c r="V685" t="s">
        <v>981</v>
      </c>
      <c r="W685" t="s">
        <v>1967</v>
      </c>
      <c r="X685">
        <v>3.23</v>
      </c>
      <c r="Y685" t="s">
        <v>250</v>
      </c>
      <c r="Z685" t="s">
        <v>250</v>
      </c>
      <c r="AA685" t="s">
        <v>4848</v>
      </c>
      <c r="AB685">
        <v>1.66</v>
      </c>
      <c r="AC685" t="s">
        <v>572</v>
      </c>
      <c r="AD685">
        <v>81.55</v>
      </c>
      <c r="AE685" t="s">
        <v>570</v>
      </c>
      <c r="AF685">
        <v>3.56</v>
      </c>
      <c r="AG685">
        <v>0</v>
      </c>
      <c r="AH685">
        <v>0</v>
      </c>
      <c r="AI685" s="4">
        <v>39611</v>
      </c>
    </row>
    <row r="686" spans="1:35">
      <c r="A686">
        <v>685</v>
      </c>
      <c r="B686" t="str">
        <f>"600305"</f>
        <v>600305</v>
      </c>
      <c r="C686" t="s">
        <v>4849</v>
      </c>
      <c r="D686" s="4">
        <v>43190</v>
      </c>
      <c r="E686" t="s">
        <v>488</v>
      </c>
      <c r="F686" t="s">
        <v>488</v>
      </c>
      <c r="G686" t="s">
        <v>3438</v>
      </c>
      <c r="H686">
        <v>0.08</v>
      </c>
      <c r="I686">
        <v>2.27</v>
      </c>
      <c r="J686">
        <v>3.21</v>
      </c>
      <c r="K686" t="s">
        <v>150</v>
      </c>
      <c r="L686">
        <v>8.2100000000000009</v>
      </c>
      <c r="M686" t="s">
        <v>4850</v>
      </c>
      <c r="N686" t="s">
        <v>4851</v>
      </c>
      <c r="O686" t="s">
        <v>4852</v>
      </c>
      <c r="P686" t="s">
        <v>4853</v>
      </c>
      <c r="Q686">
        <v>32.96</v>
      </c>
      <c r="R686" t="s">
        <v>3293</v>
      </c>
      <c r="S686">
        <v>0.76</v>
      </c>
      <c r="T686">
        <v>40.24</v>
      </c>
      <c r="U686" t="s">
        <v>1785</v>
      </c>
      <c r="V686" t="s">
        <v>407</v>
      </c>
      <c r="W686" t="s">
        <v>2537</v>
      </c>
      <c r="X686">
        <v>3.21</v>
      </c>
      <c r="Y686" t="s">
        <v>1770</v>
      </c>
      <c r="Z686" t="s">
        <v>2094</v>
      </c>
      <c r="AA686" t="s">
        <v>2360</v>
      </c>
      <c r="AB686">
        <v>3.86</v>
      </c>
      <c r="AC686" t="s">
        <v>891</v>
      </c>
      <c r="AD686">
        <v>70.34</v>
      </c>
      <c r="AE686" t="s">
        <v>1721</v>
      </c>
      <c r="AF686">
        <v>0.37</v>
      </c>
      <c r="AG686">
        <v>0</v>
      </c>
      <c r="AH686">
        <v>0</v>
      </c>
      <c r="AI686" s="4">
        <v>36928</v>
      </c>
    </row>
    <row r="687" spans="1:35">
      <c r="A687">
        <v>686</v>
      </c>
      <c r="B687" t="str">
        <f>"300476"</f>
        <v>300476</v>
      </c>
      <c r="C687" t="s">
        <v>4854</v>
      </c>
      <c r="D687" s="4">
        <v>43190</v>
      </c>
      <c r="E687" t="s">
        <v>3570</v>
      </c>
      <c r="F687" t="s">
        <v>52</v>
      </c>
      <c r="G687" t="s">
        <v>915</v>
      </c>
      <c r="H687">
        <v>0.11</v>
      </c>
      <c r="I687">
        <v>3.45</v>
      </c>
      <c r="J687">
        <v>3.21</v>
      </c>
      <c r="K687" t="s">
        <v>619</v>
      </c>
      <c r="L687">
        <v>85.26</v>
      </c>
      <c r="M687" t="s">
        <v>651</v>
      </c>
      <c r="N687" t="s">
        <v>1707</v>
      </c>
      <c r="O687" t="s">
        <v>651</v>
      </c>
      <c r="P687" t="s">
        <v>4855</v>
      </c>
      <c r="Q687">
        <v>92.46</v>
      </c>
      <c r="R687" t="s">
        <v>2647</v>
      </c>
      <c r="S687">
        <v>0.76</v>
      </c>
      <c r="T687">
        <v>29.03</v>
      </c>
      <c r="U687" t="s">
        <v>737</v>
      </c>
      <c r="V687" t="s">
        <v>710</v>
      </c>
      <c r="W687" t="s">
        <v>1307</v>
      </c>
      <c r="X687">
        <v>3.21</v>
      </c>
      <c r="Y687" t="s">
        <v>747</v>
      </c>
      <c r="Z687" t="s">
        <v>833</v>
      </c>
      <c r="AA687" t="s">
        <v>4856</v>
      </c>
      <c r="AB687">
        <v>3.93</v>
      </c>
      <c r="AC687" t="s">
        <v>1308</v>
      </c>
      <c r="AD687">
        <v>63.1</v>
      </c>
      <c r="AE687" t="s">
        <v>300</v>
      </c>
      <c r="AF687">
        <v>1.63</v>
      </c>
      <c r="AG687">
        <v>0</v>
      </c>
      <c r="AH687">
        <v>0</v>
      </c>
      <c r="AI687" s="4">
        <v>42166</v>
      </c>
    </row>
    <row r="688" spans="1:35">
      <c r="A688">
        <v>687</v>
      </c>
      <c r="B688" t="str">
        <f>"300428"</f>
        <v>300428</v>
      </c>
      <c r="C688" t="s">
        <v>4857</v>
      </c>
      <c r="D688" s="4">
        <v>43190</v>
      </c>
      <c r="E688" t="s">
        <v>1699</v>
      </c>
      <c r="F688" t="s">
        <v>711</v>
      </c>
      <c r="G688">
        <v>6143</v>
      </c>
      <c r="H688">
        <v>0.08</v>
      </c>
      <c r="I688">
        <v>2.25</v>
      </c>
      <c r="J688">
        <v>3.21</v>
      </c>
      <c r="K688" t="s">
        <v>1511</v>
      </c>
      <c r="L688">
        <v>0.34</v>
      </c>
      <c r="M688" t="s">
        <v>4858</v>
      </c>
      <c r="N688" t="s">
        <v>4859</v>
      </c>
      <c r="O688" t="s">
        <v>4860</v>
      </c>
      <c r="P688" t="s">
        <v>4425</v>
      </c>
      <c r="Q688">
        <v>28.11</v>
      </c>
      <c r="R688" t="s">
        <v>1621</v>
      </c>
      <c r="S688">
        <v>0.75</v>
      </c>
      <c r="T688">
        <v>9.6300000000000008</v>
      </c>
      <c r="U688" t="s">
        <v>4861</v>
      </c>
      <c r="V688" t="s">
        <v>2851</v>
      </c>
      <c r="W688" t="s">
        <v>319</v>
      </c>
      <c r="X688">
        <v>3.21</v>
      </c>
      <c r="Y688" t="s">
        <v>1435</v>
      </c>
      <c r="Z688" t="s">
        <v>1853</v>
      </c>
      <c r="AA688" t="s">
        <v>4862</v>
      </c>
      <c r="AB688">
        <v>5.12</v>
      </c>
      <c r="AC688" t="s">
        <v>4863</v>
      </c>
      <c r="AD688">
        <v>76.44</v>
      </c>
      <c r="AE688" t="s">
        <v>2306</v>
      </c>
      <c r="AF688">
        <v>0.28999999999999998</v>
      </c>
      <c r="AG688">
        <v>0</v>
      </c>
      <c r="AH688">
        <v>0</v>
      </c>
      <c r="AI688" s="4">
        <v>42082</v>
      </c>
    </row>
    <row r="689" spans="1:35">
      <c r="A689">
        <v>688</v>
      </c>
      <c r="B689" t="str">
        <f>"002769"</f>
        <v>002769</v>
      </c>
      <c r="C689" t="s">
        <v>4864</v>
      </c>
      <c r="D689" s="4">
        <v>43190</v>
      </c>
      <c r="E689" t="s">
        <v>137</v>
      </c>
      <c r="F689" t="s">
        <v>608</v>
      </c>
      <c r="G689">
        <v>4347</v>
      </c>
      <c r="H689">
        <v>0.11</v>
      </c>
      <c r="I689">
        <v>3.44</v>
      </c>
      <c r="J689">
        <v>3.21</v>
      </c>
      <c r="K689" t="s">
        <v>1223</v>
      </c>
      <c r="L689">
        <v>48.22</v>
      </c>
      <c r="M689" t="s">
        <v>4865</v>
      </c>
      <c r="N689" t="s">
        <v>4866</v>
      </c>
      <c r="O689" t="s">
        <v>278</v>
      </c>
      <c r="P689" t="s">
        <v>4867</v>
      </c>
      <c r="Q689">
        <v>1.84</v>
      </c>
      <c r="R689" t="s">
        <v>1056</v>
      </c>
      <c r="S689">
        <v>1.55</v>
      </c>
      <c r="T689">
        <v>7.91</v>
      </c>
      <c r="U689" t="s">
        <v>764</v>
      </c>
      <c r="V689" t="s">
        <v>3118</v>
      </c>
      <c r="W689" t="s">
        <v>4868</v>
      </c>
      <c r="X689">
        <v>3.21</v>
      </c>
      <c r="Y689" t="s">
        <v>398</v>
      </c>
      <c r="Z689" t="s">
        <v>1149</v>
      </c>
      <c r="AA689" t="s">
        <v>4869</v>
      </c>
      <c r="AB689">
        <v>4.0199999999999996</v>
      </c>
      <c r="AC689" t="s">
        <v>840</v>
      </c>
      <c r="AD689">
        <v>8.5</v>
      </c>
      <c r="AE689" t="s">
        <v>535</v>
      </c>
      <c r="AF689">
        <v>0.78</v>
      </c>
      <c r="AG689">
        <v>0</v>
      </c>
      <c r="AH689">
        <v>0</v>
      </c>
      <c r="AI689" s="4">
        <v>42184</v>
      </c>
    </row>
    <row r="690" spans="1:35">
      <c r="A690">
        <v>689</v>
      </c>
      <c r="B690" t="str">
        <f>"601799"</f>
        <v>601799</v>
      </c>
      <c r="C690" t="s">
        <v>4870</v>
      </c>
      <c r="D690" s="4">
        <v>43190</v>
      </c>
      <c r="E690" t="s">
        <v>4871</v>
      </c>
      <c r="F690" t="s">
        <v>4871</v>
      </c>
      <c r="G690" t="s">
        <v>4872</v>
      </c>
      <c r="H690">
        <v>0.47</v>
      </c>
      <c r="I690">
        <v>14.08</v>
      </c>
      <c r="J690">
        <v>3.2</v>
      </c>
      <c r="K690" t="s">
        <v>250</v>
      </c>
      <c r="L690">
        <v>21.79</v>
      </c>
      <c r="M690" t="s">
        <v>609</v>
      </c>
      <c r="N690" t="s">
        <v>4873</v>
      </c>
      <c r="O690" t="s">
        <v>2424</v>
      </c>
      <c r="P690" t="s">
        <v>1376</v>
      </c>
      <c r="Q690">
        <v>32</v>
      </c>
      <c r="R690" t="s">
        <v>919</v>
      </c>
      <c r="S690">
        <v>2.8</v>
      </c>
      <c r="T690">
        <v>21.1</v>
      </c>
      <c r="U690" t="s">
        <v>4310</v>
      </c>
      <c r="V690" t="s">
        <v>2225</v>
      </c>
      <c r="W690" t="s">
        <v>277</v>
      </c>
      <c r="X690">
        <v>3.2</v>
      </c>
      <c r="Y690" t="s">
        <v>1348</v>
      </c>
      <c r="Z690" t="s">
        <v>261</v>
      </c>
      <c r="AA690" t="s">
        <v>1597</v>
      </c>
      <c r="AB690">
        <v>4.07</v>
      </c>
      <c r="AC690" t="s">
        <v>2239</v>
      </c>
      <c r="AD690">
        <v>63.32</v>
      </c>
      <c r="AE690" t="s">
        <v>1308</v>
      </c>
      <c r="AF690">
        <v>9.6300000000000008</v>
      </c>
      <c r="AG690">
        <v>0</v>
      </c>
      <c r="AH690">
        <v>0</v>
      </c>
      <c r="AI690" s="4">
        <v>40575</v>
      </c>
    </row>
    <row r="691" spans="1:35">
      <c r="A691">
        <v>690</v>
      </c>
      <c r="B691" t="str">
        <f>"300088"</f>
        <v>300088</v>
      </c>
      <c r="C691" t="s">
        <v>4874</v>
      </c>
      <c r="D691" s="4">
        <v>43190</v>
      </c>
      <c r="E691" t="s">
        <v>316</v>
      </c>
      <c r="F691" t="s">
        <v>1449</v>
      </c>
      <c r="G691" t="s">
        <v>4875</v>
      </c>
      <c r="H691">
        <v>0.06</v>
      </c>
      <c r="I691">
        <v>1.86</v>
      </c>
      <c r="J691">
        <v>3.2</v>
      </c>
      <c r="K691" t="s">
        <v>79</v>
      </c>
      <c r="L691">
        <v>-46.92</v>
      </c>
      <c r="M691" t="s">
        <v>321</v>
      </c>
      <c r="N691" t="s">
        <v>904</v>
      </c>
      <c r="O691" t="s">
        <v>321</v>
      </c>
      <c r="P691" t="s">
        <v>920</v>
      </c>
      <c r="Q691">
        <v>34.92</v>
      </c>
      <c r="R691" t="s">
        <v>1678</v>
      </c>
      <c r="S691">
        <v>0.67</v>
      </c>
      <c r="T691">
        <v>14.14</v>
      </c>
      <c r="U691" t="s">
        <v>963</v>
      </c>
      <c r="V691" t="s">
        <v>2667</v>
      </c>
      <c r="W691" t="s">
        <v>1908</v>
      </c>
      <c r="X691">
        <v>3.2</v>
      </c>
      <c r="Y691" t="s">
        <v>2301</v>
      </c>
      <c r="Z691" t="s">
        <v>940</v>
      </c>
      <c r="AA691" t="s">
        <v>707</v>
      </c>
      <c r="AB691">
        <v>2.98</v>
      </c>
      <c r="AC691" t="s">
        <v>1574</v>
      </c>
      <c r="AD691">
        <v>52.89</v>
      </c>
      <c r="AE691" t="s">
        <v>94</v>
      </c>
      <c r="AF691">
        <v>0.1</v>
      </c>
      <c r="AG691">
        <v>0</v>
      </c>
      <c r="AH691">
        <v>0</v>
      </c>
      <c r="AI691" s="4">
        <v>40324</v>
      </c>
    </row>
    <row r="692" spans="1:35">
      <c r="A692">
        <v>691</v>
      </c>
      <c r="B692" t="str">
        <f>"002672"</f>
        <v>002672</v>
      </c>
      <c r="C692" t="s">
        <v>4876</v>
      </c>
      <c r="D692" s="4">
        <v>43190</v>
      </c>
      <c r="E692" t="s">
        <v>4877</v>
      </c>
      <c r="F692" t="s">
        <v>2095</v>
      </c>
      <c r="G692">
        <v>0</v>
      </c>
      <c r="H692">
        <v>0.14000000000000001</v>
      </c>
      <c r="I692">
        <v>4.3499999999999996</v>
      </c>
      <c r="J692">
        <v>3.2</v>
      </c>
      <c r="K692" t="s">
        <v>650</v>
      </c>
      <c r="L692">
        <v>12.24</v>
      </c>
      <c r="M692" t="s">
        <v>452</v>
      </c>
      <c r="N692" t="s">
        <v>3460</v>
      </c>
      <c r="O692" t="s">
        <v>319</v>
      </c>
      <c r="P692" t="s">
        <v>1525</v>
      </c>
      <c r="Q692">
        <v>16.8</v>
      </c>
      <c r="R692" t="s">
        <v>2273</v>
      </c>
      <c r="S692">
        <v>2.67</v>
      </c>
      <c r="T692">
        <v>35.36</v>
      </c>
      <c r="U692" t="s">
        <v>3520</v>
      </c>
      <c r="V692" t="s">
        <v>1205</v>
      </c>
      <c r="W692" t="s">
        <v>1062</v>
      </c>
      <c r="X692">
        <v>3.2</v>
      </c>
      <c r="Y692" t="s">
        <v>1748</v>
      </c>
      <c r="Z692" t="s">
        <v>1515</v>
      </c>
      <c r="AA692" t="s">
        <v>757</v>
      </c>
      <c r="AB692">
        <v>3.68</v>
      </c>
      <c r="AC692" t="s">
        <v>113</v>
      </c>
      <c r="AD692">
        <v>41.3</v>
      </c>
      <c r="AE692" t="s">
        <v>999</v>
      </c>
      <c r="AF692">
        <v>0.56000000000000005</v>
      </c>
      <c r="AG692">
        <v>0</v>
      </c>
      <c r="AH692" t="s">
        <v>293</v>
      </c>
      <c r="AI692" s="4">
        <v>41025</v>
      </c>
    </row>
    <row r="693" spans="1:35">
      <c r="A693">
        <v>692</v>
      </c>
      <c r="B693" t="str">
        <f>"002561"</f>
        <v>002561</v>
      </c>
      <c r="C693" t="s">
        <v>4878</v>
      </c>
      <c r="D693" s="4">
        <v>43190</v>
      </c>
      <c r="E693" t="s">
        <v>104</v>
      </c>
      <c r="F693" t="s">
        <v>2915</v>
      </c>
      <c r="G693" t="s">
        <v>2589</v>
      </c>
      <c r="H693">
        <v>0.17</v>
      </c>
      <c r="I693">
        <v>4.9800000000000004</v>
      </c>
      <c r="J693">
        <v>3.2</v>
      </c>
      <c r="K693" t="s">
        <v>92</v>
      </c>
      <c r="L693">
        <v>1.64</v>
      </c>
      <c r="M693" t="s">
        <v>4879</v>
      </c>
      <c r="N693" t="s">
        <v>4880</v>
      </c>
      <c r="O693" t="s">
        <v>4881</v>
      </c>
      <c r="P693" t="s">
        <v>4882</v>
      </c>
      <c r="Q693">
        <v>11.22</v>
      </c>
      <c r="R693" t="s">
        <v>295</v>
      </c>
      <c r="S693">
        <v>2.21</v>
      </c>
      <c r="T693">
        <v>28.75</v>
      </c>
      <c r="U693" t="s">
        <v>158</v>
      </c>
      <c r="V693" t="s">
        <v>304</v>
      </c>
      <c r="W693" t="s">
        <v>2178</v>
      </c>
      <c r="X693">
        <v>3.2</v>
      </c>
      <c r="Y693" t="s">
        <v>4044</v>
      </c>
      <c r="Z693" t="s">
        <v>69</v>
      </c>
      <c r="AA693" t="s">
        <v>4883</v>
      </c>
      <c r="AB693">
        <v>1.78</v>
      </c>
      <c r="AC693" t="s">
        <v>728</v>
      </c>
      <c r="AD693">
        <v>82.21</v>
      </c>
      <c r="AE693" t="s">
        <v>1037</v>
      </c>
      <c r="AF693">
        <v>1.26</v>
      </c>
      <c r="AG693">
        <v>0</v>
      </c>
      <c r="AH693">
        <v>0</v>
      </c>
      <c r="AI693" s="4">
        <v>40605</v>
      </c>
    </row>
    <row r="694" spans="1:35">
      <c r="A694">
        <v>693</v>
      </c>
      <c r="B694" t="str">
        <f>"002422"</f>
        <v>002422</v>
      </c>
      <c r="C694" t="s">
        <v>4884</v>
      </c>
      <c r="D694" s="4">
        <v>43190</v>
      </c>
      <c r="E694" t="s">
        <v>161</v>
      </c>
      <c r="F694" t="s">
        <v>978</v>
      </c>
      <c r="G694" t="s">
        <v>1744</v>
      </c>
      <c r="H694">
        <v>0.27</v>
      </c>
      <c r="I694">
        <v>8.42</v>
      </c>
      <c r="J694">
        <v>3.2</v>
      </c>
      <c r="K694" t="s">
        <v>230</v>
      </c>
      <c r="L694">
        <v>61.54</v>
      </c>
      <c r="M694" t="s">
        <v>479</v>
      </c>
      <c r="N694" t="s">
        <v>4885</v>
      </c>
      <c r="O694" t="s">
        <v>3321</v>
      </c>
      <c r="P694" t="s">
        <v>1229</v>
      </c>
      <c r="Q694">
        <v>98.91</v>
      </c>
      <c r="R694" t="s">
        <v>1591</v>
      </c>
      <c r="S694">
        <v>4.63</v>
      </c>
      <c r="T694">
        <v>57.91</v>
      </c>
      <c r="U694" t="s">
        <v>2858</v>
      </c>
      <c r="V694" t="s">
        <v>410</v>
      </c>
      <c r="W694" t="s">
        <v>1159</v>
      </c>
      <c r="X694">
        <v>3.2</v>
      </c>
      <c r="Y694" t="s">
        <v>814</v>
      </c>
      <c r="Z694" t="s">
        <v>404</v>
      </c>
      <c r="AA694" t="s">
        <v>1410</v>
      </c>
      <c r="AB694">
        <v>3.59</v>
      </c>
      <c r="AC694" t="s">
        <v>1465</v>
      </c>
      <c r="AD694">
        <v>42.32</v>
      </c>
      <c r="AE694" t="s">
        <v>816</v>
      </c>
      <c r="AF694">
        <v>2.46</v>
      </c>
      <c r="AG694">
        <v>0</v>
      </c>
      <c r="AH694">
        <v>0</v>
      </c>
      <c r="AI694" s="4">
        <v>40332</v>
      </c>
    </row>
    <row r="695" spans="1:35">
      <c r="A695">
        <v>694</v>
      </c>
      <c r="B695" t="str">
        <f>"603368"</f>
        <v>603368</v>
      </c>
      <c r="C695" t="s">
        <v>4886</v>
      </c>
      <c r="D695" s="4">
        <v>43190</v>
      </c>
      <c r="E695" t="s">
        <v>507</v>
      </c>
      <c r="F695" t="s">
        <v>844</v>
      </c>
      <c r="G695">
        <v>7768</v>
      </c>
      <c r="H695">
        <v>0.44</v>
      </c>
      <c r="I695">
        <v>13.44</v>
      </c>
      <c r="J695">
        <v>3.19</v>
      </c>
      <c r="K695" t="s">
        <v>1386</v>
      </c>
      <c r="L695">
        <v>25.32</v>
      </c>
      <c r="M695" t="s">
        <v>657</v>
      </c>
      <c r="N695" t="s">
        <v>4887</v>
      </c>
      <c r="O695" t="s">
        <v>657</v>
      </c>
      <c r="P695" t="s">
        <v>1349</v>
      </c>
      <c r="Q695">
        <v>35.270000000000003</v>
      </c>
      <c r="R695" t="s">
        <v>973</v>
      </c>
      <c r="S695">
        <v>3.95</v>
      </c>
      <c r="T695">
        <v>9.6300000000000008</v>
      </c>
      <c r="U695" t="s">
        <v>4888</v>
      </c>
      <c r="V695" t="s">
        <v>3679</v>
      </c>
      <c r="W695" t="s">
        <v>4756</v>
      </c>
      <c r="X695">
        <v>3.19</v>
      </c>
      <c r="Y695" t="s">
        <v>2005</v>
      </c>
      <c r="Z695" t="s">
        <v>4889</v>
      </c>
      <c r="AA695" t="s">
        <v>4890</v>
      </c>
      <c r="AB695">
        <v>2.3199999999999998</v>
      </c>
      <c r="AC695" t="s">
        <v>940</v>
      </c>
      <c r="AD695">
        <v>43.57</v>
      </c>
      <c r="AE695" t="s">
        <v>449</v>
      </c>
      <c r="AF695">
        <v>8</v>
      </c>
      <c r="AG695">
        <v>0</v>
      </c>
      <c r="AH695">
        <v>0</v>
      </c>
      <c r="AI695" s="4">
        <v>41977</v>
      </c>
    </row>
    <row r="696" spans="1:35">
      <c r="A696">
        <v>695</v>
      </c>
      <c r="B696" t="str">
        <f>"603214"</f>
        <v>603214</v>
      </c>
      <c r="C696" t="s">
        <v>4891</v>
      </c>
      <c r="D696" s="4">
        <v>43190</v>
      </c>
      <c r="E696" t="s">
        <v>2307</v>
      </c>
      <c r="F696" t="s">
        <v>534</v>
      </c>
      <c r="G696">
        <v>897</v>
      </c>
      <c r="H696">
        <v>0.12</v>
      </c>
      <c r="I696">
        <v>7.78</v>
      </c>
      <c r="J696">
        <v>3.19</v>
      </c>
      <c r="K696" t="s">
        <v>216</v>
      </c>
      <c r="L696">
        <v>13.39</v>
      </c>
      <c r="M696" t="s">
        <v>4892</v>
      </c>
      <c r="N696" t="s">
        <v>4893</v>
      </c>
      <c r="O696" t="s">
        <v>4894</v>
      </c>
      <c r="P696" t="s">
        <v>4895</v>
      </c>
      <c r="Q696">
        <v>18.920000000000002</v>
      </c>
      <c r="R696" t="s">
        <v>122</v>
      </c>
      <c r="S696">
        <v>2.4700000000000002</v>
      </c>
      <c r="T696">
        <v>25.14</v>
      </c>
      <c r="U696" t="s">
        <v>982</v>
      </c>
      <c r="V696" t="s">
        <v>521</v>
      </c>
      <c r="W696" t="s">
        <v>4896</v>
      </c>
      <c r="X696">
        <v>3.19</v>
      </c>
      <c r="Y696" t="s">
        <v>1682</v>
      </c>
      <c r="Z696" t="s">
        <v>1682</v>
      </c>
      <c r="AA696">
        <v>0</v>
      </c>
      <c r="AB696">
        <v>6.22</v>
      </c>
      <c r="AC696" t="s">
        <v>2908</v>
      </c>
      <c r="AD696">
        <v>65.56</v>
      </c>
      <c r="AE696" t="s">
        <v>104</v>
      </c>
      <c r="AF696">
        <v>4.16</v>
      </c>
      <c r="AG696">
        <v>0</v>
      </c>
      <c r="AH696">
        <v>0</v>
      </c>
      <c r="AI696" s="4">
        <v>43189</v>
      </c>
    </row>
    <row r="697" spans="1:35">
      <c r="A697">
        <v>696</v>
      </c>
      <c r="B697" t="str">
        <f>"600886"</f>
        <v>600886</v>
      </c>
      <c r="C697" t="s">
        <v>4897</v>
      </c>
      <c r="D697" s="4">
        <v>43190</v>
      </c>
      <c r="E697" t="s">
        <v>1531</v>
      </c>
      <c r="F697" t="s">
        <v>1531</v>
      </c>
      <c r="G697" t="s">
        <v>925</v>
      </c>
      <c r="H697">
        <v>0.15</v>
      </c>
      <c r="I697">
        <v>4.6500000000000004</v>
      </c>
      <c r="J697">
        <v>3.19</v>
      </c>
      <c r="K697" t="s">
        <v>1656</v>
      </c>
      <c r="L697">
        <v>23.15</v>
      </c>
      <c r="M697" t="s">
        <v>865</v>
      </c>
      <c r="N697" t="s">
        <v>4898</v>
      </c>
      <c r="O697" t="s">
        <v>865</v>
      </c>
      <c r="P697" t="s">
        <v>3630</v>
      </c>
      <c r="Q697">
        <v>6.37</v>
      </c>
      <c r="R697" t="s">
        <v>1251</v>
      </c>
      <c r="S697">
        <v>2.4700000000000002</v>
      </c>
      <c r="T697">
        <v>40.36</v>
      </c>
      <c r="U697" t="s">
        <v>4899</v>
      </c>
      <c r="V697" t="s">
        <v>1146</v>
      </c>
      <c r="W697" t="s">
        <v>4900</v>
      </c>
      <c r="X697">
        <v>3.19</v>
      </c>
      <c r="Y697" t="s">
        <v>4901</v>
      </c>
      <c r="Z697" t="s">
        <v>4902</v>
      </c>
      <c r="AA697" t="s">
        <v>4903</v>
      </c>
      <c r="AB697">
        <v>1.59</v>
      </c>
      <c r="AC697" t="s">
        <v>2357</v>
      </c>
      <c r="AD697">
        <v>15.07</v>
      </c>
      <c r="AE697" t="s">
        <v>1619</v>
      </c>
      <c r="AF697">
        <v>0.95</v>
      </c>
      <c r="AG697">
        <v>0</v>
      </c>
      <c r="AH697">
        <v>0</v>
      </c>
      <c r="AI697" s="4">
        <v>35082</v>
      </c>
    </row>
    <row r="698" spans="1:35">
      <c r="A698">
        <v>697</v>
      </c>
      <c r="B698" t="str">
        <f>"002511"</f>
        <v>002511</v>
      </c>
      <c r="C698" t="s">
        <v>4904</v>
      </c>
      <c r="D698" s="4">
        <v>43190</v>
      </c>
      <c r="E698" t="s">
        <v>101</v>
      </c>
      <c r="F698" t="s">
        <v>164</v>
      </c>
      <c r="G698" t="s">
        <v>4905</v>
      </c>
      <c r="H698">
        <v>0.08</v>
      </c>
      <c r="I698">
        <v>2.38</v>
      </c>
      <c r="J698">
        <v>3.19</v>
      </c>
      <c r="K698" t="s">
        <v>982</v>
      </c>
      <c r="L698">
        <v>18.649999999999999</v>
      </c>
      <c r="M698" t="s">
        <v>2603</v>
      </c>
      <c r="N698" t="s">
        <v>4906</v>
      </c>
      <c r="O698" t="s">
        <v>2603</v>
      </c>
      <c r="P698" t="s">
        <v>4907</v>
      </c>
      <c r="Q698">
        <v>30.93</v>
      </c>
      <c r="R698" t="s">
        <v>164</v>
      </c>
      <c r="S698">
        <v>0.92</v>
      </c>
      <c r="T698">
        <v>38.840000000000003</v>
      </c>
      <c r="U698" t="s">
        <v>2562</v>
      </c>
      <c r="V698" t="s">
        <v>1449</v>
      </c>
      <c r="W698" t="s">
        <v>706</v>
      </c>
      <c r="X698">
        <v>3.19</v>
      </c>
      <c r="Y698" t="s">
        <v>2328</v>
      </c>
      <c r="Z698" t="s">
        <v>1126</v>
      </c>
      <c r="AA698" t="s">
        <v>284</v>
      </c>
      <c r="AB698">
        <v>3.84</v>
      </c>
      <c r="AC698" t="s">
        <v>1380</v>
      </c>
      <c r="AD698">
        <v>61.79</v>
      </c>
      <c r="AE698" t="s">
        <v>835</v>
      </c>
      <c r="AF698">
        <v>0.47</v>
      </c>
      <c r="AG698">
        <v>0</v>
      </c>
      <c r="AH698">
        <v>0</v>
      </c>
      <c r="AI698" s="4">
        <v>40507</v>
      </c>
    </row>
    <row r="699" spans="1:35">
      <c r="A699">
        <v>698</v>
      </c>
      <c r="B699" t="str">
        <f>"002456"</f>
        <v>002456</v>
      </c>
      <c r="C699" t="s">
        <v>4908</v>
      </c>
      <c r="D699" s="4">
        <v>43190</v>
      </c>
      <c r="E699" t="s">
        <v>1386</v>
      </c>
      <c r="F699" t="s">
        <v>1308</v>
      </c>
      <c r="G699" t="s">
        <v>4909</v>
      </c>
      <c r="H699">
        <v>0.11</v>
      </c>
      <c r="I699">
        <v>3.47</v>
      </c>
      <c r="J699">
        <v>3.19</v>
      </c>
      <c r="K699" t="s">
        <v>1172</v>
      </c>
      <c r="L699">
        <v>22.06</v>
      </c>
      <c r="M699" t="s">
        <v>137</v>
      </c>
      <c r="N699" t="s">
        <v>406</v>
      </c>
      <c r="O699" t="s">
        <v>3197</v>
      </c>
      <c r="P699" t="s">
        <v>535</v>
      </c>
      <c r="Q699">
        <v>55.01</v>
      </c>
      <c r="R699" t="s">
        <v>464</v>
      </c>
      <c r="S699">
        <v>1.33</v>
      </c>
      <c r="T699">
        <v>15.15</v>
      </c>
      <c r="U699" t="s">
        <v>3911</v>
      </c>
      <c r="V699" t="s">
        <v>4910</v>
      </c>
      <c r="W699" t="s">
        <v>4911</v>
      </c>
      <c r="X699">
        <v>3.19</v>
      </c>
      <c r="Y699" t="s">
        <v>4912</v>
      </c>
      <c r="Z699" t="s">
        <v>2545</v>
      </c>
      <c r="AA699" t="s">
        <v>2727</v>
      </c>
      <c r="AB699">
        <v>5.05</v>
      </c>
      <c r="AC699" t="s">
        <v>4913</v>
      </c>
      <c r="AD699">
        <v>28.81</v>
      </c>
      <c r="AE699" t="s">
        <v>2339</v>
      </c>
      <c r="AF699">
        <v>1.17</v>
      </c>
      <c r="AG699">
        <v>0</v>
      </c>
      <c r="AH699">
        <v>0</v>
      </c>
      <c r="AI699" s="4">
        <v>40393</v>
      </c>
    </row>
    <row r="700" spans="1:35">
      <c r="A700">
        <v>699</v>
      </c>
      <c r="B700" t="str">
        <f>"002064"</f>
        <v>002064</v>
      </c>
      <c r="C700" t="s">
        <v>4914</v>
      </c>
      <c r="D700" s="4">
        <v>43190</v>
      </c>
      <c r="E700" t="s">
        <v>1569</v>
      </c>
      <c r="F700" t="s">
        <v>833</v>
      </c>
      <c r="G700" t="s">
        <v>1422</v>
      </c>
      <c r="H700">
        <v>7.0000000000000007E-2</v>
      </c>
      <c r="I700">
        <v>2.09</v>
      </c>
      <c r="J700">
        <v>3.19</v>
      </c>
      <c r="K700" t="s">
        <v>910</v>
      </c>
      <c r="L700">
        <v>2.31</v>
      </c>
      <c r="M700" t="s">
        <v>1376</v>
      </c>
      <c r="N700" t="s">
        <v>4915</v>
      </c>
      <c r="O700" t="s">
        <v>802</v>
      </c>
      <c r="P700" t="s">
        <v>804</v>
      </c>
      <c r="Q700">
        <v>12.2</v>
      </c>
      <c r="R700" t="s">
        <v>833</v>
      </c>
      <c r="S700">
        <v>0.92</v>
      </c>
      <c r="T700">
        <v>23.51</v>
      </c>
      <c r="U700" t="s">
        <v>799</v>
      </c>
      <c r="V700" t="s">
        <v>706</v>
      </c>
      <c r="W700" t="s">
        <v>419</v>
      </c>
      <c r="X700">
        <v>3.19</v>
      </c>
      <c r="Y700" t="s">
        <v>1255</v>
      </c>
      <c r="Z700" t="s">
        <v>263</v>
      </c>
      <c r="AA700" t="s">
        <v>2392</v>
      </c>
      <c r="AB700">
        <v>1.99</v>
      </c>
      <c r="AC700" t="s">
        <v>1225</v>
      </c>
      <c r="AD700">
        <v>63.59</v>
      </c>
      <c r="AE700" t="s">
        <v>4241</v>
      </c>
      <c r="AF700">
        <v>0.01</v>
      </c>
      <c r="AG700">
        <v>0</v>
      </c>
      <c r="AH700">
        <v>0</v>
      </c>
      <c r="AI700" s="4">
        <v>38952</v>
      </c>
    </row>
    <row r="701" spans="1:35">
      <c r="A701">
        <v>700</v>
      </c>
      <c r="B701" t="str">
        <f>"603619"</f>
        <v>603619</v>
      </c>
      <c r="C701" t="s">
        <v>4916</v>
      </c>
      <c r="D701" s="4">
        <v>43190</v>
      </c>
      <c r="E701" t="s">
        <v>150</v>
      </c>
      <c r="F701" t="s">
        <v>4429</v>
      </c>
      <c r="G701">
        <v>1623</v>
      </c>
      <c r="H701">
        <v>0.2</v>
      </c>
      <c r="I701">
        <v>6.49</v>
      </c>
      <c r="J701">
        <v>3.18</v>
      </c>
      <c r="K701" t="s">
        <v>645</v>
      </c>
      <c r="L701">
        <v>20.88</v>
      </c>
      <c r="M701" t="s">
        <v>71</v>
      </c>
      <c r="N701">
        <v>0</v>
      </c>
      <c r="O701" t="s">
        <v>71</v>
      </c>
      <c r="P701" t="s">
        <v>4917</v>
      </c>
      <c r="Q701">
        <v>-23.83</v>
      </c>
      <c r="R701" t="s">
        <v>521</v>
      </c>
      <c r="S701">
        <v>2.66</v>
      </c>
      <c r="T701">
        <v>40.28</v>
      </c>
      <c r="U701" t="s">
        <v>113</v>
      </c>
      <c r="V701" t="s">
        <v>576</v>
      </c>
      <c r="W701" t="s">
        <v>124</v>
      </c>
      <c r="X701">
        <v>3.18</v>
      </c>
      <c r="Y701" t="s">
        <v>164</v>
      </c>
      <c r="Z701" t="s">
        <v>699</v>
      </c>
      <c r="AA701" t="s">
        <v>37</v>
      </c>
      <c r="AB701">
        <v>4.72</v>
      </c>
      <c r="AC701" t="s">
        <v>370</v>
      </c>
      <c r="AD701">
        <v>67.319999999999993</v>
      </c>
      <c r="AE701" t="s">
        <v>1094</v>
      </c>
      <c r="AF701">
        <v>2.5299999999999998</v>
      </c>
      <c r="AG701">
        <v>0</v>
      </c>
      <c r="AH701">
        <v>0</v>
      </c>
      <c r="AI701" s="4">
        <v>43056</v>
      </c>
    </row>
    <row r="702" spans="1:35">
      <c r="A702">
        <v>701</v>
      </c>
      <c r="B702" t="str">
        <f>"600399"</f>
        <v>600399</v>
      </c>
      <c r="C702" t="s">
        <v>4918</v>
      </c>
      <c r="D702" s="4">
        <v>43008</v>
      </c>
      <c r="E702" t="s">
        <v>1025</v>
      </c>
      <c r="F702" t="s">
        <v>835</v>
      </c>
      <c r="G702">
        <v>9100</v>
      </c>
      <c r="H702">
        <v>0.05</v>
      </c>
      <c r="I702">
        <v>1.63</v>
      </c>
      <c r="J702">
        <v>3.18</v>
      </c>
      <c r="K702" t="s">
        <v>2452</v>
      </c>
      <c r="L702">
        <v>18.600000000000001</v>
      </c>
      <c r="M702" t="s">
        <v>4919</v>
      </c>
      <c r="N702" t="s">
        <v>4920</v>
      </c>
      <c r="O702" t="s">
        <v>4921</v>
      </c>
      <c r="P702" t="s">
        <v>4922</v>
      </c>
      <c r="Q702">
        <v>-48.9</v>
      </c>
      <c r="R702" t="s">
        <v>362</v>
      </c>
      <c r="S702">
        <v>0.37</v>
      </c>
      <c r="T702">
        <v>15.33</v>
      </c>
      <c r="U702" t="s">
        <v>932</v>
      </c>
      <c r="V702" t="s">
        <v>4013</v>
      </c>
      <c r="W702" t="s">
        <v>1127</v>
      </c>
      <c r="X702">
        <v>3.18</v>
      </c>
      <c r="Y702" t="s">
        <v>525</v>
      </c>
      <c r="Z702" t="s">
        <v>2900</v>
      </c>
      <c r="AA702" t="s">
        <v>3745</v>
      </c>
      <c r="AB702">
        <v>3.37</v>
      </c>
      <c r="AC702" t="s">
        <v>1693</v>
      </c>
      <c r="AD702">
        <v>16.829999999999998</v>
      </c>
      <c r="AE702" t="s">
        <v>470</v>
      </c>
      <c r="AF702">
        <v>0.18</v>
      </c>
      <c r="AG702">
        <v>0</v>
      </c>
      <c r="AH702">
        <v>0</v>
      </c>
      <c r="AI702" s="4">
        <v>36889</v>
      </c>
    </row>
    <row r="703" spans="1:35">
      <c r="A703">
        <v>702</v>
      </c>
      <c r="B703" t="str">
        <f>"002823"</f>
        <v>002823</v>
      </c>
      <c r="C703" t="s">
        <v>4923</v>
      </c>
      <c r="D703" s="4">
        <v>43190</v>
      </c>
      <c r="E703" t="s">
        <v>1699</v>
      </c>
      <c r="F703" t="s">
        <v>4924</v>
      </c>
      <c r="G703">
        <v>4514</v>
      </c>
      <c r="H703">
        <v>0.13</v>
      </c>
      <c r="I703">
        <v>3.9</v>
      </c>
      <c r="J703">
        <v>3.18</v>
      </c>
      <c r="K703" t="s">
        <v>1918</v>
      </c>
      <c r="L703">
        <v>8.73</v>
      </c>
      <c r="M703" t="s">
        <v>4925</v>
      </c>
      <c r="N703">
        <v>0</v>
      </c>
      <c r="O703" t="s">
        <v>4926</v>
      </c>
      <c r="P703" t="s">
        <v>4927</v>
      </c>
      <c r="Q703">
        <v>2.85</v>
      </c>
      <c r="R703" t="s">
        <v>3006</v>
      </c>
      <c r="S703">
        <v>1.48</v>
      </c>
      <c r="T703">
        <v>29.49</v>
      </c>
      <c r="U703" t="s">
        <v>1255</v>
      </c>
      <c r="V703" t="s">
        <v>960</v>
      </c>
      <c r="W703" t="s">
        <v>1563</v>
      </c>
      <c r="X703">
        <v>3.18</v>
      </c>
      <c r="Y703" t="s">
        <v>1802</v>
      </c>
      <c r="Z703" t="s">
        <v>1249</v>
      </c>
      <c r="AA703" t="s">
        <v>1459</v>
      </c>
      <c r="AB703">
        <v>3.33</v>
      </c>
      <c r="AC703" t="s">
        <v>192</v>
      </c>
      <c r="AD703">
        <v>58.24</v>
      </c>
      <c r="AE703" t="s">
        <v>150</v>
      </c>
      <c r="AF703">
        <v>1.4</v>
      </c>
      <c r="AG703">
        <v>0</v>
      </c>
      <c r="AH703">
        <v>0</v>
      </c>
      <c r="AI703" s="4">
        <v>42698</v>
      </c>
    </row>
    <row r="704" spans="1:35">
      <c r="A704">
        <v>703</v>
      </c>
      <c r="B704" t="str">
        <f>"002343"</f>
        <v>002343</v>
      </c>
      <c r="C704" t="s">
        <v>4928</v>
      </c>
      <c r="D704" s="4">
        <v>43190</v>
      </c>
      <c r="E704" t="s">
        <v>1578</v>
      </c>
      <c r="F704" t="s">
        <v>1245</v>
      </c>
      <c r="G704" t="s">
        <v>4929</v>
      </c>
      <c r="H704">
        <v>0.26</v>
      </c>
      <c r="I704">
        <v>8.0299999999999994</v>
      </c>
      <c r="J704">
        <v>3.18</v>
      </c>
      <c r="K704" t="s">
        <v>2507</v>
      </c>
      <c r="L704">
        <v>157.82</v>
      </c>
      <c r="M704" t="s">
        <v>197</v>
      </c>
      <c r="N704" t="s">
        <v>4930</v>
      </c>
      <c r="O704" t="s">
        <v>197</v>
      </c>
      <c r="P704" t="s">
        <v>4931</v>
      </c>
      <c r="Q704">
        <v>205.72</v>
      </c>
      <c r="R704" t="s">
        <v>405</v>
      </c>
      <c r="S704">
        <v>3.64</v>
      </c>
      <c r="T704">
        <v>19.420000000000002</v>
      </c>
      <c r="U704" t="s">
        <v>2749</v>
      </c>
      <c r="V704" t="s">
        <v>2642</v>
      </c>
      <c r="W704" t="s">
        <v>4932</v>
      </c>
      <c r="X704">
        <v>3.18</v>
      </c>
      <c r="Y704" t="s">
        <v>1294</v>
      </c>
      <c r="Z704" t="s">
        <v>1039</v>
      </c>
      <c r="AA704" t="s">
        <v>1203</v>
      </c>
      <c r="AB704">
        <v>3.27</v>
      </c>
      <c r="AC704" t="s">
        <v>1675</v>
      </c>
      <c r="AD704">
        <v>51.58</v>
      </c>
      <c r="AE704" t="s">
        <v>4754</v>
      </c>
      <c r="AF704">
        <v>2.92</v>
      </c>
      <c r="AG704">
        <v>0</v>
      </c>
      <c r="AH704">
        <v>0</v>
      </c>
      <c r="AI704" s="4">
        <v>40204</v>
      </c>
    </row>
    <row r="705" spans="1:35">
      <c r="A705">
        <v>704</v>
      </c>
      <c r="B705" t="str">
        <f>"002326"</f>
        <v>002326</v>
      </c>
      <c r="C705" t="s">
        <v>4933</v>
      </c>
      <c r="D705" s="4">
        <v>43190</v>
      </c>
      <c r="E705" t="s">
        <v>4354</v>
      </c>
      <c r="F705" t="s">
        <v>1565</v>
      </c>
      <c r="G705">
        <v>7513</v>
      </c>
      <c r="H705">
        <v>0.1</v>
      </c>
      <c r="I705">
        <v>3.39</v>
      </c>
      <c r="J705">
        <v>3.18</v>
      </c>
      <c r="K705" t="s">
        <v>1330</v>
      </c>
      <c r="L705">
        <v>16.71</v>
      </c>
      <c r="M705" t="s">
        <v>197</v>
      </c>
      <c r="N705" t="s">
        <v>4934</v>
      </c>
      <c r="O705" t="s">
        <v>1119</v>
      </c>
      <c r="P705" t="s">
        <v>4935</v>
      </c>
      <c r="Q705">
        <v>-47.81</v>
      </c>
      <c r="R705" t="s">
        <v>4936</v>
      </c>
      <c r="S705">
        <v>1.07</v>
      </c>
      <c r="T705">
        <v>30.13</v>
      </c>
      <c r="U705" t="s">
        <v>4937</v>
      </c>
      <c r="V705" t="s">
        <v>2568</v>
      </c>
      <c r="W705" t="s">
        <v>141</v>
      </c>
      <c r="X705">
        <v>3.18</v>
      </c>
      <c r="Y705" t="s">
        <v>864</v>
      </c>
      <c r="Z705" t="s">
        <v>316</v>
      </c>
      <c r="AA705" t="s">
        <v>1993</v>
      </c>
      <c r="AB705">
        <v>2.13</v>
      </c>
      <c r="AC705" t="s">
        <v>450</v>
      </c>
      <c r="AD705">
        <v>46.9</v>
      </c>
      <c r="AE705" t="s">
        <v>1094</v>
      </c>
      <c r="AF705">
        <v>1.24</v>
      </c>
      <c r="AG705">
        <v>0</v>
      </c>
      <c r="AH705">
        <v>0</v>
      </c>
      <c r="AI705" s="4">
        <v>40169</v>
      </c>
    </row>
    <row r="706" spans="1:35">
      <c r="A706">
        <v>705</v>
      </c>
      <c r="B706" t="str">
        <f>"000513"</f>
        <v>000513</v>
      </c>
      <c r="C706" t="s">
        <v>4938</v>
      </c>
      <c r="D706" s="4">
        <v>43190</v>
      </c>
      <c r="E706" t="s">
        <v>2156</v>
      </c>
      <c r="F706" t="s">
        <v>1001</v>
      </c>
      <c r="G706">
        <v>8604</v>
      </c>
      <c r="H706">
        <v>0.63</v>
      </c>
      <c r="I706">
        <v>20.03</v>
      </c>
      <c r="J706">
        <v>3.18</v>
      </c>
      <c r="K706" t="s">
        <v>2273</v>
      </c>
      <c r="L706">
        <v>11.43</v>
      </c>
      <c r="M706" t="s">
        <v>1229</v>
      </c>
      <c r="N706" t="s">
        <v>4939</v>
      </c>
      <c r="O706" t="s">
        <v>1768</v>
      </c>
      <c r="P706" t="s">
        <v>597</v>
      </c>
      <c r="Q706">
        <v>26.31</v>
      </c>
      <c r="R706" t="s">
        <v>4940</v>
      </c>
      <c r="S706">
        <v>15.16</v>
      </c>
      <c r="T706">
        <v>64.37</v>
      </c>
      <c r="U706" t="s">
        <v>1146</v>
      </c>
      <c r="V706" t="s">
        <v>689</v>
      </c>
      <c r="W706" t="s">
        <v>2238</v>
      </c>
      <c r="X706">
        <v>3.18</v>
      </c>
      <c r="Y706" t="s">
        <v>553</v>
      </c>
      <c r="Z706" t="s">
        <v>893</v>
      </c>
      <c r="AA706" t="s">
        <v>126</v>
      </c>
      <c r="AB706">
        <v>3.13</v>
      </c>
      <c r="AC706" t="s">
        <v>558</v>
      </c>
      <c r="AD706">
        <v>68.569999999999993</v>
      </c>
      <c r="AE706" t="s">
        <v>304</v>
      </c>
      <c r="AF706">
        <v>3.1</v>
      </c>
      <c r="AG706">
        <v>0</v>
      </c>
      <c r="AH706" t="s">
        <v>905</v>
      </c>
      <c r="AI706" s="4">
        <v>34270</v>
      </c>
    </row>
    <row r="707" spans="1:35">
      <c r="A707">
        <v>706</v>
      </c>
      <c r="B707" t="str">
        <f>"000062"</f>
        <v>000062</v>
      </c>
      <c r="C707" t="s">
        <v>4941</v>
      </c>
      <c r="D707" s="4">
        <v>43190</v>
      </c>
      <c r="E707" t="s">
        <v>4404</v>
      </c>
      <c r="F707" t="s">
        <v>1117</v>
      </c>
      <c r="G707" t="s">
        <v>2597</v>
      </c>
      <c r="H707">
        <v>0.19</v>
      </c>
      <c r="I707">
        <v>5.6</v>
      </c>
      <c r="J707">
        <v>3.18</v>
      </c>
      <c r="K707" t="s">
        <v>514</v>
      </c>
      <c r="L707">
        <v>69.61</v>
      </c>
      <c r="M707" t="s">
        <v>200</v>
      </c>
      <c r="N707" t="s">
        <v>4942</v>
      </c>
      <c r="O707" t="s">
        <v>1624</v>
      </c>
      <c r="P707" t="s">
        <v>1370</v>
      </c>
      <c r="Q707">
        <v>72.17</v>
      </c>
      <c r="R707" t="s">
        <v>1704</v>
      </c>
      <c r="S707">
        <v>2.95</v>
      </c>
      <c r="T707">
        <v>16.3</v>
      </c>
      <c r="U707" t="s">
        <v>2641</v>
      </c>
      <c r="V707" t="s">
        <v>553</v>
      </c>
      <c r="W707" t="s">
        <v>1791</v>
      </c>
      <c r="X707">
        <v>3.18</v>
      </c>
      <c r="Y707" t="s">
        <v>447</v>
      </c>
      <c r="Z707" t="s">
        <v>1054</v>
      </c>
      <c r="AA707" t="s">
        <v>523</v>
      </c>
      <c r="AB707">
        <v>3.67</v>
      </c>
      <c r="AC707" t="s">
        <v>1669</v>
      </c>
      <c r="AD707">
        <v>50.56</v>
      </c>
      <c r="AE707" t="s">
        <v>59</v>
      </c>
      <c r="AF707">
        <v>1.35</v>
      </c>
      <c r="AG707">
        <v>0</v>
      </c>
      <c r="AH707">
        <v>0</v>
      </c>
      <c r="AI707" s="4">
        <v>35460</v>
      </c>
    </row>
    <row r="708" spans="1:35">
      <c r="A708">
        <v>707</v>
      </c>
      <c r="B708" t="str">
        <f>"603367"</f>
        <v>603367</v>
      </c>
      <c r="C708" t="s">
        <v>4943</v>
      </c>
      <c r="D708" s="4">
        <v>43190</v>
      </c>
      <c r="E708" t="s">
        <v>645</v>
      </c>
      <c r="F708" t="s">
        <v>2307</v>
      </c>
      <c r="G708">
        <v>2609</v>
      </c>
      <c r="H708">
        <v>0.26</v>
      </c>
      <c r="I708">
        <v>8.33</v>
      </c>
      <c r="J708">
        <v>3.17</v>
      </c>
      <c r="K708" t="s">
        <v>4224</v>
      </c>
      <c r="L708">
        <v>73.260000000000005</v>
      </c>
      <c r="M708" t="s">
        <v>1016</v>
      </c>
      <c r="N708" t="s">
        <v>4944</v>
      </c>
      <c r="O708" t="s">
        <v>1724</v>
      </c>
      <c r="P708" t="s">
        <v>280</v>
      </c>
      <c r="Q708">
        <v>134.01</v>
      </c>
      <c r="R708" t="s">
        <v>924</v>
      </c>
      <c r="S708">
        <v>2.8</v>
      </c>
      <c r="T708">
        <v>55.58</v>
      </c>
      <c r="U708" t="s">
        <v>3605</v>
      </c>
      <c r="V708" t="s">
        <v>461</v>
      </c>
      <c r="W708" t="s">
        <v>147</v>
      </c>
      <c r="X708">
        <v>3.17</v>
      </c>
      <c r="Y708" t="s">
        <v>521</v>
      </c>
      <c r="Z708" t="s">
        <v>2767</v>
      </c>
      <c r="AA708" t="s">
        <v>4945</v>
      </c>
      <c r="AB708">
        <v>2.68</v>
      </c>
      <c r="AC708" t="s">
        <v>1781</v>
      </c>
      <c r="AD708">
        <v>78.39</v>
      </c>
      <c r="AE708" t="s">
        <v>187</v>
      </c>
      <c r="AF708">
        <v>4.1500000000000004</v>
      </c>
      <c r="AG708">
        <v>0</v>
      </c>
      <c r="AH708">
        <v>0</v>
      </c>
      <c r="AI708" s="4">
        <v>43007</v>
      </c>
    </row>
    <row r="709" spans="1:35">
      <c r="A709">
        <v>708</v>
      </c>
      <c r="B709" t="str">
        <f>"603358"</f>
        <v>603358</v>
      </c>
      <c r="C709" t="s">
        <v>4946</v>
      </c>
      <c r="D709" s="4">
        <v>43190</v>
      </c>
      <c r="E709" t="s">
        <v>509</v>
      </c>
      <c r="F709" t="s">
        <v>4947</v>
      </c>
      <c r="G709">
        <v>3879</v>
      </c>
      <c r="H709">
        <v>0.36</v>
      </c>
      <c r="I709">
        <v>11.18</v>
      </c>
      <c r="J709">
        <v>3.17</v>
      </c>
      <c r="K709" t="s">
        <v>1162</v>
      </c>
      <c r="L709">
        <v>33.270000000000003</v>
      </c>
      <c r="M709" t="s">
        <v>4948</v>
      </c>
      <c r="N709" t="s">
        <v>4949</v>
      </c>
      <c r="O709" t="s">
        <v>4950</v>
      </c>
      <c r="P709" t="s">
        <v>4951</v>
      </c>
      <c r="Q709">
        <v>5.21</v>
      </c>
      <c r="R709" t="s">
        <v>4952</v>
      </c>
      <c r="S709">
        <v>3.3</v>
      </c>
      <c r="T709">
        <v>21.83</v>
      </c>
      <c r="U709" t="s">
        <v>1031</v>
      </c>
      <c r="V709" t="s">
        <v>725</v>
      </c>
      <c r="W709" t="s">
        <v>4953</v>
      </c>
      <c r="X709">
        <v>3.17</v>
      </c>
      <c r="Y709" t="s">
        <v>176</v>
      </c>
      <c r="Z709" t="s">
        <v>971</v>
      </c>
      <c r="AA709" t="s">
        <v>4954</v>
      </c>
      <c r="AB709">
        <v>1.8</v>
      </c>
      <c r="AC709" t="s">
        <v>1832</v>
      </c>
      <c r="AD709">
        <v>65.47</v>
      </c>
      <c r="AE709" t="s">
        <v>391</v>
      </c>
      <c r="AF709">
        <v>6.53</v>
      </c>
      <c r="AG709">
        <v>0</v>
      </c>
      <c r="AH709">
        <v>0</v>
      </c>
      <c r="AI709" s="4">
        <v>42760</v>
      </c>
    </row>
    <row r="710" spans="1:35">
      <c r="A710">
        <v>709</v>
      </c>
      <c r="B710" t="str">
        <f>"600093"</f>
        <v>600093</v>
      </c>
      <c r="C710" t="s">
        <v>4955</v>
      </c>
      <c r="D710" s="4">
        <v>43190</v>
      </c>
      <c r="E710" t="s">
        <v>147</v>
      </c>
      <c r="F710" t="s">
        <v>1320</v>
      </c>
      <c r="G710">
        <v>6545</v>
      </c>
      <c r="H710">
        <v>0.19</v>
      </c>
      <c r="I710">
        <v>6.14</v>
      </c>
      <c r="J710">
        <v>3.17</v>
      </c>
      <c r="K710" t="s">
        <v>783</v>
      </c>
      <c r="L710">
        <v>59.48</v>
      </c>
      <c r="M710" t="s">
        <v>1732</v>
      </c>
      <c r="N710" t="s">
        <v>4956</v>
      </c>
      <c r="O710" t="s">
        <v>1664</v>
      </c>
      <c r="P710" t="s">
        <v>1364</v>
      </c>
      <c r="Q710">
        <v>12.31</v>
      </c>
      <c r="R710" t="s">
        <v>983</v>
      </c>
      <c r="S710">
        <v>1.41</v>
      </c>
      <c r="T710">
        <v>6.24</v>
      </c>
      <c r="U710" t="s">
        <v>1753</v>
      </c>
      <c r="V710" t="s">
        <v>1279</v>
      </c>
      <c r="W710" t="s">
        <v>2204</v>
      </c>
      <c r="X710">
        <v>3.17</v>
      </c>
      <c r="Y710" t="s">
        <v>2942</v>
      </c>
      <c r="Z710" t="s">
        <v>111</v>
      </c>
      <c r="AA710" t="s">
        <v>833</v>
      </c>
      <c r="AB710">
        <v>1.61</v>
      </c>
      <c r="AC710" t="s">
        <v>951</v>
      </c>
      <c r="AD710">
        <v>48.68</v>
      </c>
      <c r="AE710" t="s">
        <v>1305</v>
      </c>
      <c r="AF710">
        <v>3.6</v>
      </c>
      <c r="AG710">
        <v>0</v>
      </c>
      <c r="AH710">
        <v>0</v>
      </c>
      <c r="AI710" s="4">
        <v>35607</v>
      </c>
    </row>
    <row r="711" spans="1:35">
      <c r="A711">
        <v>710</v>
      </c>
      <c r="B711" t="str">
        <f>"600131"</f>
        <v>600131</v>
      </c>
      <c r="C711" t="s">
        <v>4957</v>
      </c>
      <c r="D711" s="4">
        <v>43190</v>
      </c>
      <c r="E711" t="s">
        <v>1018</v>
      </c>
      <c r="F711" t="s">
        <v>2915</v>
      </c>
      <c r="G711">
        <v>8506</v>
      </c>
      <c r="H711">
        <v>7.0000000000000007E-2</v>
      </c>
      <c r="I711">
        <v>2.31</v>
      </c>
      <c r="J711">
        <v>3.16</v>
      </c>
      <c r="K711" t="s">
        <v>2733</v>
      </c>
      <c r="L711">
        <v>44.26</v>
      </c>
      <c r="M711" t="s">
        <v>4958</v>
      </c>
      <c r="N711" t="s">
        <v>4959</v>
      </c>
      <c r="O711" t="s">
        <v>4960</v>
      </c>
      <c r="P711" t="s">
        <v>4961</v>
      </c>
      <c r="Q711">
        <v>1359.16</v>
      </c>
      <c r="R711" t="s">
        <v>806</v>
      </c>
      <c r="S711">
        <v>0.79</v>
      </c>
      <c r="T711">
        <v>13.93</v>
      </c>
      <c r="U711" t="s">
        <v>1213</v>
      </c>
      <c r="V711" t="s">
        <v>319</v>
      </c>
      <c r="W711" t="s">
        <v>1384</v>
      </c>
      <c r="X711">
        <v>3.16</v>
      </c>
      <c r="Y711" t="s">
        <v>405</v>
      </c>
      <c r="Z711" t="s">
        <v>4962</v>
      </c>
      <c r="AA711" t="s">
        <v>488</v>
      </c>
      <c r="AB711">
        <v>2.2999999999999998</v>
      </c>
      <c r="AC711" t="s">
        <v>1033</v>
      </c>
      <c r="AD711">
        <v>49.36</v>
      </c>
      <c r="AE711" t="s">
        <v>4963</v>
      </c>
      <c r="AF711">
        <v>0.19</v>
      </c>
      <c r="AG711">
        <v>0</v>
      </c>
      <c r="AH711">
        <v>0</v>
      </c>
      <c r="AI711" s="4">
        <v>35887</v>
      </c>
    </row>
    <row r="712" spans="1:35">
      <c r="A712">
        <v>711</v>
      </c>
      <c r="B712" t="str">
        <f>"300549"</f>
        <v>300549</v>
      </c>
      <c r="C712" t="s">
        <v>4964</v>
      </c>
      <c r="D712" s="4">
        <v>43190</v>
      </c>
      <c r="E712" t="s">
        <v>45</v>
      </c>
      <c r="F712" t="s">
        <v>4965</v>
      </c>
      <c r="G712">
        <v>5052</v>
      </c>
      <c r="H712">
        <v>0.12</v>
      </c>
      <c r="I712">
        <v>3.61</v>
      </c>
      <c r="J712">
        <v>3.16</v>
      </c>
      <c r="K712" t="s">
        <v>4966</v>
      </c>
      <c r="L712">
        <v>-17.010000000000002</v>
      </c>
      <c r="M712" t="s">
        <v>4967</v>
      </c>
      <c r="N712" t="s">
        <v>4968</v>
      </c>
      <c r="O712" t="s">
        <v>4969</v>
      </c>
      <c r="P712" t="s">
        <v>4970</v>
      </c>
      <c r="Q712">
        <v>-16.989999999999998</v>
      </c>
      <c r="R712" t="s">
        <v>1839</v>
      </c>
      <c r="S712">
        <v>1.1000000000000001</v>
      </c>
      <c r="T712">
        <v>34.869999999999997</v>
      </c>
      <c r="U712" t="s">
        <v>3716</v>
      </c>
      <c r="V712" t="s">
        <v>633</v>
      </c>
      <c r="W712" t="s">
        <v>4971</v>
      </c>
      <c r="X712">
        <v>3.16</v>
      </c>
      <c r="Y712" t="s">
        <v>1287</v>
      </c>
      <c r="Z712" t="s">
        <v>1264</v>
      </c>
      <c r="AA712" t="s">
        <v>4972</v>
      </c>
      <c r="AB712">
        <v>5.01</v>
      </c>
      <c r="AC712" t="s">
        <v>944</v>
      </c>
      <c r="AD712">
        <v>70.48</v>
      </c>
      <c r="AE712" t="s">
        <v>1200</v>
      </c>
      <c r="AF712">
        <v>1.3</v>
      </c>
      <c r="AG712">
        <v>0</v>
      </c>
      <c r="AH712">
        <v>0</v>
      </c>
      <c r="AI712" s="4">
        <v>42643</v>
      </c>
    </row>
    <row r="713" spans="1:35">
      <c r="A713">
        <v>712</v>
      </c>
      <c r="B713" t="str">
        <f>"002882"</f>
        <v>002882</v>
      </c>
      <c r="C713" t="s">
        <v>4973</v>
      </c>
      <c r="D713" s="4">
        <v>43190</v>
      </c>
      <c r="E713" t="s">
        <v>599</v>
      </c>
      <c r="F713" t="s">
        <v>2575</v>
      </c>
      <c r="G713">
        <v>2482</v>
      </c>
      <c r="H713">
        <v>0.1</v>
      </c>
      <c r="I713">
        <v>3.27</v>
      </c>
      <c r="J713">
        <v>3.16</v>
      </c>
      <c r="K713" t="s">
        <v>1450</v>
      </c>
      <c r="L713">
        <v>54.04</v>
      </c>
      <c r="M713" t="s">
        <v>4974</v>
      </c>
      <c r="N713" t="s">
        <v>3581</v>
      </c>
      <c r="O713" t="s">
        <v>4975</v>
      </c>
      <c r="P713" t="s">
        <v>4976</v>
      </c>
      <c r="Q713">
        <v>110.5</v>
      </c>
      <c r="R713" t="s">
        <v>2468</v>
      </c>
      <c r="S713">
        <v>0.83</v>
      </c>
      <c r="T713">
        <v>16.190000000000001</v>
      </c>
      <c r="U713" t="s">
        <v>867</v>
      </c>
      <c r="V713" t="s">
        <v>80</v>
      </c>
      <c r="W713" t="s">
        <v>255</v>
      </c>
      <c r="X713">
        <v>3.16</v>
      </c>
      <c r="Y713" t="s">
        <v>342</v>
      </c>
      <c r="Z713" t="s">
        <v>145</v>
      </c>
      <c r="AA713" t="s">
        <v>4977</v>
      </c>
      <c r="AB713">
        <v>3.65</v>
      </c>
      <c r="AC713" t="s">
        <v>162</v>
      </c>
      <c r="AD713">
        <v>82.44</v>
      </c>
      <c r="AE713" t="s">
        <v>1002</v>
      </c>
      <c r="AF713">
        <v>1.32</v>
      </c>
      <c r="AG713">
        <v>0</v>
      </c>
      <c r="AH713">
        <v>0</v>
      </c>
      <c r="AI713" s="4">
        <v>42933</v>
      </c>
    </row>
    <row r="714" spans="1:35">
      <c r="A714">
        <v>713</v>
      </c>
      <c r="B714" t="str">
        <f>"002553"</f>
        <v>002553</v>
      </c>
      <c r="C714" t="s">
        <v>4978</v>
      </c>
      <c r="D714" s="4">
        <v>43190</v>
      </c>
      <c r="E714" t="s">
        <v>1378</v>
      </c>
      <c r="F714" t="s">
        <v>682</v>
      </c>
      <c r="G714" t="s">
        <v>708</v>
      </c>
      <c r="H714">
        <v>0.06</v>
      </c>
      <c r="I714">
        <v>1.88</v>
      </c>
      <c r="J714">
        <v>3.16</v>
      </c>
      <c r="K714" t="s">
        <v>4979</v>
      </c>
      <c r="L714">
        <v>8.82</v>
      </c>
      <c r="M714" t="s">
        <v>4980</v>
      </c>
      <c r="N714" t="s">
        <v>4981</v>
      </c>
      <c r="O714" t="s">
        <v>4982</v>
      </c>
      <c r="P714" t="s">
        <v>4983</v>
      </c>
      <c r="Q714">
        <v>-1.35</v>
      </c>
      <c r="R714" t="s">
        <v>1977</v>
      </c>
      <c r="S714">
        <v>0.56999999999999995</v>
      </c>
      <c r="T714">
        <v>38.51</v>
      </c>
      <c r="U714" t="s">
        <v>1644</v>
      </c>
      <c r="V714" t="s">
        <v>2222</v>
      </c>
      <c r="W714" t="s">
        <v>863</v>
      </c>
      <c r="X714">
        <v>3.16</v>
      </c>
      <c r="Y714" t="s">
        <v>4984</v>
      </c>
      <c r="Z714" t="s">
        <v>4985</v>
      </c>
      <c r="AA714" t="s">
        <v>1848</v>
      </c>
      <c r="AB714">
        <v>3.45</v>
      </c>
      <c r="AC714" t="s">
        <v>201</v>
      </c>
      <c r="AD714">
        <v>89.28</v>
      </c>
      <c r="AE714" t="s">
        <v>4986</v>
      </c>
      <c r="AF714">
        <v>0.16</v>
      </c>
      <c r="AG714">
        <v>0</v>
      </c>
      <c r="AH714">
        <v>0</v>
      </c>
      <c r="AI714" s="4">
        <v>40599</v>
      </c>
    </row>
    <row r="715" spans="1:35">
      <c r="A715">
        <v>714</v>
      </c>
      <c r="B715" t="str">
        <f>"002116"</f>
        <v>002116</v>
      </c>
      <c r="C715" t="s">
        <v>4987</v>
      </c>
      <c r="D715" s="4">
        <v>43190</v>
      </c>
      <c r="E715" t="s">
        <v>1794</v>
      </c>
      <c r="F715" t="s">
        <v>104</v>
      </c>
      <c r="G715" t="s">
        <v>4988</v>
      </c>
      <c r="H715">
        <v>0.1</v>
      </c>
      <c r="I715">
        <v>3.05</v>
      </c>
      <c r="J715">
        <v>3.16</v>
      </c>
      <c r="K715" t="s">
        <v>2414</v>
      </c>
      <c r="L715">
        <v>-3.18</v>
      </c>
      <c r="M715" t="s">
        <v>4989</v>
      </c>
      <c r="N715" t="s">
        <v>4990</v>
      </c>
      <c r="O715" t="s">
        <v>2160</v>
      </c>
      <c r="P715" t="s">
        <v>4991</v>
      </c>
      <c r="Q715">
        <v>-2.62</v>
      </c>
      <c r="R715" t="s">
        <v>1671</v>
      </c>
      <c r="S715">
        <v>1.4</v>
      </c>
      <c r="T715">
        <v>10.99</v>
      </c>
      <c r="U715" t="s">
        <v>1803</v>
      </c>
      <c r="V715" t="s">
        <v>2498</v>
      </c>
      <c r="W715" t="s">
        <v>1489</v>
      </c>
      <c r="X715">
        <v>3.16</v>
      </c>
      <c r="Y715" t="s">
        <v>1347</v>
      </c>
      <c r="Z715" t="s">
        <v>1294</v>
      </c>
      <c r="AA715" t="s">
        <v>4992</v>
      </c>
      <c r="AB715">
        <v>2.2599999999999998</v>
      </c>
      <c r="AC715" t="s">
        <v>971</v>
      </c>
      <c r="AD715">
        <v>35.11</v>
      </c>
      <c r="AE715" t="s">
        <v>4993</v>
      </c>
      <c r="AF715">
        <v>0.23</v>
      </c>
      <c r="AG715">
        <v>0</v>
      </c>
      <c r="AH715">
        <v>0</v>
      </c>
      <c r="AI715" s="4">
        <v>39128</v>
      </c>
    </row>
    <row r="716" spans="1:35">
      <c r="A716">
        <v>715</v>
      </c>
      <c r="B716" t="str">
        <f>"002091"</f>
        <v>002091</v>
      </c>
      <c r="C716" t="s">
        <v>4994</v>
      </c>
      <c r="D716" s="4">
        <v>43190</v>
      </c>
      <c r="E716" t="s">
        <v>1367</v>
      </c>
      <c r="F716" t="s">
        <v>2705</v>
      </c>
      <c r="G716" t="s">
        <v>1838</v>
      </c>
      <c r="H716">
        <v>0.14000000000000001</v>
      </c>
      <c r="I716">
        <v>4.6399999999999997</v>
      </c>
      <c r="J716">
        <v>3.16</v>
      </c>
      <c r="K716" t="s">
        <v>4182</v>
      </c>
      <c r="L716">
        <v>5.86</v>
      </c>
      <c r="M716" t="s">
        <v>1941</v>
      </c>
      <c r="N716" t="s">
        <v>1157</v>
      </c>
      <c r="O716" t="s">
        <v>1779</v>
      </c>
      <c r="P716" t="s">
        <v>986</v>
      </c>
      <c r="Q716">
        <v>48.06</v>
      </c>
      <c r="R716" t="s">
        <v>514</v>
      </c>
      <c r="S716">
        <v>1.35</v>
      </c>
      <c r="T716">
        <v>7.67</v>
      </c>
      <c r="U716" t="s">
        <v>4462</v>
      </c>
      <c r="V716" t="s">
        <v>788</v>
      </c>
      <c r="W716" t="s">
        <v>646</v>
      </c>
      <c r="X716">
        <v>3.16</v>
      </c>
      <c r="Y716" t="s">
        <v>4995</v>
      </c>
      <c r="Z716" t="s">
        <v>4996</v>
      </c>
      <c r="AA716" t="s">
        <v>1360</v>
      </c>
      <c r="AB716">
        <v>1.33</v>
      </c>
      <c r="AC716" t="s">
        <v>4997</v>
      </c>
      <c r="AD716">
        <v>39.18</v>
      </c>
      <c r="AE716" t="s">
        <v>2700</v>
      </c>
      <c r="AF716">
        <v>2.0699999999999998</v>
      </c>
      <c r="AG716">
        <v>0</v>
      </c>
      <c r="AH716">
        <v>0</v>
      </c>
      <c r="AI716" s="4">
        <v>39059</v>
      </c>
    </row>
    <row r="717" spans="1:35">
      <c r="A717">
        <v>716</v>
      </c>
      <c r="B717" t="str">
        <f>"603958"</f>
        <v>603958</v>
      </c>
      <c r="C717" t="s">
        <v>4998</v>
      </c>
      <c r="D717" s="4">
        <v>43190</v>
      </c>
      <c r="E717" t="s">
        <v>1004</v>
      </c>
      <c r="F717" t="s">
        <v>4999</v>
      </c>
      <c r="G717">
        <v>2962</v>
      </c>
      <c r="H717">
        <v>0.16</v>
      </c>
      <c r="I717">
        <v>5.14</v>
      </c>
      <c r="J717">
        <v>3.15</v>
      </c>
      <c r="K717" t="s">
        <v>2915</v>
      </c>
      <c r="L717">
        <v>-3.8</v>
      </c>
      <c r="M717" t="s">
        <v>5000</v>
      </c>
      <c r="N717" t="s">
        <v>5001</v>
      </c>
      <c r="O717" t="s">
        <v>5002</v>
      </c>
      <c r="P717" t="s">
        <v>213</v>
      </c>
      <c r="Q717">
        <v>-4.4000000000000004</v>
      </c>
      <c r="R717" t="s">
        <v>1317</v>
      </c>
      <c r="S717">
        <v>1.68</v>
      </c>
      <c r="T717">
        <v>54.93</v>
      </c>
      <c r="U717" t="s">
        <v>263</v>
      </c>
      <c r="V717" t="s">
        <v>982</v>
      </c>
      <c r="W717" t="s">
        <v>2360</v>
      </c>
      <c r="X717">
        <v>3.15</v>
      </c>
      <c r="Y717" t="s">
        <v>122</v>
      </c>
      <c r="Z717" t="s">
        <v>2387</v>
      </c>
      <c r="AA717" t="s">
        <v>5003</v>
      </c>
      <c r="AB717">
        <v>1.87</v>
      </c>
      <c r="AC717" t="s">
        <v>192</v>
      </c>
      <c r="AD717">
        <v>80.739999999999995</v>
      </c>
      <c r="AE717" t="s">
        <v>2112</v>
      </c>
      <c r="AF717">
        <v>2.17</v>
      </c>
      <c r="AG717">
        <v>0</v>
      </c>
      <c r="AH717">
        <v>0</v>
      </c>
      <c r="AI717" s="4">
        <v>42550</v>
      </c>
    </row>
    <row r="718" spans="1:35">
      <c r="A718">
        <v>717</v>
      </c>
      <c r="B718" t="str">
        <f>"603345"</f>
        <v>603345</v>
      </c>
      <c r="C718" t="s">
        <v>5004</v>
      </c>
      <c r="D718" s="4">
        <v>43190</v>
      </c>
      <c r="E718" t="s">
        <v>1287</v>
      </c>
      <c r="F718" t="s">
        <v>2360</v>
      </c>
      <c r="G718">
        <v>7869</v>
      </c>
      <c r="H718">
        <v>0.25</v>
      </c>
      <c r="I718">
        <v>7.81</v>
      </c>
      <c r="J718">
        <v>3.15</v>
      </c>
      <c r="K718" t="s">
        <v>3839</v>
      </c>
      <c r="L718">
        <v>18.93</v>
      </c>
      <c r="M718" t="s">
        <v>5005</v>
      </c>
      <c r="N718" t="s">
        <v>5006</v>
      </c>
      <c r="O718" t="s">
        <v>5007</v>
      </c>
      <c r="P718" t="s">
        <v>5008</v>
      </c>
      <c r="Q718">
        <v>20.53</v>
      </c>
      <c r="R718" t="s">
        <v>1835</v>
      </c>
      <c r="S718">
        <v>3.8</v>
      </c>
      <c r="T718">
        <v>26.95</v>
      </c>
      <c r="U718" t="s">
        <v>2901</v>
      </c>
      <c r="V718" t="s">
        <v>275</v>
      </c>
      <c r="W718" t="s">
        <v>613</v>
      </c>
      <c r="X718">
        <v>3.15</v>
      </c>
      <c r="Y718" t="s">
        <v>646</v>
      </c>
      <c r="Z718" t="s">
        <v>1052</v>
      </c>
      <c r="AA718" t="s">
        <v>5009</v>
      </c>
      <c r="AB718">
        <v>4</v>
      </c>
      <c r="AC718" t="s">
        <v>1343</v>
      </c>
      <c r="AD718">
        <v>50.47</v>
      </c>
      <c r="AE718" t="s">
        <v>1157</v>
      </c>
      <c r="AF718">
        <v>2.75</v>
      </c>
      <c r="AG718">
        <v>0</v>
      </c>
      <c r="AH718">
        <v>0</v>
      </c>
      <c r="AI718" s="4">
        <v>42788</v>
      </c>
    </row>
    <row r="719" spans="1:35">
      <c r="A719">
        <v>718</v>
      </c>
      <c r="B719" t="str">
        <f>"603939"</f>
        <v>603939</v>
      </c>
      <c r="C719" t="s">
        <v>5010</v>
      </c>
      <c r="D719" s="4">
        <v>43190</v>
      </c>
      <c r="E719" t="s">
        <v>2029</v>
      </c>
      <c r="F719" t="s">
        <v>2029</v>
      </c>
      <c r="G719" t="s">
        <v>5011</v>
      </c>
      <c r="H719">
        <v>0.28000000000000003</v>
      </c>
      <c r="I719">
        <v>8.7100000000000009</v>
      </c>
      <c r="J719">
        <v>3.14</v>
      </c>
      <c r="K719" t="s">
        <v>141</v>
      </c>
      <c r="L719">
        <v>37.409999999999997</v>
      </c>
      <c r="M719" t="s">
        <v>1016</v>
      </c>
      <c r="N719" t="s">
        <v>4566</v>
      </c>
      <c r="O719" t="s">
        <v>1724</v>
      </c>
      <c r="P719" t="s">
        <v>651</v>
      </c>
      <c r="Q719">
        <v>45.57</v>
      </c>
      <c r="R719" t="s">
        <v>4790</v>
      </c>
      <c r="S719">
        <v>2.0299999999999998</v>
      </c>
      <c r="T719">
        <v>40.119999999999997</v>
      </c>
      <c r="U719" t="s">
        <v>3217</v>
      </c>
      <c r="V719" t="s">
        <v>612</v>
      </c>
      <c r="W719" t="s">
        <v>167</v>
      </c>
      <c r="X719">
        <v>3.14</v>
      </c>
      <c r="Y719" t="s">
        <v>1455</v>
      </c>
      <c r="Z719" t="s">
        <v>1126</v>
      </c>
      <c r="AA719" t="s">
        <v>1772</v>
      </c>
      <c r="AB719">
        <v>6.86</v>
      </c>
      <c r="AC719" t="s">
        <v>273</v>
      </c>
      <c r="AD719">
        <v>63.99</v>
      </c>
      <c r="AE719" t="s">
        <v>1255</v>
      </c>
      <c r="AF719">
        <v>5.53</v>
      </c>
      <c r="AG719">
        <v>0</v>
      </c>
      <c r="AH719">
        <v>0</v>
      </c>
      <c r="AI719" s="4">
        <v>42052</v>
      </c>
    </row>
    <row r="720" spans="1:35">
      <c r="A720">
        <v>719</v>
      </c>
      <c r="B720" t="str">
        <f>"603283"</f>
        <v>603283</v>
      </c>
      <c r="C720" t="s">
        <v>5012</v>
      </c>
      <c r="D720" s="4">
        <v>43190</v>
      </c>
      <c r="E720" t="s">
        <v>552</v>
      </c>
      <c r="F720" t="s">
        <v>4429</v>
      </c>
      <c r="G720">
        <v>2675</v>
      </c>
      <c r="H720">
        <v>0.12</v>
      </c>
      <c r="I720">
        <v>4.08</v>
      </c>
      <c r="J720">
        <v>3.14</v>
      </c>
      <c r="K720" t="s">
        <v>844</v>
      </c>
      <c r="L720">
        <v>436.3</v>
      </c>
      <c r="M720" t="s">
        <v>5013</v>
      </c>
      <c r="N720" t="s">
        <v>5014</v>
      </c>
      <c r="O720" t="s">
        <v>5015</v>
      </c>
      <c r="P720" t="s">
        <v>5016</v>
      </c>
      <c r="Q720">
        <v>230.29</v>
      </c>
      <c r="R720" t="s">
        <v>1853</v>
      </c>
      <c r="S720">
        <v>1.07</v>
      </c>
      <c r="T720">
        <v>41.67</v>
      </c>
      <c r="U720" t="s">
        <v>960</v>
      </c>
      <c r="V720" t="s">
        <v>1957</v>
      </c>
      <c r="W720" t="s">
        <v>3845</v>
      </c>
      <c r="X720">
        <v>3.14</v>
      </c>
      <c r="Y720" t="s">
        <v>1621</v>
      </c>
      <c r="Z720" t="s">
        <v>828</v>
      </c>
      <c r="AA720" t="s">
        <v>5017</v>
      </c>
      <c r="AB720">
        <v>7.19</v>
      </c>
      <c r="AC720" t="s">
        <v>846</v>
      </c>
      <c r="AD720">
        <v>68.61</v>
      </c>
      <c r="AE720" t="s">
        <v>2387</v>
      </c>
      <c r="AF720">
        <v>1.84</v>
      </c>
      <c r="AG720">
        <v>0</v>
      </c>
      <c r="AH720">
        <v>0</v>
      </c>
      <c r="AI720" s="4">
        <v>43094</v>
      </c>
    </row>
    <row r="721" spans="1:35">
      <c r="A721">
        <v>720</v>
      </c>
      <c r="B721" t="str">
        <f>"603766"</f>
        <v>603766</v>
      </c>
      <c r="C721" t="s">
        <v>5018</v>
      </c>
      <c r="D721" s="4">
        <v>43190</v>
      </c>
      <c r="E721" t="s">
        <v>576</v>
      </c>
      <c r="F721" t="s">
        <v>159</v>
      </c>
      <c r="G721" t="s">
        <v>5019</v>
      </c>
      <c r="H721">
        <v>0.1</v>
      </c>
      <c r="I721">
        <v>2.9</v>
      </c>
      <c r="J721">
        <v>3.13</v>
      </c>
      <c r="K721" t="s">
        <v>1348</v>
      </c>
      <c r="L721">
        <v>6.59</v>
      </c>
      <c r="M721" t="s">
        <v>1995</v>
      </c>
      <c r="N721" t="s">
        <v>3700</v>
      </c>
      <c r="O721" t="s">
        <v>1049</v>
      </c>
      <c r="P721" t="s">
        <v>862</v>
      </c>
      <c r="Q721">
        <v>-8.74</v>
      </c>
      <c r="R721" t="s">
        <v>4052</v>
      </c>
      <c r="S721">
        <v>1.5</v>
      </c>
      <c r="T721">
        <v>18.46</v>
      </c>
      <c r="U721" t="s">
        <v>466</v>
      </c>
      <c r="V721" t="s">
        <v>4218</v>
      </c>
      <c r="W721" t="s">
        <v>710</v>
      </c>
      <c r="X721">
        <v>3.13</v>
      </c>
      <c r="Y721" t="s">
        <v>948</v>
      </c>
      <c r="Z721" t="s">
        <v>1601</v>
      </c>
      <c r="AA721" t="s">
        <v>2551</v>
      </c>
      <c r="AB721">
        <v>1.74</v>
      </c>
      <c r="AC721" t="s">
        <v>3826</v>
      </c>
      <c r="AD721">
        <v>60.31</v>
      </c>
      <c r="AE721" t="s">
        <v>2608</v>
      </c>
      <c r="AF721">
        <v>0.2</v>
      </c>
      <c r="AG721">
        <v>0</v>
      </c>
      <c r="AH721">
        <v>0</v>
      </c>
      <c r="AI721" s="4">
        <v>41131</v>
      </c>
    </row>
    <row r="722" spans="1:35">
      <c r="A722">
        <v>721</v>
      </c>
      <c r="B722" t="str">
        <f>"603338"</f>
        <v>603338</v>
      </c>
      <c r="C722" t="s">
        <v>5020</v>
      </c>
      <c r="D722" s="4">
        <v>43190</v>
      </c>
      <c r="E722" t="s">
        <v>2889</v>
      </c>
      <c r="F722" t="s">
        <v>935</v>
      </c>
      <c r="G722" t="s">
        <v>5021</v>
      </c>
      <c r="H722">
        <v>0.28000000000000003</v>
      </c>
      <c r="I722">
        <v>8.89</v>
      </c>
      <c r="J722">
        <v>3.13</v>
      </c>
      <c r="K722" t="s">
        <v>679</v>
      </c>
      <c r="L722">
        <v>23.04</v>
      </c>
      <c r="M722" t="s">
        <v>5022</v>
      </c>
      <c r="N722" t="s">
        <v>5023</v>
      </c>
      <c r="O722" t="s">
        <v>5024</v>
      </c>
      <c r="P722" t="s">
        <v>5025</v>
      </c>
      <c r="Q722">
        <v>4.38</v>
      </c>
      <c r="R722" t="s">
        <v>63</v>
      </c>
      <c r="S722">
        <v>2.81</v>
      </c>
      <c r="T722">
        <v>37.49</v>
      </c>
      <c r="U722" t="s">
        <v>1546</v>
      </c>
      <c r="V722" t="s">
        <v>3356</v>
      </c>
      <c r="W722" t="s">
        <v>1004</v>
      </c>
      <c r="X722">
        <v>3.13</v>
      </c>
      <c r="Y722" t="s">
        <v>1849</v>
      </c>
      <c r="Z722" t="s">
        <v>289</v>
      </c>
      <c r="AA722" t="s">
        <v>1475</v>
      </c>
      <c r="AB722">
        <v>5.54</v>
      </c>
      <c r="AC722" t="s">
        <v>578</v>
      </c>
      <c r="AD722">
        <v>78.040000000000006</v>
      </c>
      <c r="AE722" t="s">
        <v>548</v>
      </c>
      <c r="AF722">
        <v>4.72</v>
      </c>
      <c r="AG722">
        <v>0</v>
      </c>
      <c r="AH722">
        <v>0</v>
      </c>
      <c r="AI722" s="4">
        <v>42088</v>
      </c>
    </row>
    <row r="723" spans="1:35">
      <c r="A723">
        <v>722</v>
      </c>
      <c r="B723" t="str">
        <f>"002336"</f>
        <v>002336</v>
      </c>
      <c r="C723" t="s">
        <v>5026</v>
      </c>
      <c r="D723" s="4">
        <v>43190</v>
      </c>
      <c r="E723" t="s">
        <v>150</v>
      </c>
      <c r="F723" t="s">
        <v>1578</v>
      </c>
      <c r="G723" t="s">
        <v>2312</v>
      </c>
      <c r="H723">
        <v>0.14000000000000001</v>
      </c>
      <c r="I723">
        <v>4.5599999999999996</v>
      </c>
      <c r="J723">
        <v>3.13</v>
      </c>
      <c r="K723" t="s">
        <v>1348</v>
      </c>
      <c r="L723">
        <v>-9.6300000000000008</v>
      </c>
      <c r="M723" t="s">
        <v>5027</v>
      </c>
      <c r="N723" t="s">
        <v>5028</v>
      </c>
      <c r="O723" t="s">
        <v>5029</v>
      </c>
      <c r="P723" t="s">
        <v>5030</v>
      </c>
      <c r="Q723">
        <v>1050.97</v>
      </c>
      <c r="R723" t="s">
        <v>5031</v>
      </c>
      <c r="S723">
        <v>-2.88</v>
      </c>
      <c r="T723">
        <v>25.49</v>
      </c>
      <c r="U723" t="s">
        <v>1858</v>
      </c>
      <c r="V723" t="s">
        <v>1700</v>
      </c>
      <c r="W723" t="s">
        <v>759</v>
      </c>
      <c r="X723">
        <v>3.13</v>
      </c>
      <c r="Y723" t="s">
        <v>1263</v>
      </c>
      <c r="Z723" t="s">
        <v>2028</v>
      </c>
      <c r="AA723" t="s">
        <v>1475</v>
      </c>
      <c r="AB723">
        <v>2.14</v>
      </c>
      <c r="AC723" t="s">
        <v>754</v>
      </c>
      <c r="AD723">
        <v>34.770000000000003</v>
      </c>
      <c r="AE723" t="s">
        <v>253</v>
      </c>
      <c r="AF723">
        <v>6.19</v>
      </c>
      <c r="AG723">
        <v>0</v>
      </c>
      <c r="AH723">
        <v>0</v>
      </c>
      <c r="AI723" s="4">
        <v>40191</v>
      </c>
    </row>
    <row r="724" spans="1:35">
      <c r="A724">
        <v>723</v>
      </c>
      <c r="B724" t="str">
        <f>"002042"</f>
        <v>002042</v>
      </c>
      <c r="C724" t="s">
        <v>5032</v>
      </c>
      <c r="D724" s="4">
        <v>43190</v>
      </c>
      <c r="E724" t="s">
        <v>908</v>
      </c>
      <c r="F724" t="s">
        <v>908</v>
      </c>
      <c r="G724" t="s">
        <v>5033</v>
      </c>
      <c r="H724">
        <v>0.14000000000000001</v>
      </c>
      <c r="I724">
        <v>4.32</v>
      </c>
      <c r="J724">
        <v>3.13</v>
      </c>
      <c r="K724" t="s">
        <v>570</v>
      </c>
      <c r="L724">
        <v>30.96</v>
      </c>
      <c r="M724" t="s">
        <v>203</v>
      </c>
      <c r="N724" t="s">
        <v>2734</v>
      </c>
      <c r="O724" t="s">
        <v>203</v>
      </c>
      <c r="P724" t="s">
        <v>66</v>
      </c>
      <c r="Q724">
        <v>31.88</v>
      </c>
      <c r="R724" t="s">
        <v>1546</v>
      </c>
      <c r="S724">
        <v>1.58</v>
      </c>
      <c r="T724">
        <v>11.95</v>
      </c>
      <c r="U724" t="s">
        <v>2016</v>
      </c>
      <c r="V724" t="s">
        <v>1820</v>
      </c>
      <c r="W724" t="s">
        <v>2702</v>
      </c>
      <c r="X724">
        <v>3.13</v>
      </c>
      <c r="Y724" t="s">
        <v>5034</v>
      </c>
      <c r="Z724" t="s">
        <v>1485</v>
      </c>
      <c r="AA724" t="s">
        <v>1209</v>
      </c>
      <c r="AB724">
        <v>1.68</v>
      </c>
      <c r="AC724" t="s">
        <v>3589</v>
      </c>
      <c r="AD724">
        <v>42.5</v>
      </c>
      <c r="AE724" t="s">
        <v>570</v>
      </c>
      <c r="AF724">
        <v>1.66</v>
      </c>
      <c r="AG724">
        <v>0</v>
      </c>
      <c r="AH724">
        <v>0</v>
      </c>
      <c r="AI724" s="4">
        <v>38469</v>
      </c>
    </row>
    <row r="725" spans="1:35">
      <c r="A725">
        <v>724</v>
      </c>
      <c r="B725" t="str">
        <f>"000898"</f>
        <v>000898</v>
      </c>
      <c r="C725" t="s">
        <v>5035</v>
      </c>
      <c r="D725" s="4">
        <v>43190</v>
      </c>
      <c r="E725" t="s">
        <v>885</v>
      </c>
      <c r="F725" t="s">
        <v>4683</v>
      </c>
      <c r="G725" t="s">
        <v>5036</v>
      </c>
      <c r="H725">
        <v>0.22</v>
      </c>
      <c r="I725">
        <v>7.13</v>
      </c>
      <c r="J725">
        <v>3.13</v>
      </c>
      <c r="K725" t="s">
        <v>4554</v>
      </c>
      <c r="L725">
        <v>11.06</v>
      </c>
      <c r="M725" t="s">
        <v>576</v>
      </c>
      <c r="N725" t="s">
        <v>5037</v>
      </c>
      <c r="O725" t="s">
        <v>576</v>
      </c>
      <c r="P725" t="s">
        <v>983</v>
      </c>
      <c r="Q725">
        <v>48.74</v>
      </c>
      <c r="R725" t="s">
        <v>5034</v>
      </c>
      <c r="S725">
        <v>1.27</v>
      </c>
      <c r="T725">
        <v>16.86</v>
      </c>
      <c r="U725" t="s">
        <v>5038</v>
      </c>
      <c r="V725" t="s">
        <v>3851</v>
      </c>
      <c r="W725" t="s">
        <v>5039</v>
      </c>
      <c r="X725">
        <v>3.13</v>
      </c>
      <c r="Y725" t="s">
        <v>1544</v>
      </c>
      <c r="Z725" t="s">
        <v>5040</v>
      </c>
      <c r="AA725" t="s">
        <v>956</v>
      </c>
      <c r="AB725">
        <v>0.86</v>
      </c>
      <c r="AC725" t="s">
        <v>5041</v>
      </c>
      <c r="AD725">
        <v>55.97</v>
      </c>
      <c r="AE725" t="s">
        <v>394</v>
      </c>
      <c r="AF725">
        <v>4.3600000000000003</v>
      </c>
      <c r="AG725">
        <v>0</v>
      </c>
      <c r="AH725" t="s">
        <v>1223</v>
      </c>
      <c r="AI725" s="4">
        <v>35789</v>
      </c>
    </row>
    <row r="726" spans="1:35">
      <c r="A726">
        <v>725</v>
      </c>
      <c r="B726" t="str">
        <f>"603223"</f>
        <v>603223</v>
      </c>
      <c r="C726" t="s">
        <v>5042</v>
      </c>
      <c r="D726" s="4">
        <v>43190</v>
      </c>
      <c r="E726" t="s">
        <v>1853</v>
      </c>
      <c r="F726" t="s">
        <v>443</v>
      </c>
      <c r="G726">
        <v>5724</v>
      </c>
      <c r="H726">
        <v>0.11</v>
      </c>
      <c r="I726">
        <v>5.32</v>
      </c>
      <c r="J726">
        <v>3.12</v>
      </c>
      <c r="K726" t="s">
        <v>1223</v>
      </c>
      <c r="L726">
        <v>54.63</v>
      </c>
      <c r="M726" t="s">
        <v>5043</v>
      </c>
      <c r="N726" t="s">
        <v>5044</v>
      </c>
      <c r="O726" t="s">
        <v>5045</v>
      </c>
      <c r="P726" t="s">
        <v>5046</v>
      </c>
      <c r="Q726">
        <v>35.619999999999997</v>
      </c>
      <c r="R726" t="s">
        <v>1184</v>
      </c>
      <c r="S726">
        <v>1.33</v>
      </c>
      <c r="T726">
        <v>5.95</v>
      </c>
      <c r="U726" t="s">
        <v>1569</v>
      </c>
      <c r="V726" t="s">
        <v>3117</v>
      </c>
      <c r="W726" t="s">
        <v>545</v>
      </c>
      <c r="X726">
        <v>3.12</v>
      </c>
      <c r="Y726" t="s">
        <v>1309</v>
      </c>
      <c r="Z726" t="s">
        <v>1806</v>
      </c>
      <c r="AA726" t="s">
        <v>5047</v>
      </c>
      <c r="AB726">
        <v>3.14</v>
      </c>
      <c r="AC726" t="s">
        <v>1223</v>
      </c>
      <c r="AD726">
        <v>65.02</v>
      </c>
      <c r="AE726" t="s">
        <v>448</v>
      </c>
      <c r="AF726">
        <v>2.88</v>
      </c>
      <c r="AG726">
        <v>0</v>
      </c>
      <c r="AH726">
        <v>0</v>
      </c>
      <c r="AI726" s="4">
        <v>42185</v>
      </c>
    </row>
    <row r="727" spans="1:35">
      <c r="A727">
        <v>726</v>
      </c>
      <c r="B727" t="str">
        <f>"300532"</f>
        <v>300532</v>
      </c>
      <c r="C727" t="s">
        <v>5048</v>
      </c>
      <c r="D727" s="4">
        <v>43190</v>
      </c>
      <c r="E727" t="s">
        <v>91</v>
      </c>
      <c r="F727" t="s">
        <v>280</v>
      </c>
      <c r="G727">
        <v>4489</v>
      </c>
      <c r="H727">
        <v>0.09</v>
      </c>
      <c r="I727">
        <v>2.76</v>
      </c>
      <c r="J727">
        <v>3.12</v>
      </c>
      <c r="K727" t="s">
        <v>1376</v>
      </c>
      <c r="L727">
        <v>144.46</v>
      </c>
      <c r="M727" t="s">
        <v>4263</v>
      </c>
      <c r="N727" t="s">
        <v>5049</v>
      </c>
      <c r="O727" t="s">
        <v>5050</v>
      </c>
      <c r="P727" t="s">
        <v>5051</v>
      </c>
      <c r="Q727">
        <v>149.13</v>
      </c>
      <c r="R727" t="s">
        <v>121</v>
      </c>
      <c r="S727">
        <v>0.96</v>
      </c>
      <c r="T727">
        <v>43.52</v>
      </c>
      <c r="U727" t="s">
        <v>924</v>
      </c>
      <c r="V727" t="s">
        <v>699</v>
      </c>
      <c r="W727" t="s">
        <v>5052</v>
      </c>
      <c r="X727">
        <v>3.12</v>
      </c>
      <c r="Y727" t="s">
        <v>1382</v>
      </c>
      <c r="Z727" t="s">
        <v>1645</v>
      </c>
      <c r="AA727" t="s">
        <v>5053</v>
      </c>
      <c r="AB727">
        <v>5.34</v>
      </c>
      <c r="AC727" t="s">
        <v>1978</v>
      </c>
      <c r="AD727">
        <v>60.63</v>
      </c>
      <c r="AE727" t="s">
        <v>2807</v>
      </c>
      <c r="AF727">
        <v>0.82</v>
      </c>
      <c r="AG727">
        <v>0</v>
      </c>
      <c r="AH727">
        <v>0</v>
      </c>
      <c r="AI727" s="4">
        <v>42600</v>
      </c>
    </row>
    <row r="728" spans="1:35">
      <c r="A728">
        <v>727</v>
      </c>
      <c r="B728" t="str">
        <f>"300427"</f>
        <v>300427</v>
      </c>
      <c r="C728" t="s">
        <v>5054</v>
      </c>
      <c r="D728" s="4">
        <v>43190</v>
      </c>
      <c r="E728" t="s">
        <v>1001</v>
      </c>
      <c r="F728" t="s">
        <v>443</v>
      </c>
      <c r="G728">
        <v>6753</v>
      </c>
      <c r="H728">
        <v>0.17</v>
      </c>
      <c r="I728">
        <v>5.41</v>
      </c>
      <c r="J728">
        <v>3.12</v>
      </c>
      <c r="K728" t="s">
        <v>3535</v>
      </c>
      <c r="L728">
        <v>669.31</v>
      </c>
      <c r="M728" t="s">
        <v>5055</v>
      </c>
      <c r="N728">
        <v>0</v>
      </c>
      <c r="O728" t="s">
        <v>4506</v>
      </c>
      <c r="P728" t="s">
        <v>5056</v>
      </c>
      <c r="Q728">
        <v>1218.48</v>
      </c>
      <c r="R728" t="s">
        <v>2625</v>
      </c>
      <c r="S728">
        <v>1.23</v>
      </c>
      <c r="T728">
        <v>52.72</v>
      </c>
      <c r="U728" t="s">
        <v>238</v>
      </c>
      <c r="V728" t="s">
        <v>1384</v>
      </c>
      <c r="W728" t="s">
        <v>807</v>
      </c>
      <c r="X728">
        <v>3.12</v>
      </c>
      <c r="Y728" t="s">
        <v>1375</v>
      </c>
      <c r="Z728" t="s">
        <v>169</v>
      </c>
      <c r="AA728" t="s">
        <v>1967</v>
      </c>
      <c r="AB728">
        <v>2.29</v>
      </c>
      <c r="AC728" t="s">
        <v>1752</v>
      </c>
      <c r="AD728">
        <v>65.94</v>
      </c>
      <c r="AE728" t="s">
        <v>699</v>
      </c>
      <c r="AF728">
        <v>3.07</v>
      </c>
      <c r="AG728">
        <v>0</v>
      </c>
      <c r="AH728">
        <v>0</v>
      </c>
      <c r="AI728" s="4">
        <v>42052</v>
      </c>
    </row>
    <row r="729" spans="1:35">
      <c r="A729">
        <v>728</v>
      </c>
      <c r="B729" t="str">
        <f>"600706"</f>
        <v>600706</v>
      </c>
      <c r="C729" t="s">
        <v>5057</v>
      </c>
      <c r="D729" s="4">
        <v>43190</v>
      </c>
      <c r="E729" t="s">
        <v>1839</v>
      </c>
      <c r="F729" t="s">
        <v>1202</v>
      </c>
      <c r="G729" t="s">
        <v>1568</v>
      </c>
      <c r="H729">
        <v>0.17</v>
      </c>
      <c r="I729">
        <v>5.45</v>
      </c>
      <c r="J729">
        <v>3.11</v>
      </c>
      <c r="K729" t="s">
        <v>2102</v>
      </c>
      <c r="L729">
        <v>21.58</v>
      </c>
      <c r="M729" t="s">
        <v>5058</v>
      </c>
      <c r="N729" t="s">
        <v>5059</v>
      </c>
      <c r="O729" t="s">
        <v>5058</v>
      </c>
      <c r="P729" t="s">
        <v>5060</v>
      </c>
      <c r="Q729">
        <v>3.46</v>
      </c>
      <c r="R729" t="s">
        <v>218</v>
      </c>
      <c r="S729">
        <v>1.95</v>
      </c>
      <c r="T729">
        <v>30.57</v>
      </c>
      <c r="U729" t="s">
        <v>183</v>
      </c>
      <c r="V729" t="s">
        <v>566</v>
      </c>
      <c r="W729" t="s">
        <v>358</v>
      </c>
      <c r="X729">
        <v>3.11</v>
      </c>
      <c r="Y729" t="s">
        <v>5061</v>
      </c>
      <c r="Z729" t="s">
        <v>1168</v>
      </c>
      <c r="AA729" t="s">
        <v>1530</v>
      </c>
      <c r="AB729">
        <v>2.0099999999999998</v>
      </c>
      <c r="AC729" t="s">
        <v>722</v>
      </c>
      <c r="AD729">
        <v>51.45</v>
      </c>
      <c r="AE729" t="s">
        <v>545</v>
      </c>
      <c r="AF729">
        <v>2.5</v>
      </c>
      <c r="AG729">
        <v>0</v>
      </c>
      <c r="AH729">
        <v>0</v>
      </c>
      <c r="AI729" s="4">
        <v>35201</v>
      </c>
    </row>
    <row r="730" spans="1:35">
      <c r="A730">
        <v>729</v>
      </c>
      <c r="B730" t="str">
        <f>"600297"</f>
        <v>600297</v>
      </c>
      <c r="C730" t="s">
        <v>5062</v>
      </c>
      <c r="D730" s="4">
        <v>43190</v>
      </c>
      <c r="E730" t="s">
        <v>635</v>
      </c>
      <c r="F730" t="s">
        <v>3065</v>
      </c>
      <c r="G730" t="s">
        <v>5063</v>
      </c>
      <c r="H730">
        <v>0.14000000000000001</v>
      </c>
      <c r="I730">
        <v>4.21</v>
      </c>
      <c r="J730">
        <v>3.11</v>
      </c>
      <c r="K730" t="s">
        <v>5064</v>
      </c>
      <c r="L730">
        <v>20.32</v>
      </c>
      <c r="M730" t="s">
        <v>1052</v>
      </c>
      <c r="N730" t="s">
        <v>5065</v>
      </c>
      <c r="O730" t="s">
        <v>298</v>
      </c>
      <c r="P730" t="s">
        <v>147</v>
      </c>
      <c r="Q730">
        <v>15.06</v>
      </c>
      <c r="R730" t="s">
        <v>794</v>
      </c>
      <c r="S730">
        <v>1.49</v>
      </c>
      <c r="T730">
        <v>10.48</v>
      </c>
      <c r="U730" t="s">
        <v>5066</v>
      </c>
      <c r="V730" t="s">
        <v>5067</v>
      </c>
      <c r="W730" t="s">
        <v>932</v>
      </c>
      <c r="X730">
        <v>3.11</v>
      </c>
      <c r="Y730" t="s">
        <v>5068</v>
      </c>
      <c r="Z730" t="s">
        <v>5069</v>
      </c>
      <c r="AA730" t="s">
        <v>1221</v>
      </c>
      <c r="AB730">
        <v>1.42</v>
      </c>
      <c r="AC730" t="s">
        <v>3510</v>
      </c>
      <c r="AD730">
        <v>29.04</v>
      </c>
      <c r="AE730" t="s">
        <v>463</v>
      </c>
      <c r="AF730">
        <v>1.66</v>
      </c>
      <c r="AG730">
        <v>0</v>
      </c>
      <c r="AH730">
        <v>0</v>
      </c>
      <c r="AI730" s="4">
        <v>36846</v>
      </c>
    </row>
    <row r="731" spans="1:35">
      <c r="A731">
        <v>730</v>
      </c>
      <c r="B731" t="str">
        <f>"002050"</f>
        <v>002050</v>
      </c>
      <c r="C731" t="s">
        <v>5070</v>
      </c>
      <c r="D731" s="4">
        <v>43190</v>
      </c>
      <c r="E731" t="s">
        <v>1693</v>
      </c>
      <c r="F731" t="s">
        <v>1792</v>
      </c>
      <c r="G731" t="s">
        <v>5071</v>
      </c>
      <c r="H731">
        <v>0.12</v>
      </c>
      <c r="I731">
        <v>3.67</v>
      </c>
      <c r="J731">
        <v>3.11</v>
      </c>
      <c r="K731" t="s">
        <v>1504</v>
      </c>
      <c r="L731">
        <v>20.36</v>
      </c>
      <c r="M731" t="s">
        <v>36</v>
      </c>
      <c r="N731" t="s">
        <v>5072</v>
      </c>
      <c r="O731" t="s">
        <v>36</v>
      </c>
      <c r="P731" t="s">
        <v>2889</v>
      </c>
      <c r="Q731">
        <v>12.99</v>
      </c>
      <c r="R731" t="s">
        <v>1305</v>
      </c>
      <c r="S731">
        <v>1.75</v>
      </c>
      <c r="T731">
        <v>27.5</v>
      </c>
      <c r="U731" t="s">
        <v>465</v>
      </c>
      <c r="V731" t="s">
        <v>2706</v>
      </c>
      <c r="W731" t="s">
        <v>253</v>
      </c>
      <c r="X731">
        <v>3.11</v>
      </c>
      <c r="Y731" t="s">
        <v>2059</v>
      </c>
      <c r="Z731" t="s">
        <v>1133</v>
      </c>
      <c r="AA731" t="s">
        <v>1651</v>
      </c>
      <c r="AB731">
        <v>4.68</v>
      </c>
      <c r="AC731" t="s">
        <v>2708</v>
      </c>
      <c r="AD731">
        <v>63.68</v>
      </c>
      <c r="AE731" t="s">
        <v>1062</v>
      </c>
      <c r="AF731">
        <v>0.76</v>
      </c>
      <c r="AG731">
        <v>0</v>
      </c>
      <c r="AH731">
        <v>0</v>
      </c>
      <c r="AI731" s="4">
        <v>38510</v>
      </c>
    </row>
    <row r="732" spans="1:35">
      <c r="A732">
        <v>731</v>
      </c>
      <c r="B732" t="str">
        <f>"000989"</f>
        <v>000989</v>
      </c>
      <c r="C732" t="s">
        <v>5073</v>
      </c>
      <c r="D732" s="4">
        <v>43190</v>
      </c>
      <c r="E732" t="s">
        <v>125</v>
      </c>
      <c r="F732" t="s">
        <v>202</v>
      </c>
      <c r="G732" t="s">
        <v>5074</v>
      </c>
      <c r="H732">
        <v>0.16</v>
      </c>
      <c r="I732">
        <v>4.95</v>
      </c>
      <c r="J732">
        <v>3.11</v>
      </c>
      <c r="K732" t="s">
        <v>1375</v>
      </c>
      <c r="L732">
        <v>22.58</v>
      </c>
      <c r="M732" t="s">
        <v>2031</v>
      </c>
      <c r="N732" t="s">
        <v>3783</v>
      </c>
      <c r="O732" t="s">
        <v>1360</v>
      </c>
      <c r="P732" t="s">
        <v>920</v>
      </c>
      <c r="Q732">
        <v>7.03</v>
      </c>
      <c r="R732" t="s">
        <v>1343</v>
      </c>
      <c r="S732">
        <v>1.61</v>
      </c>
      <c r="T732">
        <v>60.26</v>
      </c>
      <c r="U732" t="s">
        <v>2187</v>
      </c>
      <c r="V732" t="s">
        <v>1593</v>
      </c>
      <c r="W732" t="s">
        <v>192</v>
      </c>
      <c r="X732">
        <v>3.11</v>
      </c>
      <c r="Y732" t="s">
        <v>101</v>
      </c>
      <c r="Z732" t="s">
        <v>264</v>
      </c>
      <c r="AA732" t="s">
        <v>5075</v>
      </c>
      <c r="AB732">
        <v>3.86</v>
      </c>
      <c r="AC732" t="s">
        <v>1277</v>
      </c>
      <c r="AD732">
        <v>78.31</v>
      </c>
      <c r="AE732" t="s">
        <v>775</v>
      </c>
      <c r="AF732">
        <v>2.0299999999999998</v>
      </c>
      <c r="AG732">
        <v>0</v>
      </c>
      <c r="AH732">
        <v>0</v>
      </c>
      <c r="AI732" s="4">
        <v>36705</v>
      </c>
    </row>
    <row r="733" spans="1:35">
      <c r="A733">
        <v>732</v>
      </c>
      <c r="B733" t="str">
        <f>"603809"</f>
        <v>603809</v>
      </c>
      <c r="C733" t="s">
        <v>5076</v>
      </c>
      <c r="D733" s="4">
        <v>43190</v>
      </c>
      <c r="E733" t="s">
        <v>2424</v>
      </c>
      <c r="F733" t="s">
        <v>5077</v>
      </c>
      <c r="G733">
        <v>1857</v>
      </c>
      <c r="H733">
        <v>0.31</v>
      </c>
      <c r="I733">
        <v>9.5500000000000007</v>
      </c>
      <c r="J733">
        <v>3.1</v>
      </c>
      <c r="K733" t="s">
        <v>3535</v>
      </c>
      <c r="L733">
        <v>44.12</v>
      </c>
      <c r="M733" t="s">
        <v>5078</v>
      </c>
      <c r="N733" t="s">
        <v>444</v>
      </c>
      <c r="O733" t="s">
        <v>5078</v>
      </c>
      <c r="P733" t="s">
        <v>5079</v>
      </c>
      <c r="Q733">
        <v>31.13</v>
      </c>
      <c r="R733" t="s">
        <v>2139</v>
      </c>
      <c r="S733">
        <v>4.82</v>
      </c>
      <c r="T733">
        <v>34.51</v>
      </c>
      <c r="U733" t="s">
        <v>865</v>
      </c>
      <c r="V733" t="s">
        <v>161</v>
      </c>
      <c r="W733" t="s">
        <v>4863</v>
      </c>
      <c r="X733">
        <v>3.1</v>
      </c>
      <c r="Y733" t="s">
        <v>5080</v>
      </c>
      <c r="Z733" t="s">
        <v>999</v>
      </c>
      <c r="AA733" t="s">
        <v>1457</v>
      </c>
      <c r="AB733">
        <v>2.0099999999999998</v>
      </c>
      <c r="AC733" t="s">
        <v>391</v>
      </c>
      <c r="AD733">
        <v>67.040000000000006</v>
      </c>
      <c r="AE733" t="s">
        <v>1972</v>
      </c>
      <c r="AF733">
        <v>3.41</v>
      </c>
      <c r="AG733">
        <v>0</v>
      </c>
      <c r="AH733">
        <v>0</v>
      </c>
      <c r="AI733" s="4">
        <v>43067</v>
      </c>
    </row>
    <row r="734" spans="1:35">
      <c r="A734">
        <v>733</v>
      </c>
      <c r="B734" t="str">
        <f>"603693"</f>
        <v>603693</v>
      </c>
      <c r="C734" t="s">
        <v>5081</v>
      </c>
      <c r="D734" s="4">
        <v>43190</v>
      </c>
      <c r="E734" t="s">
        <v>999</v>
      </c>
      <c r="F734">
        <v>0</v>
      </c>
      <c r="G734">
        <v>0</v>
      </c>
      <c r="H734">
        <v>0.21</v>
      </c>
      <c r="I734">
        <v>6.76</v>
      </c>
      <c r="J734">
        <v>3.1</v>
      </c>
      <c r="K734" t="s">
        <v>2098</v>
      </c>
      <c r="L734">
        <v>6.72</v>
      </c>
      <c r="M734" t="s">
        <v>2360</v>
      </c>
      <c r="N734" t="s">
        <v>5082</v>
      </c>
      <c r="O734" t="s">
        <v>322</v>
      </c>
      <c r="P734" t="s">
        <v>197</v>
      </c>
      <c r="Q734">
        <v>3.16</v>
      </c>
      <c r="R734" t="s">
        <v>2490</v>
      </c>
      <c r="S734">
        <v>1.1399999999999999</v>
      </c>
      <c r="T734">
        <v>45.97</v>
      </c>
      <c r="U734" t="s">
        <v>366</v>
      </c>
      <c r="V734" t="s">
        <v>1678</v>
      </c>
      <c r="W734" t="s">
        <v>2881</v>
      </c>
      <c r="X734">
        <v>3.1</v>
      </c>
      <c r="Y734" t="s">
        <v>1285</v>
      </c>
      <c r="Z734" t="s">
        <v>2996</v>
      </c>
      <c r="AA734" t="s">
        <v>2280</v>
      </c>
      <c r="AB734" t="s">
        <v>288</v>
      </c>
      <c r="AC734" t="s">
        <v>1391</v>
      </c>
      <c r="AD734">
        <v>48.49</v>
      </c>
      <c r="AE734" t="s">
        <v>2291</v>
      </c>
      <c r="AF734">
        <v>4.55</v>
      </c>
      <c r="AG734">
        <v>0</v>
      </c>
      <c r="AH734">
        <v>0</v>
      </c>
      <c r="AI734" t="s">
        <v>99</v>
      </c>
    </row>
    <row r="735" spans="1:35">
      <c r="A735">
        <v>734</v>
      </c>
      <c r="B735" t="str">
        <f>"002275"</f>
        <v>002275</v>
      </c>
      <c r="C735" t="s">
        <v>5083</v>
      </c>
      <c r="D735" s="4">
        <v>43190</v>
      </c>
      <c r="E735" t="s">
        <v>5084</v>
      </c>
      <c r="F735" t="s">
        <v>1799</v>
      </c>
      <c r="G735" t="s">
        <v>5085</v>
      </c>
      <c r="H735">
        <v>0.14000000000000001</v>
      </c>
      <c r="I735">
        <v>4.24</v>
      </c>
      <c r="J735">
        <v>3.1</v>
      </c>
      <c r="K735" t="s">
        <v>1789</v>
      </c>
      <c r="L735">
        <v>2.84</v>
      </c>
      <c r="M735" t="s">
        <v>197</v>
      </c>
      <c r="N735" t="s">
        <v>5086</v>
      </c>
      <c r="O735" t="s">
        <v>197</v>
      </c>
      <c r="P735" t="s">
        <v>5087</v>
      </c>
      <c r="Q735">
        <v>9.85</v>
      </c>
      <c r="R735" t="s">
        <v>835</v>
      </c>
      <c r="S735">
        <v>1.52</v>
      </c>
      <c r="T735">
        <v>73.099999999999994</v>
      </c>
      <c r="U735" t="s">
        <v>818</v>
      </c>
      <c r="V735" t="s">
        <v>119</v>
      </c>
      <c r="W735" t="s">
        <v>539</v>
      </c>
      <c r="X735">
        <v>3.1</v>
      </c>
      <c r="Y735" t="s">
        <v>2587</v>
      </c>
      <c r="Z735" t="s">
        <v>4756</v>
      </c>
      <c r="AA735" t="s">
        <v>443</v>
      </c>
      <c r="AB735">
        <v>3.44</v>
      </c>
      <c r="AC735" t="s">
        <v>725</v>
      </c>
      <c r="AD735">
        <v>83.58</v>
      </c>
      <c r="AE735" t="s">
        <v>2510</v>
      </c>
      <c r="AF735">
        <v>1.17</v>
      </c>
      <c r="AG735">
        <v>0</v>
      </c>
      <c r="AH735">
        <v>0</v>
      </c>
      <c r="AI735" s="4">
        <v>40004</v>
      </c>
    </row>
    <row r="736" spans="1:35">
      <c r="A736">
        <v>735</v>
      </c>
      <c r="B736" t="str">
        <f>"300286"</f>
        <v>300286</v>
      </c>
      <c r="C736" t="s">
        <v>5088</v>
      </c>
      <c r="D736" s="4">
        <v>43190</v>
      </c>
      <c r="E736" t="s">
        <v>912</v>
      </c>
      <c r="F736" t="s">
        <v>2031</v>
      </c>
      <c r="G736" t="s">
        <v>103</v>
      </c>
      <c r="H736">
        <v>0.1</v>
      </c>
      <c r="I736">
        <v>3.14</v>
      </c>
      <c r="J736">
        <v>3.09</v>
      </c>
      <c r="K736" t="s">
        <v>5089</v>
      </c>
      <c r="L736">
        <v>18.350000000000001</v>
      </c>
      <c r="M736" t="s">
        <v>2666</v>
      </c>
      <c r="N736" t="s">
        <v>5090</v>
      </c>
      <c r="O736" t="s">
        <v>5091</v>
      </c>
      <c r="P736" t="s">
        <v>5092</v>
      </c>
      <c r="Q736">
        <v>6.06</v>
      </c>
      <c r="R736" t="s">
        <v>2551</v>
      </c>
      <c r="S736">
        <v>1.37</v>
      </c>
      <c r="T736">
        <v>54.07</v>
      </c>
      <c r="U736" t="s">
        <v>3494</v>
      </c>
      <c r="V736" t="s">
        <v>1907</v>
      </c>
      <c r="W736" t="s">
        <v>1839</v>
      </c>
      <c r="X736">
        <v>3.09</v>
      </c>
      <c r="Y736" t="s">
        <v>193</v>
      </c>
      <c r="Z736" t="s">
        <v>193</v>
      </c>
      <c r="AA736">
        <v>0</v>
      </c>
      <c r="AB736">
        <v>2.84</v>
      </c>
      <c r="AC736" t="s">
        <v>2456</v>
      </c>
      <c r="AD736">
        <v>76.900000000000006</v>
      </c>
      <c r="AE736" t="s">
        <v>696</v>
      </c>
      <c r="AF736">
        <v>0.67</v>
      </c>
      <c r="AG736">
        <v>0</v>
      </c>
      <c r="AH736">
        <v>0</v>
      </c>
      <c r="AI736" s="4">
        <v>40921</v>
      </c>
    </row>
    <row r="737" spans="1:35">
      <c r="A737">
        <v>736</v>
      </c>
      <c r="B737" t="str">
        <f>"002107"</f>
        <v>002107</v>
      </c>
      <c r="C737" t="s">
        <v>5093</v>
      </c>
      <c r="D737" s="4">
        <v>43190</v>
      </c>
      <c r="E737" t="s">
        <v>265</v>
      </c>
      <c r="F737" t="s">
        <v>330</v>
      </c>
      <c r="G737" t="s">
        <v>2645</v>
      </c>
      <c r="H737">
        <v>0.05</v>
      </c>
      <c r="I737">
        <v>1.57</v>
      </c>
      <c r="J737">
        <v>3.09</v>
      </c>
      <c r="K737" t="s">
        <v>748</v>
      </c>
      <c r="L737">
        <v>17.36</v>
      </c>
      <c r="M737" t="s">
        <v>5094</v>
      </c>
      <c r="N737">
        <v>0</v>
      </c>
      <c r="O737" t="s">
        <v>5094</v>
      </c>
      <c r="P737" t="s">
        <v>5095</v>
      </c>
      <c r="Q737">
        <v>-8.5500000000000007</v>
      </c>
      <c r="R737" t="s">
        <v>95</v>
      </c>
      <c r="S737">
        <v>0.54</v>
      </c>
      <c r="T737">
        <v>79.63</v>
      </c>
      <c r="U737" t="s">
        <v>1705</v>
      </c>
      <c r="V737" t="s">
        <v>3238</v>
      </c>
      <c r="W737" t="s">
        <v>1245</v>
      </c>
      <c r="X737">
        <v>3.09</v>
      </c>
      <c r="Y737" t="s">
        <v>1011</v>
      </c>
      <c r="Z737" t="s">
        <v>975</v>
      </c>
      <c r="AA737" t="s">
        <v>4394</v>
      </c>
      <c r="AB737">
        <v>5.62</v>
      </c>
      <c r="AC737" t="s">
        <v>2398</v>
      </c>
      <c r="AD737">
        <v>63.64</v>
      </c>
      <c r="AE737" t="s">
        <v>3811</v>
      </c>
      <c r="AF737">
        <v>0.01</v>
      </c>
      <c r="AG737">
        <v>0</v>
      </c>
      <c r="AH737">
        <v>0</v>
      </c>
      <c r="AI737" s="4">
        <v>39106</v>
      </c>
    </row>
    <row r="738" spans="1:35">
      <c r="A738">
        <v>737</v>
      </c>
      <c r="B738" t="str">
        <f>"603079"</f>
        <v>603079</v>
      </c>
      <c r="C738" t="s">
        <v>5096</v>
      </c>
      <c r="D738" s="4">
        <v>43190</v>
      </c>
      <c r="E738" t="s">
        <v>355</v>
      </c>
      <c r="F738" t="s">
        <v>2471</v>
      </c>
      <c r="G738">
        <v>2462</v>
      </c>
      <c r="H738">
        <v>0.21</v>
      </c>
      <c r="I738">
        <v>6.88</v>
      </c>
      <c r="J738">
        <v>3.08</v>
      </c>
      <c r="K738" t="s">
        <v>1626</v>
      </c>
      <c r="L738">
        <v>1.06</v>
      </c>
      <c r="M738" t="s">
        <v>5097</v>
      </c>
      <c r="N738" t="s">
        <v>5098</v>
      </c>
      <c r="O738" t="s">
        <v>5099</v>
      </c>
      <c r="P738" t="s">
        <v>5100</v>
      </c>
      <c r="Q738">
        <v>83.76</v>
      </c>
      <c r="R738" t="s">
        <v>509</v>
      </c>
      <c r="S738">
        <v>1.8</v>
      </c>
      <c r="T738">
        <v>46.77</v>
      </c>
      <c r="U738" t="s">
        <v>1094</v>
      </c>
      <c r="V738" t="s">
        <v>1480</v>
      </c>
      <c r="W738" t="s">
        <v>3332</v>
      </c>
      <c r="X738">
        <v>3.08</v>
      </c>
      <c r="Y738" t="s">
        <v>454</v>
      </c>
      <c r="Z738" t="s">
        <v>1417</v>
      </c>
      <c r="AA738" t="s">
        <v>5101</v>
      </c>
      <c r="AB738">
        <v>3.85</v>
      </c>
      <c r="AC738" t="s">
        <v>4599</v>
      </c>
      <c r="AD738">
        <v>78.72</v>
      </c>
      <c r="AE738" t="s">
        <v>140</v>
      </c>
      <c r="AF738">
        <v>3.85</v>
      </c>
      <c r="AG738">
        <v>0</v>
      </c>
      <c r="AH738">
        <v>0</v>
      </c>
      <c r="AI738" s="4">
        <v>42970</v>
      </c>
    </row>
    <row r="739" spans="1:35">
      <c r="A739">
        <v>738</v>
      </c>
      <c r="B739" t="str">
        <f>"300617"</f>
        <v>300617</v>
      </c>
      <c r="C739" t="s">
        <v>5102</v>
      </c>
      <c r="D739" s="4">
        <v>43190</v>
      </c>
      <c r="E739" t="s">
        <v>2307</v>
      </c>
      <c r="F739" t="s">
        <v>5103</v>
      </c>
      <c r="G739">
        <v>2016</v>
      </c>
      <c r="H739">
        <v>0.25</v>
      </c>
      <c r="I739">
        <v>8.0500000000000007</v>
      </c>
      <c r="J739">
        <v>3.08</v>
      </c>
      <c r="K739" t="s">
        <v>5104</v>
      </c>
      <c r="L739">
        <v>-9.0500000000000007</v>
      </c>
      <c r="M739" t="s">
        <v>5105</v>
      </c>
      <c r="N739" t="s">
        <v>5106</v>
      </c>
      <c r="O739" t="s">
        <v>5107</v>
      </c>
      <c r="P739" t="s">
        <v>4516</v>
      </c>
      <c r="Q739">
        <v>-14.49</v>
      </c>
      <c r="R739" t="s">
        <v>1621</v>
      </c>
      <c r="S739">
        <v>2.65</v>
      </c>
      <c r="T739">
        <v>58.62</v>
      </c>
      <c r="U739" t="s">
        <v>1094</v>
      </c>
      <c r="V739" t="s">
        <v>2648</v>
      </c>
      <c r="W739" t="s">
        <v>37</v>
      </c>
      <c r="X739">
        <v>3.08</v>
      </c>
      <c r="Y739" t="s">
        <v>1360</v>
      </c>
      <c r="Z739" t="s">
        <v>920</v>
      </c>
      <c r="AA739" t="s">
        <v>5108</v>
      </c>
      <c r="AB739">
        <v>2.98</v>
      </c>
      <c r="AC739" t="s">
        <v>1047</v>
      </c>
      <c r="AD739">
        <v>83.24</v>
      </c>
      <c r="AE739" t="s">
        <v>346</v>
      </c>
      <c r="AF739">
        <v>4.03</v>
      </c>
      <c r="AG739">
        <v>0</v>
      </c>
      <c r="AH739">
        <v>0</v>
      </c>
      <c r="AI739" s="4">
        <v>42794</v>
      </c>
    </row>
    <row r="740" spans="1:35">
      <c r="A740">
        <v>739</v>
      </c>
      <c r="B740" t="str">
        <f>"300599"</f>
        <v>300599</v>
      </c>
      <c r="C740" t="s">
        <v>5109</v>
      </c>
      <c r="D740" s="4">
        <v>43190</v>
      </c>
      <c r="E740" t="s">
        <v>145</v>
      </c>
      <c r="F740" t="s">
        <v>5110</v>
      </c>
      <c r="G740">
        <v>3211</v>
      </c>
      <c r="H740">
        <v>0.13</v>
      </c>
      <c r="I740">
        <v>4.0999999999999996</v>
      </c>
      <c r="J740">
        <v>3.08</v>
      </c>
      <c r="K740" t="s">
        <v>2029</v>
      </c>
      <c r="L740">
        <v>31.59</v>
      </c>
      <c r="M740" t="s">
        <v>5111</v>
      </c>
      <c r="N740" t="s">
        <v>3260</v>
      </c>
      <c r="O740" t="s">
        <v>5112</v>
      </c>
      <c r="P740" t="s">
        <v>5113</v>
      </c>
      <c r="Q740">
        <v>93.89</v>
      </c>
      <c r="R740" t="s">
        <v>314</v>
      </c>
      <c r="S740">
        <v>1.05</v>
      </c>
      <c r="T740">
        <v>23.07</v>
      </c>
      <c r="U740" t="s">
        <v>76</v>
      </c>
      <c r="V740" t="s">
        <v>978</v>
      </c>
      <c r="W740" t="s">
        <v>1324</v>
      </c>
      <c r="X740">
        <v>3.08</v>
      </c>
      <c r="Y740" t="s">
        <v>1001</v>
      </c>
      <c r="Z740" t="s">
        <v>145</v>
      </c>
      <c r="AA740" t="s">
        <v>5114</v>
      </c>
      <c r="AB740">
        <v>2.54</v>
      </c>
      <c r="AC740" t="s">
        <v>926</v>
      </c>
      <c r="AD740">
        <v>78.430000000000007</v>
      </c>
      <c r="AE740" t="s">
        <v>2450</v>
      </c>
      <c r="AF740">
        <v>1.89</v>
      </c>
      <c r="AG740">
        <v>0</v>
      </c>
      <c r="AH740">
        <v>0</v>
      </c>
      <c r="AI740" s="4">
        <v>42758</v>
      </c>
    </row>
    <row r="741" spans="1:35">
      <c r="A741">
        <v>740</v>
      </c>
      <c r="B741" t="str">
        <f>"300563"</f>
        <v>300563</v>
      </c>
      <c r="C741" t="s">
        <v>5115</v>
      </c>
      <c r="D741" s="4">
        <v>43190</v>
      </c>
      <c r="E741" t="s">
        <v>2575</v>
      </c>
      <c r="F741" t="s">
        <v>5116</v>
      </c>
      <c r="G741">
        <v>2977</v>
      </c>
      <c r="H741">
        <v>0.18</v>
      </c>
      <c r="I741">
        <v>5.67</v>
      </c>
      <c r="J741">
        <v>3.08</v>
      </c>
      <c r="K741" t="s">
        <v>5117</v>
      </c>
      <c r="L741">
        <v>9.65</v>
      </c>
      <c r="M741" t="s">
        <v>5118</v>
      </c>
      <c r="N741">
        <v>0</v>
      </c>
      <c r="O741" t="s">
        <v>5118</v>
      </c>
      <c r="P741" t="s">
        <v>5119</v>
      </c>
      <c r="Q741">
        <v>0.34</v>
      </c>
      <c r="R741" t="s">
        <v>293</v>
      </c>
      <c r="S741">
        <v>2.4</v>
      </c>
      <c r="T741">
        <v>26.74</v>
      </c>
      <c r="U741" t="s">
        <v>2674</v>
      </c>
      <c r="V741" t="s">
        <v>559</v>
      </c>
      <c r="W741" t="s">
        <v>807</v>
      </c>
      <c r="X741">
        <v>3.08</v>
      </c>
      <c r="Y741" t="s">
        <v>2424</v>
      </c>
      <c r="Z741" t="s">
        <v>993</v>
      </c>
      <c r="AA741" t="s">
        <v>5120</v>
      </c>
      <c r="AB741">
        <v>4.5999999999999996</v>
      </c>
      <c r="AC741" t="s">
        <v>2112</v>
      </c>
      <c r="AD741">
        <v>75.569999999999993</v>
      </c>
      <c r="AE741" t="s">
        <v>1689</v>
      </c>
      <c r="AF741">
        <v>1.99</v>
      </c>
      <c r="AG741">
        <v>0</v>
      </c>
      <c r="AH741">
        <v>0</v>
      </c>
      <c r="AI741" s="4">
        <v>42688</v>
      </c>
    </row>
    <row r="742" spans="1:35">
      <c r="A742">
        <v>741</v>
      </c>
      <c r="B742" t="str">
        <f>"601899"</f>
        <v>601899</v>
      </c>
      <c r="C742" t="s">
        <v>5121</v>
      </c>
      <c r="D742" s="4">
        <v>43190</v>
      </c>
      <c r="E742" t="s">
        <v>5122</v>
      </c>
      <c r="F742" t="s">
        <v>3446</v>
      </c>
      <c r="G742">
        <v>0</v>
      </c>
      <c r="H742">
        <v>0.05</v>
      </c>
      <c r="I742">
        <v>1.52</v>
      </c>
      <c r="J742">
        <v>3.07</v>
      </c>
      <c r="K742" t="s">
        <v>1193</v>
      </c>
      <c r="L742">
        <v>23.87</v>
      </c>
      <c r="M742" t="s">
        <v>775</v>
      </c>
      <c r="N742" t="s">
        <v>5123</v>
      </c>
      <c r="O742" t="s">
        <v>115</v>
      </c>
      <c r="P742" t="s">
        <v>1223</v>
      </c>
      <c r="Q742">
        <v>7.93</v>
      </c>
      <c r="R742" t="s">
        <v>1337</v>
      </c>
      <c r="S742">
        <v>0.92</v>
      </c>
      <c r="T742">
        <v>15.36</v>
      </c>
      <c r="U742" t="s">
        <v>5124</v>
      </c>
      <c r="V742" t="s">
        <v>3563</v>
      </c>
      <c r="W742" t="s">
        <v>2049</v>
      </c>
      <c r="X742">
        <v>3.07</v>
      </c>
      <c r="Y742" t="s">
        <v>5125</v>
      </c>
      <c r="Z742" t="s">
        <v>3127</v>
      </c>
      <c r="AA742" t="s">
        <v>4912</v>
      </c>
      <c r="AB742">
        <v>2.61</v>
      </c>
      <c r="AC742" t="s">
        <v>2019</v>
      </c>
      <c r="AD742">
        <v>39.01</v>
      </c>
      <c r="AE742" t="s">
        <v>558</v>
      </c>
      <c r="AF742">
        <v>0.48</v>
      </c>
      <c r="AG742">
        <v>0</v>
      </c>
      <c r="AH742" t="s">
        <v>5126</v>
      </c>
      <c r="AI742" s="4">
        <v>39563</v>
      </c>
    </row>
    <row r="743" spans="1:35">
      <c r="A743">
        <v>742</v>
      </c>
      <c r="B743" t="str">
        <f>"600993"</f>
        <v>600993</v>
      </c>
      <c r="C743" t="s">
        <v>5127</v>
      </c>
      <c r="D743" s="4">
        <v>43190</v>
      </c>
      <c r="E743" t="s">
        <v>1827</v>
      </c>
      <c r="F743" t="s">
        <v>914</v>
      </c>
      <c r="G743">
        <v>9461</v>
      </c>
      <c r="H743">
        <v>0.16</v>
      </c>
      <c r="I743">
        <v>5.24</v>
      </c>
      <c r="J743">
        <v>3.07</v>
      </c>
      <c r="K743" t="s">
        <v>1596</v>
      </c>
      <c r="L743">
        <v>28.69</v>
      </c>
      <c r="M743" t="s">
        <v>637</v>
      </c>
      <c r="N743" t="s">
        <v>5128</v>
      </c>
      <c r="O743" t="s">
        <v>5129</v>
      </c>
      <c r="P743" t="s">
        <v>5130</v>
      </c>
      <c r="Q743">
        <v>-21.2</v>
      </c>
      <c r="R743" t="s">
        <v>538</v>
      </c>
      <c r="S743">
        <v>3.25</v>
      </c>
      <c r="T743">
        <v>47.24</v>
      </c>
      <c r="U743" t="s">
        <v>502</v>
      </c>
      <c r="V743" t="s">
        <v>514</v>
      </c>
      <c r="W743" t="s">
        <v>1967</v>
      </c>
      <c r="X743">
        <v>3.07</v>
      </c>
      <c r="Y743" t="s">
        <v>856</v>
      </c>
      <c r="Z743" t="s">
        <v>330</v>
      </c>
      <c r="AA743" t="s">
        <v>804</v>
      </c>
      <c r="AB743">
        <v>3.29</v>
      </c>
      <c r="AC743" t="s">
        <v>1449</v>
      </c>
      <c r="AD743">
        <v>80.900000000000006</v>
      </c>
      <c r="AE743" t="s">
        <v>45</v>
      </c>
      <c r="AF743">
        <v>0.31</v>
      </c>
      <c r="AG743">
        <v>0</v>
      </c>
      <c r="AH743">
        <v>0</v>
      </c>
      <c r="AI743" s="4">
        <v>38124</v>
      </c>
    </row>
    <row r="744" spans="1:35">
      <c r="A744">
        <v>743</v>
      </c>
      <c r="B744" t="str">
        <f>"600511"</f>
        <v>600511</v>
      </c>
      <c r="C744" t="s">
        <v>5131</v>
      </c>
      <c r="D744" s="4">
        <v>43190</v>
      </c>
      <c r="E744" t="s">
        <v>63</v>
      </c>
      <c r="F744" t="s">
        <v>958</v>
      </c>
      <c r="G744" t="s">
        <v>2305</v>
      </c>
      <c r="H744">
        <v>0.33</v>
      </c>
      <c r="I744">
        <v>10.55</v>
      </c>
      <c r="J744">
        <v>3.07</v>
      </c>
      <c r="K744" t="s">
        <v>3086</v>
      </c>
      <c r="L744">
        <v>4.2</v>
      </c>
      <c r="M744" t="s">
        <v>314</v>
      </c>
      <c r="N744" t="s">
        <v>5132</v>
      </c>
      <c r="O744" t="s">
        <v>139</v>
      </c>
      <c r="P744" t="s">
        <v>258</v>
      </c>
      <c r="Q744">
        <v>9.16</v>
      </c>
      <c r="R744" t="s">
        <v>780</v>
      </c>
      <c r="S744">
        <v>5.92</v>
      </c>
      <c r="T744">
        <v>8.4499999999999993</v>
      </c>
      <c r="U744" t="s">
        <v>5133</v>
      </c>
      <c r="V744" t="s">
        <v>4910</v>
      </c>
      <c r="W744" t="s">
        <v>2310</v>
      </c>
      <c r="X744">
        <v>3.07</v>
      </c>
      <c r="Y744" t="s">
        <v>586</v>
      </c>
      <c r="Z744" t="s">
        <v>900</v>
      </c>
      <c r="AA744" t="s">
        <v>1489</v>
      </c>
      <c r="AB744">
        <v>2.56</v>
      </c>
      <c r="AC744" t="s">
        <v>2629</v>
      </c>
      <c r="AD744">
        <v>41.1</v>
      </c>
      <c r="AE744" t="s">
        <v>242</v>
      </c>
      <c r="AF744">
        <v>3.05</v>
      </c>
      <c r="AG744">
        <v>0</v>
      </c>
      <c r="AH744">
        <v>0</v>
      </c>
      <c r="AI744" s="4">
        <v>37587</v>
      </c>
    </row>
    <row r="745" spans="1:35">
      <c r="A745">
        <v>744</v>
      </c>
      <c r="B745" t="str">
        <f>"600007"</f>
        <v>600007</v>
      </c>
      <c r="C745" t="s">
        <v>5134</v>
      </c>
      <c r="D745" s="4">
        <v>43190</v>
      </c>
      <c r="E745" t="s">
        <v>1094</v>
      </c>
      <c r="F745" t="s">
        <v>1094</v>
      </c>
      <c r="G745" t="s">
        <v>5135</v>
      </c>
      <c r="H745">
        <v>0.2</v>
      </c>
      <c r="I745">
        <v>6.3</v>
      </c>
      <c r="J745">
        <v>3.07</v>
      </c>
      <c r="K745" t="s">
        <v>515</v>
      </c>
      <c r="L745">
        <v>29.12</v>
      </c>
      <c r="M745" t="s">
        <v>3011</v>
      </c>
      <c r="N745" t="s">
        <v>5136</v>
      </c>
      <c r="O745" t="s">
        <v>3011</v>
      </c>
      <c r="P745" t="s">
        <v>1853</v>
      </c>
      <c r="Q745">
        <v>27.11</v>
      </c>
      <c r="R745" t="s">
        <v>2238</v>
      </c>
      <c r="S745">
        <v>2.94</v>
      </c>
      <c r="T745">
        <v>52.06</v>
      </c>
      <c r="U745" t="s">
        <v>466</v>
      </c>
      <c r="V745" t="s">
        <v>919</v>
      </c>
      <c r="W745" t="s">
        <v>251</v>
      </c>
      <c r="X745">
        <v>3.07</v>
      </c>
      <c r="Y745" t="s">
        <v>1277</v>
      </c>
      <c r="Z745" t="s">
        <v>389</v>
      </c>
      <c r="AA745" t="s">
        <v>725</v>
      </c>
      <c r="AB745">
        <v>2.3199999999999998</v>
      </c>
      <c r="AC745" t="s">
        <v>1591</v>
      </c>
      <c r="AD745">
        <v>58.93</v>
      </c>
      <c r="AE745" t="s">
        <v>516</v>
      </c>
      <c r="AF745">
        <v>1.86</v>
      </c>
      <c r="AG745">
        <v>0</v>
      </c>
      <c r="AH745">
        <v>0</v>
      </c>
      <c r="AI745" s="4">
        <v>36231</v>
      </c>
    </row>
    <row r="746" spans="1:35">
      <c r="A746">
        <v>745</v>
      </c>
      <c r="B746" t="str">
        <f>"002883"</f>
        <v>002883</v>
      </c>
      <c r="C746" t="s">
        <v>5137</v>
      </c>
      <c r="D746" s="4">
        <v>43190</v>
      </c>
      <c r="E746" t="s">
        <v>5138</v>
      </c>
      <c r="F746" t="s">
        <v>5139</v>
      </c>
      <c r="G746">
        <v>1207</v>
      </c>
      <c r="H746">
        <v>0.22</v>
      </c>
      <c r="I746">
        <v>7.56</v>
      </c>
      <c r="J746">
        <v>3.07</v>
      </c>
      <c r="K746" t="s">
        <v>5140</v>
      </c>
      <c r="L746">
        <v>27.89</v>
      </c>
      <c r="M746" t="s">
        <v>5141</v>
      </c>
      <c r="N746" t="s">
        <v>992</v>
      </c>
      <c r="O746" t="s">
        <v>5142</v>
      </c>
      <c r="P746" t="s">
        <v>5143</v>
      </c>
      <c r="Q746">
        <v>29.2</v>
      </c>
      <c r="R746" t="s">
        <v>2360</v>
      </c>
      <c r="S746">
        <v>2.27</v>
      </c>
      <c r="T746">
        <v>41.21</v>
      </c>
      <c r="U746" t="s">
        <v>856</v>
      </c>
      <c r="V746" t="s">
        <v>3119</v>
      </c>
      <c r="W746" t="s">
        <v>5144</v>
      </c>
      <c r="X746">
        <v>3.07</v>
      </c>
      <c r="Y746" t="s">
        <v>4649</v>
      </c>
      <c r="Z746" t="s">
        <v>5145</v>
      </c>
      <c r="AA746" t="s">
        <v>2969</v>
      </c>
      <c r="AB746">
        <v>5.39</v>
      </c>
      <c r="AC746" t="s">
        <v>2590</v>
      </c>
      <c r="AD746">
        <v>85.46</v>
      </c>
      <c r="AE746" t="s">
        <v>844</v>
      </c>
      <c r="AF746">
        <v>4.09</v>
      </c>
      <c r="AG746">
        <v>0</v>
      </c>
      <c r="AH746">
        <v>0</v>
      </c>
      <c r="AI746" s="4">
        <v>42906</v>
      </c>
    </row>
    <row r="747" spans="1:35">
      <c r="A747">
        <v>746</v>
      </c>
      <c r="B747" t="str">
        <f>"000799"</f>
        <v>000799</v>
      </c>
      <c r="C747" t="s">
        <v>5146</v>
      </c>
      <c r="D747" s="4">
        <v>43190</v>
      </c>
      <c r="E747" t="s">
        <v>89</v>
      </c>
      <c r="F747" t="s">
        <v>89</v>
      </c>
      <c r="G747">
        <v>4812</v>
      </c>
      <c r="H747">
        <v>0.19</v>
      </c>
      <c r="I747">
        <v>6.07</v>
      </c>
      <c r="J747">
        <v>3.07</v>
      </c>
      <c r="K747" t="s">
        <v>81</v>
      </c>
      <c r="L747">
        <v>46.12</v>
      </c>
      <c r="M747" t="s">
        <v>5147</v>
      </c>
      <c r="N747" t="s">
        <v>4492</v>
      </c>
      <c r="O747" t="s">
        <v>5148</v>
      </c>
      <c r="P747" t="s">
        <v>5149</v>
      </c>
      <c r="Q747">
        <v>68.88</v>
      </c>
      <c r="R747" t="s">
        <v>824</v>
      </c>
      <c r="S747">
        <v>0.83</v>
      </c>
      <c r="T747">
        <v>80.86</v>
      </c>
      <c r="U747" t="s">
        <v>402</v>
      </c>
      <c r="V747" t="s">
        <v>308</v>
      </c>
      <c r="W747" t="s">
        <v>133</v>
      </c>
      <c r="X747">
        <v>3.07</v>
      </c>
      <c r="Y747" t="s">
        <v>1166</v>
      </c>
      <c r="Z747" t="s">
        <v>1212</v>
      </c>
      <c r="AA747" t="s">
        <v>2967</v>
      </c>
      <c r="AB747">
        <v>4.2699999999999996</v>
      </c>
      <c r="AC747" t="s">
        <v>418</v>
      </c>
      <c r="AD747">
        <v>78.739999999999995</v>
      </c>
      <c r="AE747" t="s">
        <v>613</v>
      </c>
      <c r="AF747">
        <v>3.57</v>
      </c>
      <c r="AG747">
        <v>0</v>
      </c>
      <c r="AH747">
        <v>0</v>
      </c>
      <c r="AI747" s="4">
        <v>35629</v>
      </c>
    </row>
    <row r="748" spans="1:35">
      <c r="A748">
        <v>747</v>
      </c>
      <c r="B748" t="str">
        <f>"000028"</f>
        <v>000028</v>
      </c>
      <c r="C748" t="s">
        <v>5150</v>
      </c>
      <c r="D748" s="4">
        <v>43190</v>
      </c>
      <c r="E748" t="s">
        <v>1040</v>
      </c>
      <c r="F748" t="s">
        <v>325</v>
      </c>
      <c r="G748">
        <v>0</v>
      </c>
      <c r="H748">
        <v>0.68</v>
      </c>
      <c r="I748">
        <v>22.33</v>
      </c>
      <c r="J748">
        <v>3.07</v>
      </c>
      <c r="K748" t="s">
        <v>1820</v>
      </c>
      <c r="L748">
        <v>0.33</v>
      </c>
      <c r="M748" t="s">
        <v>375</v>
      </c>
      <c r="N748" t="s">
        <v>5151</v>
      </c>
      <c r="O748" t="s">
        <v>1229</v>
      </c>
      <c r="P748" t="s">
        <v>1402</v>
      </c>
      <c r="Q748">
        <v>7.4</v>
      </c>
      <c r="R748" t="s">
        <v>3877</v>
      </c>
      <c r="S748">
        <v>13.4</v>
      </c>
      <c r="T748">
        <v>10.9</v>
      </c>
      <c r="U748" t="s">
        <v>2078</v>
      </c>
      <c r="V748" t="s">
        <v>838</v>
      </c>
      <c r="W748" t="s">
        <v>483</v>
      </c>
      <c r="X748">
        <v>3.07</v>
      </c>
      <c r="Y748" t="s">
        <v>463</v>
      </c>
      <c r="Z748" t="s">
        <v>2504</v>
      </c>
      <c r="AA748" t="s">
        <v>478</v>
      </c>
      <c r="AB748">
        <v>2.12</v>
      </c>
      <c r="AC748" t="s">
        <v>5152</v>
      </c>
      <c r="AD748">
        <v>40.78</v>
      </c>
      <c r="AE748" t="s">
        <v>2339</v>
      </c>
      <c r="AF748">
        <v>7.43</v>
      </c>
      <c r="AG748" t="s">
        <v>5153</v>
      </c>
      <c r="AH748">
        <v>0</v>
      </c>
      <c r="AI748" s="4">
        <v>34190</v>
      </c>
    </row>
    <row r="749" spans="1:35">
      <c r="A749">
        <v>748</v>
      </c>
      <c r="B749" t="str">
        <f>"600738"</f>
        <v>600738</v>
      </c>
      <c r="C749" t="s">
        <v>5154</v>
      </c>
      <c r="D749" s="4">
        <v>43190</v>
      </c>
      <c r="E749" t="s">
        <v>911</v>
      </c>
      <c r="F749" t="s">
        <v>202</v>
      </c>
      <c r="G749" t="s">
        <v>4988</v>
      </c>
      <c r="H749">
        <v>7.0000000000000007E-2</v>
      </c>
      <c r="I749">
        <v>2.3199999999999998</v>
      </c>
      <c r="J749">
        <v>3.06</v>
      </c>
      <c r="K749" t="s">
        <v>202</v>
      </c>
      <c r="L749">
        <v>8.73</v>
      </c>
      <c r="M749" t="s">
        <v>5155</v>
      </c>
      <c r="N749">
        <v>0</v>
      </c>
      <c r="O749" t="s">
        <v>5156</v>
      </c>
      <c r="P749" t="s">
        <v>2475</v>
      </c>
      <c r="Q749">
        <v>24.54</v>
      </c>
      <c r="R749" t="s">
        <v>690</v>
      </c>
      <c r="S749">
        <v>0.73</v>
      </c>
      <c r="T749">
        <v>37.44</v>
      </c>
      <c r="U749" t="s">
        <v>1923</v>
      </c>
      <c r="V749" t="s">
        <v>159</v>
      </c>
      <c r="W749" t="s">
        <v>265</v>
      </c>
      <c r="X749">
        <v>3.06</v>
      </c>
      <c r="Y749" t="s">
        <v>1380</v>
      </c>
      <c r="Z749" t="s">
        <v>576</v>
      </c>
      <c r="AA749" t="s">
        <v>919</v>
      </c>
      <c r="AB749">
        <v>3.34</v>
      </c>
      <c r="AC749" t="s">
        <v>308</v>
      </c>
      <c r="AD749">
        <v>37.57</v>
      </c>
      <c r="AE749" t="s">
        <v>2098</v>
      </c>
      <c r="AF749">
        <v>0.5</v>
      </c>
      <c r="AG749">
        <v>0</v>
      </c>
      <c r="AH749">
        <v>0</v>
      </c>
      <c r="AI749" s="4">
        <v>35279</v>
      </c>
    </row>
    <row r="750" spans="1:35">
      <c r="A750">
        <v>749</v>
      </c>
      <c r="B750" t="str">
        <f>"300606"</f>
        <v>300606</v>
      </c>
      <c r="C750" t="s">
        <v>5157</v>
      </c>
      <c r="D750" s="4">
        <v>43190</v>
      </c>
      <c r="E750" t="s">
        <v>5158</v>
      </c>
      <c r="F750" t="s">
        <v>5159</v>
      </c>
      <c r="G750">
        <v>4422</v>
      </c>
      <c r="H750">
        <v>0.18</v>
      </c>
      <c r="I750">
        <v>5.31</v>
      </c>
      <c r="J750">
        <v>3.06</v>
      </c>
      <c r="K750" t="s">
        <v>5160</v>
      </c>
      <c r="L750">
        <v>53.27</v>
      </c>
      <c r="M750" t="s">
        <v>5161</v>
      </c>
      <c r="N750" t="s">
        <v>5162</v>
      </c>
      <c r="O750" t="s">
        <v>5163</v>
      </c>
      <c r="P750" t="s">
        <v>3018</v>
      </c>
      <c r="Q750">
        <v>10.14</v>
      </c>
      <c r="R750" t="s">
        <v>255</v>
      </c>
      <c r="S750">
        <v>2.15</v>
      </c>
      <c r="T750">
        <v>35.619999999999997</v>
      </c>
      <c r="U750" t="s">
        <v>1216</v>
      </c>
      <c r="V750" t="s">
        <v>806</v>
      </c>
      <c r="W750" t="s">
        <v>920</v>
      </c>
      <c r="X750">
        <v>3.06</v>
      </c>
      <c r="Y750" t="s">
        <v>5164</v>
      </c>
      <c r="Z750" t="s">
        <v>5164</v>
      </c>
      <c r="AA750">
        <v>0</v>
      </c>
      <c r="AB750">
        <v>3.88</v>
      </c>
      <c r="AC750" t="s">
        <v>364</v>
      </c>
      <c r="AD750">
        <v>78.09</v>
      </c>
      <c r="AE750" t="s">
        <v>368</v>
      </c>
      <c r="AF750">
        <v>1.92</v>
      </c>
      <c r="AG750">
        <v>0</v>
      </c>
      <c r="AH750">
        <v>0</v>
      </c>
      <c r="AI750" s="4">
        <v>42774</v>
      </c>
    </row>
    <row r="751" spans="1:35">
      <c r="A751">
        <v>750</v>
      </c>
      <c r="B751" t="str">
        <f>"300470"</f>
        <v>300470</v>
      </c>
      <c r="C751" t="s">
        <v>5165</v>
      </c>
      <c r="D751" s="4">
        <v>43190</v>
      </c>
      <c r="E751" t="s">
        <v>1459</v>
      </c>
      <c r="F751" t="s">
        <v>5166</v>
      </c>
      <c r="G751">
        <v>8610</v>
      </c>
      <c r="H751">
        <v>0.28999999999999998</v>
      </c>
      <c r="I751">
        <v>9.5399999999999991</v>
      </c>
      <c r="J751">
        <v>3.06</v>
      </c>
      <c r="K751" t="s">
        <v>1370</v>
      </c>
      <c r="L751">
        <v>39.770000000000003</v>
      </c>
      <c r="M751" t="s">
        <v>3488</v>
      </c>
      <c r="N751" t="s">
        <v>4814</v>
      </c>
      <c r="O751" t="s">
        <v>5167</v>
      </c>
      <c r="P751" t="s">
        <v>5168</v>
      </c>
      <c r="Q751">
        <v>84.47</v>
      </c>
      <c r="R751" t="s">
        <v>4185</v>
      </c>
      <c r="S751">
        <v>4.2300000000000004</v>
      </c>
      <c r="T751">
        <v>53.4</v>
      </c>
      <c r="U751" t="s">
        <v>264</v>
      </c>
      <c r="V751" t="s">
        <v>2134</v>
      </c>
      <c r="W751" t="s">
        <v>5169</v>
      </c>
      <c r="X751">
        <v>3.06</v>
      </c>
      <c r="Y751" t="s">
        <v>748</v>
      </c>
      <c r="Z751" t="s">
        <v>2069</v>
      </c>
      <c r="AA751" t="s">
        <v>5170</v>
      </c>
      <c r="AB751">
        <v>4.51</v>
      </c>
      <c r="AC751" t="s">
        <v>1496</v>
      </c>
      <c r="AD751">
        <v>84.31</v>
      </c>
      <c r="AE751" t="s">
        <v>2953</v>
      </c>
      <c r="AF751">
        <v>3.71</v>
      </c>
      <c r="AG751">
        <v>0</v>
      </c>
      <c r="AH751">
        <v>0</v>
      </c>
      <c r="AI751" s="4">
        <v>42167</v>
      </c>
    </row>
    <row r="752" spans="1:35">
      <c r="A752">
        <v>751</v>
      </c>
      <c r="B752" t="str">
        <f>"300342"</f>
        <v>300342</v>
      </c>
      <c r="C752" t="s">
        <v>5171</v>
      </c>
      <c r="D752" s="4">
        <v>43190</v>
      </c>
      <c r="E752" t="s">
        <v>1295</v>
      </c>
      <c r="F752" t="s">
        <v>750</v>
      </c>
      <c r="G752" t="s">
        <v>3842</v>
      </c>
      <c r="H752">
        <v>0.1</v>
      </c>
      <c r="I752">
        <v>3.08</v>
      </c>
      <c r="J752">
        <v>3.06</v>
      </c>
      <c r="K752" t="s">
        <v>2769</v>
      </c>
      <c r="L752">
        <v>-0.16</v>
      </c>
      <c r="M752" t="s">
        <v>5172</v>
      </c>
      <c r="N752" t="s">
        <v>5173</v>
      </c>
      <c r="O752" t="s">
        <v>5172</v>
      </c>
      <c r="P752" t="s">
        <v>5174</v>
      </c>
      <c r="Q752">
        <v>-17.47</v>
      </c>
      <c r="R752" t="s">
        <v>1309</v>
      </c>
      <c r="S752">
        <v>1.03</v>
      </c>
      <c r="T752">
        <v>36.21</v>
      </c>
      <c r="U752" t="s">
        <v>754</v>
      </c>
      <c r="V752" t="s">
        <v>147</v>
      </c>
      <c r="W752" t="s">
        <v>1288</v>
      </c>
      <c r="X752">
        <v>3.06</v>
      </c>
      <c r="Y752" t="s">
        <v>2811</v>
      </c>
      <c r="Z752" t="s">
        <v>750</v>
      </c>
      <c r="AA752" t="s">
        <v>5175</v>
      </c>
      <c r="AB752">
        <v>3.87</v>
      </c>
      <c r="AC752" t="s">
        <v>624</v>
      </c>
      <c r="AD752">
        <v>76.73</v>
      </c>
      <c r="AE752" t="s">
        <v>324</v>
      </c>
      <c r="AF752">
        <v>0.97</v>
      </c>
      <c r="AG752">
        <v>0</v>
      </c>
      <c r="AH752">
        <v>0</v>
      </c>
      <c r="AI752" s="4">
        <v>41116</v>
      </c>
    </row>
    <row r="753" spans="1:35">
      <c r="A753">
        <v>752</v>
      </c>
      <c r="B753" t="str">
        <f>"000060"</f>
        <v>000060</v>
      </c>
      <c r="C753" t="s">
        <v>5176</v>
      </c>
      <c r="D753" s="4">
        <v>43190</v>
      </c>
      <c r="E753" t="s">
        <v>1601</v>
      </c>
      <c r="F753" t="s">
        <v>2028</v>
      </c>
      <c r="G753" t="s">
        <v>2554</v>
      </c>
      <c r="H753">
        <v>0.09</v>
      </c>
      <c r="I753">
        <v>2.7</v>
      </c>
      <c r="J753">
        <v>3.06</v>
      </c>
      <c r="K753" t="s">
        <v>1925</v>
      </c>
      <c r="L753">
        <v>1.1000000000000001</v>
      </c>
      <c r="M753" t="s">
        <v>346</v>
      </c>
      <c r="N753" t="s">
        <v>3054</v>
      </c>
      <c r="O753" t="s">
        <v>4794</v>
      </c>
      <c r="P753" t="s">
        <v>679</v>
      </c>
      <c r="Q753">
        <v>41.93</v>
      </c>
      <c r="R753" t="s">
        <v>553</v>
      </c>
      <c r="S753">
        <v>1.1399999999999999</v>
      </c>
      <c r="T753">
        <v>14.12</v>
      </c>
      <c r="U753" t="s">
        <v>3385</v>
      </c>
      <c r="V753" t="s">
        <v>5177</v>
      </c>
      <c r="W753" t="s">
        <v>765</v>
      </c>
      <c r="X753">
        <v>3.06</v>
      </c>
      <c r="Y753" t="s">
        <v>4911</v>
      </c>
      <c r="Z753" t="s">
        <v>225</v>
      </c>
      <c r="AA753" t="s">
        <v>1943</v>
      </c>
      <c r="AB753">
        <v>1.84</v>
      </c>
      <c r="AC753" t="s">
        <v>716</v>
      </c>
      <c r="AD753">
        <v>53.06</v>
      </c>
      <c r="AE753" t="s">
        <v>426</v>
      </c>
      <c r="AF753">
        <v>0.43</v>
      </c>
      <c r="AG753">
        <v>0</v>
      </c>
      <c r="AH753">
        <v>0</v>
      </c>
      <c r="AI753" s="4">
        <v>35453</v>
      </c>
    </row>
    <row r="754" spans="1:35">
      <c r="A754">
        <v>753</v>
      </c>
      <c r="B754" t="str">
        <f>"603380"</f>
        <v>603380</v>
      </c>
      <c r="C754" t="s">
        <v>5178</v>
      </c>
      <c r="D754" s="4">
        <v>43190</v>
      </c>
      <c r="E754" t="s">
        <v>1203</v>
      </c>
      <c r="F754" t="s">
        <v>4429</v>
      </c>
      <c r="G754">
        <v>2204</v>
      </c>
      <c r="H754">
        <v>0.13</v>
      </c>
      <c r="I754">
        <v>4.2699999999999996</v>
      </c>
      <c r="J754">
        <v>3.05</v>
      </c>
      <c r="K754" t="s">
        <v>3768</v>
      </c>
      <c r="L754">
        <v>13.06</v>
      </c>
      <c r="M754" t="s">
        <v>5179</v>
      </c>
      <c r="N754" t="s">
        <v>5180</v>
      </c>
      <c r="O754" t="s">
        <v>5181</v>
      </c>
      <c r="P754" t="s">
        <v>191</v>
      </c>
      <c r="Q754">
        <v>50.73</v>
      </c>
      <c r="R754" t="s">
        <v>64</v>
      </c>
      <c r="S754">
        <v>0.83</v>
      </c>
      <c r="T754">
        <v>26.13</v>
      </c>
      <c r="U754" t="s">
        <v>361</v>
      </c>
      <c r="V754" t="s">
        <v>201</v>
      </c>
      <c r="W754" t="s">
        <v>698</v>
      </c>
      <c r="X754">
        <v>3.05</v>
      </c>
      <c r="Y754" t="s">
        <v>912</v>
      </c>
      <c r="Z754" t="s">
        <v>1417</v>
      </c>
      <c r="AA754" t="s">
        <v>4321</v>
      </c>
      <c r="AB754">
        <v>3.74</v>
      </c>
      <c r="AC754" t="s">
        <v>1872</v>
      </c>
      <c r="AD754">
        <v>76.599999999999994</v>
      </c>
      <c r="AE754" t="s">
        <v>1461</v>
      </c>
      <c r="AF754">
        <v>2.29</v>
      </c>
      <c r="AG754">
        <v>0</v>
      </c>
      <c r="AH754">
        <v>0</v>
      </c>
      <c r="AI754" s="4">
        <v>42908</v>
      </c>
    </row>
    <row r="755" spans="1:35">
      <c r="A755">
        <v>754</v>
      </c>
      <c r="B755" t="str">
        <f>"601388"</f>
        <v>601388</v>
      </c>
      <c r="C755" t="s">
        <v>5182</v>
      </c>
      <c r="D755" s="4">
        <v>43190</v>
      </c>
      <c r="E755" t="s">
        <v>712</v>
      </c>
      <c r="F755" t="s">
        <v>712</v>
      </c>
      <c r="G755" t="s">
        <v>5183</v>
      </c>
      <c r="H755">
        <v>0.04</v>
      </c>
      <c r="I755">
        <v>1.23</v>
      </c>
      <c r="J755">
        <v>3.05</v>
      </c>
      <c r="K755" t="s">
        <v>983</v>
      </c>
      <c r="L755">
        <v>32.869999999999997</v>
      </c>
      <c r="M755" t="s">
        <v>197</v>
      </c>
      <c r="N755" t="s">
        <v>4241</v>
      </c>
      <c r="O755" t="s">
        <v>197</v>
      </c>
      <c r="P755" t="s">
        <v>5184</v>
      </c>
      <c r="Q755">
        <v>-25.72</v>
      </c>
      <c r="R755" t="s">
        <v>1565</v>
      </c>
      <c r="S755">
        <v>0.23</v>
      </c>
      <c r="T755">
        <v>10.77</v>
      </c>
      <c r="U755" t="s">
        <v>3733</v>
      </c>
      <c r="V755" t="s">
        <v>464</v>
      </c>
      <c r="W755" t="s">
        <v>147</v>
      </c>
      <c r="X755">
        <v>3.05</v>
      </c>
      <c r="Y755" t="s">
        <v>253</v>
      </c>
      <c r="Z755" t="s">
        <v>1843</v>
      </c>
      <c r="AA755" t="s">
        <v>1768</v>
      </c>
      <c r="AB755">
        <v>1.93</v>
      </c>
      <c r="AC755" t="s">
        <v>774</v>
      </c>
      <c r="AD755">
        <v>50.78</v>
      </c>
      <c r="AE755" t="s">
        <v>1349</v>
      </c>
      <c r="AF755">
        <v>0.06</v>
      </c>
      <c r="AG755">
        <v>0</v>
      </c>
      <c r="AH755">
        <v>0</v>
      </c>
      <c r="AI755" s="4">
        <v>41022</v>
      </c>
    </row>
    <row r="756" spans="1:35">
      <c r="A756">
        <v>755</v>
      </c>
      <c r="B756" t="str">
        <f>"300726"</f>
        <v>300726</v>
      </c>
      <c r="C756" t="s">
        <v>5185</v>
      </c>
      <c r="D756" s="4">
        <v>43190</v>
      </c>
      <c r="E756" t="s">
        <v>150</v>
      </c>
      <c r="F756" t="s">
        <v>151</v>
      </c>
      <c r="G756">
        <v>1526</v>
      </c>
      <c r="H756">
        <v>0.11</v>
      </c>
      <c r="I756">
        <v>3.53</v>
      </c>
      <c r="J756">
        <v>3.05</v>
      </c>
      <c r="K756" t="s">
        <v>993</v>
      </c>
      <c r="L756">
        <v>32.880000000000003</v>
      </c>
      <c r="M756" t="s">
        <v>4153</v>
      </c>
      <c r="N756" t="s">
        <v>5186</v>
      </c>
      <c r="O756" t="s">
        <v>5187</v>
      </c>
      <c r="P756" t="s">
        <v>5188</v>
      </c>
      <c r="Q756">
        <v>18.98</v>
      </c>
      <c r="R756" t="s">
        <v>3297</v>
      </c>
      <c r="S756">
        <v>0.77</v>
      </c>
      <c r="T756">
        <v>69.05</v>
      </c>
      <c r="U756" t="s">
        <v>908</v>
      </c>
      <c r="V756" t="s">
        <v>840</v>
      </c>
      <c r="W756" t="s">
        <v>2307</v>
      </c>
      <c r="X756">
        <v>3.05</v>
      </c>
      <c r="Y756" t="s">
        <v>5189</v>
      </c>
      <c r="Z756" t="s">
        <v>5190</v>
      </c>
      <c r="AA756" t="s">
        <v>5191</v>
      </c>
      <c r="AB756">
        <v>6.9</v>
      </c>
      <c r="AC756" t="s">
        <v>1384</v>
      </c>
      <c r="AD756">
        <v>92.89</v>
      </c>
      <c r="AE756" t="s">
        <v>563</v>
      </c>
      <c r="AF756">
        <v>1.67</v>
      </c>
      <c r="AG756">
        <v>0</v>
      </c>
      <c r="AH756">
        <v>0</v>
      </c>
      <c r="AI756" s="4">
        <v>43060</v>
      </c>
    </row>
    <row r="757" spans="1:35">
      <c r="A757">
        <v>756</v>
      </c>
      <c r="B757" t="str">
        <f>"002563"</f>
        <v>002563</v>
      </c>
      <c r="C757" t="s">
        <v>5192</v>
      </c>
      <c r="D757" s="4">
        <v>43190</v>
      </c>
      <c r="E757" t="s">
        <v>1908</v>
      </c>
      <c r="F757" t="s">
        <v>980</v>
      </c>
      <c r="G757" t="s">
        <v>5193</v>
      </c>
      <c r="H757">
        <v>0.12</v>
      </c>
      <c r="I757">
        <v>3.62</v>
      </c>
      <c r="J757">
        <v>3.05</v>
      </c>
      <c r="K757" t="s">
        <v>2280</v>
      </c>
      <c r="L757">
        <v>21.57</v>
      </c>
      <c r="M757" t="s">
        <v>1235</v>
      </c>
      <c r="N757" t="s">
        <v>5194</v>
      </c>
      <c r="O757" t="s">
        <v>2811</v>
      </c>
      <c r="P757" t="s">
        <v>2551</v>
      </c>
      <c r="Q757">
        <v>23.88</v>
      </c>
      <c r="R757" t="s">
        <v>1312</v>
      </c>
      <c r="S757">
        <v>1.32</v>
      </c>
      <c r="T757">
        <v>39.090000000000003</v>
      </c>
      <c r="U757" t="s">
        <v>1279</v>
      </c>
      <c r="V757" t="s">
        <v>2713</v>
      </c>
      <c r="W757" t="s">
        <v>602</v>
      </c>
      <c r="X757">
        <v>3.05</v>
      </c>
      <c r="Y757" t="s">
        <v>457</v>
      </c>
      <c r="Z757" t="s">
        <v>1675</v>
      </c>
      <c r="AA757" t="s">
        <v>5195</v>
      </c>
      <c r="AB757">
        <v>3.57</v>
      </c>
      <c r="AC757" t="s">
        <v>252</v>
      </c>
      <c r="AD757">
        <v>75.16</v>
      </c>
      <c r="AE757" t="s">
        <v>981</v>
      </c>
      <c r="AF757">
        <v>0.93</v>
      </c>
      <c r="AG757">
        <v>0</v>
      </c>
      <c r="AH757">
        <v>0</v>
      </c>
      <c r="AI757" s="4">
        <v>40613</v>
      </c>
    </row>
    <row r="758" spans="1:35">
      <c r="A758">
        <v>757</v>
      </c>
      <c r="B758" t="str">
        <f>"000417"</f>
        <v>000417</v>
      </c>
      <c r="C758" t="s">
        <v>5196</v>
      </c>
      <c r="D758" s="4">
        <v>43190</v>
      </c>
      <c r="E758" t="s">
        <v>1019</v>
      </c>
      <c r="F758" t="s">
        <v>2148</v>
      </c>
      <c r="G758" t="s">
        <v>2282</v>
      </c>
      <c r="H758">
        <v>0.15</v>
      </c>
      <c r="I758">
        <v>4.84</v>
      </c>
      <c r="J758">
        <v>3.05</v>
      </c>
      <c r="K758" t="s">
        <v>693</v>
      </c>
      <c r="L758">
        <v>4.24</v>
      </c>
      <c r="M758" t="s">
        <v>1597</v>
      </c>
      <c r="N758" t="s">
        <v>5197</v>
      </c>
      <c r="O758" t="s">
        <v>1597</v>
      </c>
      <c r="P758" t="s">
        <v>1349</v>
      </c>
      <c r="Q758">
        <v>1.21</v>
      </c>
      <c r="R758" t="s">
        <v>183</v>
      </c>
      <c r="S758">
        <v>2.44</v>
      </c>
      <c r="T758">
        <v>18.32</v>
      </c>
      <c r="U758" t="s">
        <v>716</v>
      </c>
      <c r="V758" t="s">
        <v>110</v>
      </c>
      <c r="W758" t="s">
        <v>79</v>
      </c>
      <c r="X758">
        <v>3.05</v>
      </c>
      <c r="Y758" t="s">
        <v>2982</v>
      </c>
      <c r="Z758" t="s">
        <v>428</v>
      </c>
      <c r="AA758" t="s">
        <v>1450</v>
      </c>
      <c r="AB758">
        <v>1.24</v>
      </c>
      <c r="AC758" t="s">
        <v>1211</v>
      </c>
      <c r="AD758">
        <v>37.04</v>
      </c>
      <c r="AE758" t="s">
        <v>3441</v>
      </c>
      <c r="AF758">
        <v>0.4</v>
      </c>
      <c r="AG758">
        <v>0</v>
      </c>
      <c r="AH758">
        <v>0</v>
      </c>
      <c r="AI758" s="4">
        <v>35289</v>
      </c>
    </row>
    <row r="759" spans="1:35">
      <c r="A759">
        <v>758</v>
      </c>
      <c r="B759" t="str">
        <f>"601689"</f>
        <v>601689</v>
      </c>
      <c r="C759" t="s">
        <v>5198</v>
      </c>
      <c r="D759" s="4">
        <v>43190</v>
      </c>
      <c r="E759" t="s">
        <v>1837</v>
      </c>
      <c r="F759" t="s">
        <v>203</v>
      </c>
      <c r="G759">
        <v>5777</v>
      </c>
      <c r="H759">
        <v>0.27</v>
      </c>
      <c r="I759">
        <v>9.16</v>
      </c>
      <c r="J759">
        <v>3.04</v>
      </c>
      <c r="K759" t="s">
        <v>855</v>
      </c>
      <c r="L759">
        <v>28.36</v>
      </c>
      <c r="M759" t="s">
        <v>676</v>
      </c>
      <c r="N759" t="s">
        <v>4583</v>
      </c>
      <c r="O759" t="s">
        <v>669</v>
      </c>
      <c r="P759" t="s">
        <v>1264</v>
      </c>
      <c r="Q759">
        <v>15.52</v>
      </c>
      <c r="R759" t="s">
        <v>389</v>
      </c>
      <c r="S759">
        <v>2.62</v>
      </c>
      <c r="T759">
        <v>29.08</v>
      </c>
      <c r="U759" t="s">
        <v>525</v>
      </c>
      <c r="V759" t="s">
        <v>5199</v>
      </c>
      <c r="W759" t="s">
        <v>1255</v>
      </c>
      <c r="X759">
        <v>3.04</v>
      </c>
      <c r="Y759" t="s">
        <v>1419</v>
      </c>
      <c r="Z759" t="s">
        <v>2871</v>
      </c>
      <c r="AA759" t="s">
        <v>1627</v>
      </c>
      <c r="AB759">
        <v>2.0099999999999998</v>
      </c>
      <c r="AC759" t="s">
        <v>1591</v>
      </c>
      <c r="AD759">
        <v>63.47</v>
      </c>
      <c r="AE759" t="s">
        <v>2989</v>
      </c>
      <c r="AF759">
        <v>5.14</v>
      </c>
      <c r="AG759">
        <v>0</v>
      </c>
      <c r="AH759">
        <v>0</v>
      </c>
      <c r="AI759" s="4">
        <v>42082</v>
      </c>
    </row>
    <row r="760" spans="1:35">
      <c r="A760">
        <v>759</v>
      </c>
      <c r="B760" t="str">
        <f>"600845"</f>
        <v>600845</v>
      </c>
      <c r="C760" t="s">
        <v>5200</v>
      </c>
      <c r="D760" s="4">
        <v>43190</v>
      </c>
      <c r="E760" t="s">
        <v>3549</v>
      </c>
      <c r="F760" t="s">
        <v>1037</v>
      </c>
      <c r="G760">
        <v>0</v>
      </c>
      <c r="H760">
        <v>0.19</v>
      </c>
      <c r="I760">
        <v>5.68</v>
      </c>
      <c r="J760">
        <v>3.04</v>
      </c>
      <c r="K760" t="s">
        <v>1094</v>
      </c>
      <c r="L760">
        <v>7.05</v>
      </c>
      <c r="M760" t="s">
        <v>1203</v>
      </c>
      <c r="N760" t="s">
        <v>5201</v>
      </c>
      <c r="O760" t="s">
        <v>319</v>
      </c>
      <c r="P760" t="s">
        <v>3111</v>
      </c>
      <c r="Q760">
        <v>78.14</v>
      </c>
      <c r="R760" t="s">
        <v>1390</v>
      </c>
      <c r="S760">
        <v>2.62</v>
      </c>
      <c r="T760">
        <v>32.03</v>
      </c>
      <c r="U760" t="s">
        <v>2925</v>
      </c>
      <c r="V760" t="s">
        <v>4239</v>
      </c>
      <c r="W760" t="s">
        <v>1817</v>
      </c>
      <c r="X760">
        <v>3.04</v>
      </c>
      <c r="Y760" t="s">
        <v>2989</v>
      </c>
      <c r="Z760" t="s">
        <v>826</v>
      </c>
      <c r="AA760" t="s">
        <v>176</v>
      </c>
      <c r="AB760">
        <v>3.78</v>
      </c>
      <c r="AC760" t="s">
        <v>1410</v>
      </c>
      <c r="AD760">
        <v>56.07</v>
      </c>
      <c r="AE760" t="s">
        <v>162</v>
      </c>
      <c r="AF760">
        <v>1.81</v>
      </c>
      <c r="AG760" t="s">
        <v>807</v>
      </c>
      <c r="AH760">
        <v>0</v>
      </c>
      <c r="AI760" s="4">
        <v>34404</v>
      </c>
    </row>
    <row r="761" spans="1:35">
      <c r="A761">
        <v>760</v>
      </c>
      <c r="B761" t="str">
        <f>"300459"</f>
        <v>300459</v>
      </c>
      <c r="C761" t="s">
        <v>5202</v>
      </c>
      <c r="D761" s="4">
        <v>43190</v>
      </c>
      <c r="E761" t="s">
        <v>1284</v>
      </c>
      <c r="F761" t="s">
        <v>3769</v>
      </c>
      <c r="G761" t="s">
        <v>1199</v>
      </c>
      <c r="H761">
        <v>0.15</v>
      </c>
      <c r="I761">
        <v>4.9000000000000004</v>
      </c>
      <c r="J761">
        <v>3.04</v>
      </c>
      <c r="K761" t="s">
        <v>5203</v>
      </c>
      <c r="L761">
        <v>96.08</v>
      </c>
      <c r="M761" t="s">
        <v>314</v>
      </c>
      <c r="N761" t="s">
        <v>5204</v>
      </c>
      <c r="O761" t="s">
        <v>1383</v>
      </c>
      <c r="P761" t="s">
        <v>286</v>
      </c>
      <c r="Q761">
        <v>174.23</v>
      </c>
      <c r="R761" t="s">
        <v>1856</v>
      </c>
      <c r="S761">
        <v>0.48</v>
      </c>
      <c r="T761">
        <v>72.209999999999994</v>
      </c>
      <c r="U761" t="s">
        <v>3449</v>
      </c>
      <c r="V761" t="s">
        <v>276</v>
      </c>
      <c r="W761" t="s">
        <v>4794</v>
      </c>
      <c r="X761">
        <v>3.04</v>
      </c>
      <c r="Y761" t="s">
        <v>124</v>
      </c>
      <c r="Z761" t="s">
        <v>407</v>
      </c>
      <c r="AA761" t="s">
        <v>958</v>
      </c>
      <c r="AB761">
        <v>2.0299999999999998</v>
      </c>
      <c r="AC761" t="s">
        <v>3344</v>
      </c>
      <c r="AD761">
        <v>86.56</v>
      </c>
      <c r="AE761" t="s">
        <v>1591</v>
      </c>
      <c r="AF761">
        <v>3.38</v>
      </c>
      <c r="AG761">
        <v>0</v>
      </c>
      <c r="AH761">
        <v>0</v>
      </c>
      <c r="AI761" s="4">
        <v>42139</v>
      </c>
    </row>
    <row r="762" spans="1:35">
      <c r="A762">
        <v>761</v>
      </c>
      <c r="B762" t="str">
        <f>"300091"</f>
        <v>300091</v>
      </c>
      <c r="C762" t="s">
        <v>5205</v>
      </c>
      <c r="D762" s="4">
        <v>43190</v>
      </c>
      <c r="E762" t="s">
        <v>2392</v>
      </c>
      <c r="F762" t="s">
        <v>139</v>
      </c>
      <c r="G762" t="s">
        <v>5206</v>
      </c>
      <c r="H762">
        <v>0.08</v>
      </c>
      <c r="I762">
        <v>2.63</v>
      </c>
      <c r="J762">
        <v>3.04</v>
      </c>
      <c r="K762" t="s">
        <v>479</v>
      </c>
      <c r="L762">
        <v>52.66</v>
      </c>
      <c r="M762" t="s">
        <v>5207</v>
      </c>
      <c r="N762" t="s">
        <v>5208</v>
      </c>
      <c r="O762" t="s">
        <v>5209</v>
      </c>
      <c r="P762" t="s">
        <v>5210</v>
      </c>
      <c r="Q762">
        <v>103.23</v>
      </c>
      <c r="R762" t="s">
        <v>139</v>
      </c>
      <c r="S762">
        <v>0.62</v>
      </c>
      <c r="T762">
        <v>25.26</v>
      </c>
      <c r="U762" t="s">
        <v>1698</v>
      </c>
      <c r="V762" t="s">
        <v>1908</v>
      </c>
      <c r="W762" t="s">
        <v>690</v>
      </c>
      <c r="X762">
        <v>3.04</v>
      </c>
      <c r="Y762" t="s">
        <v>865</v>
      </c>
      <c r="Z762" t="s">
        <v>576</v>
      </c>
      <c r="AA762" t="s">
        <v>345</v>
      </c>
      <c r="AB762">
        <v>5.2</v>
      </c>
      <c r="AC762" t="s">
        <v>141</v>
      </c>
      <c r="AD762">
        <v>39.15</v>
      </c>
      <c r="AE762" t="s">
        <v>4427</v>
      </c>
      <c r="AF762">
        <v>0.94</v>
      </c>
      <c r="AG762">
        <v>0</v>
      </c>
      <c r="AH762">
        <v>0</v>
      </c>
      <c r="AI762" s="4">
        <v>40354</v>
      </c>
    </row>
    <row r="763" spans="1:35">
      <c r="A763">
        <v>762</v>
      </c>
      <c r="B763" t="str">
        <f>"002821"</f>
        <v>002821</v>
      </c>
      <c r="C763" t="s">
        <v>5211</v>
      </c>
      <c r="D763" s="4">
        <v>43190</v>
      </c>
      <c r="E763" t="s">
        <v>985</v>
      </c>
      <c r="F763" t="s">
        <v>1525</v>
      </c>
      <c r="G763">
        <v>9881</v>
      </c>
      <c r="H763">
        <v>0.28000000000000003</v>
      </c>
      <c r="I763">
        <v>8.8699999999999992</v>
      </c>
      <c r="J763">
        <v>3.04</v>
      </c>
      <c r="K763" t="s">
        <v>707</v>
      </c>
      <c r="L763">
        <v>25.36</v>
      </c>
      <c r="M763" t="s">
        <v>5212</v>
      </c>
      <c r="N763" t="s">
        <v>5213</v>
      </c>
      <c r="O763" t="s">
        <v>5214</v>
      </c>
      <c r="P763" t="s">
        <v>5215</v>
      </c>
      <c r="Q763">
        <v>29.34</v>
      </c>
      <c r="R763" t="s">
        <v>3124</v>
      </c>
      <c r="S763">
        <v>3.88</v>
      </c>
      <c r="T763">
        <v>49.8</v>
      </c>
      <c r="U763" t="s">
        <v>158</v>
      </c>
      <c r="V763" t="s">
        <v>298</v>
      </c>
      <c r="W763" t="s">
        <v>1957</v>
      </c>
      <c r="X763">
        <v>3.04</v>
      </c>
      <c r="Y763" t="s">
        <v>1615</v>
      </c>
      <c r="Z763" t="s">
        <v>479</v>
      </c>
      <c r="AA763" t="s">
        <v>71</v>
      </c>
      <c r="AB763">
        <v>9.3699999999999992</v>
      </c>
      <c r="AC763" t="s">
        <v>1693</v>
      </c>
      <c r="AD763">
        <v>78.569999999999993</v>
      </c>
      <c r="AE763" t="s">
        <v>919</v>
      </c>
      <c r="AF763">
        <v>4.53</v>
      </c>
      <c r="AG763">
        <v>0</v>
      </c>
      <c r="AH763">
        <v>0</v>
      </c>
      <c r="AI763" s="4">
        <v>42692</v>
      </c>
    </row>
    <row r="764" spans="1:35">
      <c r="A764">
        <v>763</v>
      </c>
      <c r="B764" t="str">
        <f>"002327"</f>
        <v>002327</v>
      </c>
      <c r="C764" t="s">
        <v>5216</v>
      </c>
      <c r="D764" s="4">
        <v>43190</v>
      </c>
      <c r="E764" t="s">
        <v>2977</v>
      </c>
      <c r="F764" t="s">
        <v>97</v>
      </c>
      <c r="G764" t="s">
        <v>135</v>
      </c>
      <c r="H764">
        <v>0.11</v>
      </c>
      <c r="I764">
        <v>3.48</v>
      </c>
      <c r="J764">
        <v>3.04</v>
      </c>
      <c r="K764" t="s">
        <v>1972</v>
      </c>
      <c r="L764">
        <v>28.04</v>
      </c>
      <c r="M764" t="s">
        <v>1627</v>
      </c>
      <c r="N764" t="s">
        <v>5217</v>
      </c>
      <c r="O764" t="s">
        <v>1626</v>
      </c>
      <c r="P764" t="s">
        <v>5218</v>
      </c>
      <c r="Q764">
        <v>22.13</v>
      </c>
      <c r="R764" t="s">
        <v>2291</v>
      </c>
      <c r="S764">
        <v>2.37</v>
      </c>
      <c r="T764">
        <v>50.93</v>
      </c>
      <c r="U764" t="s">
        <v>3770</v>
      </c>
      <c r="V764" t="s">
        <v>1675</v>
      </c>
      <c r="W764" t="s">
        <v>2767</v>
      </c>
      <c r="X764">
        <v>3.04</v>
      </c>
      <c r="Y764" t="s">
        <v>835</v>
      </c>
      <c r="Z764" t="s">
        <v>323</v>
      </c>
      <c r="AA764" t="s">
        <v>214</v>
      </c>
      <c r="AB764">
        <v>3.18</v>
      </c>
      <c r="AC764" t="s">
        <v>1396</v>
      </c>
      <c r="AD764">
        <v>74.25</v>
      </c>
      <c r="AE764" t="s">
        <v>696</v>
      </c>
      <c r="AF764">
        <v>0.25</v>
      </c>
      <c r="AG764">
        <v>0</v>
      </c>
      <c r="AH764">
        <v>0</v>
      </c>
      <c r="AI764" s="4">
        <v>40177</v>
      </c>
    </row>
    <row r="765" spans="1:35">
      <c r="A765">
        <v>764</v>
      </c>
      <c r="B765" t="str">
        <f>"603928"</f>
        <v>603928</v>
      </c>
      <c r="C765" t="s">
        <v>5219</v>
      </c>
      <c r="D765" s="4">
        <v>43190</v>
      </c>
      <c r="E765" t="s">
        <v>1853</v>
      </c>
      <c r="F765" t="s">
        <v>5220</v>
      </c>
      <c r="G765">
        <v>3529</v>
      </c>
      <c r="H765">
        <v>0.17</v>
      </c>
      <c r="I765">
        <v>5.81</v>
      </c>
      <c r="J765">
        <v>3.03</v>
      </c>
      <c r="K765" t="s">
        <v>3197</v>
      </c>
      <c r="L765">
        <v>64.510000000000005</v>
      </c>
      <c r="M765" t="s">
        <v>5221</v>
      </c>
      <c r="N765" t="s">
        <v>5222</v>
      </c>
      <c r="O765" t="s">
        <v>5223</v>
      </c>
      <c r="P765" t="s">
        <v>4601</v>
      </c>
      <c r="Q765">
        <v>86.93</v>
      </c>
      <c r="R765" t="s">
        <v>265</v>
      </c>
      <c r="S765">
        <v>1.79</v>
      </c>
      <c r="T765">
        <v>21.49</v>
      </c>
      <c r="U765" t="s">
        <v>1384</v>
      </c>
      <c r="V765" t="s">
        <v>407</v>
      </c>
      <c r="W765" t="s">
        <v>1210</v>
      </c>
      <c r="X765">
        <v>3.03</v>
      </c>
      <c r="Y765" t="s">
        <v>916</v>
      </c>
      <c r="Z765" t="s">
        <v>66</v>
      </c>
      <c r="AA765" t="s">
        <v>5224</v>
      </c>
      <c r="AB765">
        <v>2.71</v>
      </c>
      <c r="AC765" t="s">
        <v>192</v>
      </c>
      <c r="AD765">
        <v>83.21</v>
      </c>
      <c r="AE765" t="s">
        <v>1438</v>
      </c>
      <c r="AF765">
        <v>2.72</v>
      </c>
      <c r="AG765">
        <v>0</v>
      </c>
      <c r="AH765">
        <v>0</v>
      </c>
      <c r="AI765" s="4">
        <v>42716</v>
      </c>
    </row>
    <row r="766" spans="1:35">
      <c r="A766">
        <v>765</v>
      </c>
      <c r="B766" t="str">
        <f>"002685"</f>
        <v>002685</v>
      </c>
      <c r="C766" t="s">
        <v>5225</v>
      </c>
      <c r="D766" s="4">
        <v>43190</v>
      </c>
      <c r="E766" t="s">
        <v>1094</v>
      </c>
      <c r="F766" t="s">
        <v>1002</v>
      </c>
      <c r="G766" t="s">
        <v>861</v>
      </c>
      <c r="H766">
        <v>0.13</v>
      </c>
      <c r="I766">
        <v>4.42</v>
      </c>
      <c r="J766">
        <v>3.03</v>
      </c>
      <c r="K766" t="s">
        <v>80</v>
      </c>
      <c r="L766">
        <v>64.260000000000005</v>
      </c>
      <c r="M766" t="s">
        <v>382</v>
      </c>
      <c r="N766" t="s">
        <v>5049</v>
      </c>
      <c r="O766" t="s">
        <v>552</v>
      </c>
      <c r="P766" t="s">
        <v>595</v>
      </c>
      <c r="Q766">
        <v>2331.13</v>
      </c>
      <c r="R766" t="s">
        <v>623</v>
      </c>
      <c r="S766">
        <v>0.38</v>
      </c>
      <c r="T766">
        <v>15.98</v>
      </c>
      <c r="U766" t="s">
        <v>2809</v>
      </c>
      <c r="V766" t="s">
        <v>1051</v>
      </c>
      <c r="W766" t="s">
        <v>1180</v>
      </c>
      <c r="X766">
        <v>3.03</v>
      </c>
      <c r="Y766" t="s">
        <v>147</v>
      </c>
      <c r="Z766" t="s">
        <v>323</v>
      </c>
      <c r="AA766" t="s">
        <v>5226</v>
      </c>
      <c r="AB766">
        <v>1.73</v>
      </c>
      <c r="AC766" t="s">
        <v>2245</v>
      </c>
      <c r="AD766">
        <v>78.790000000000006</v>
      </c>
      <c r="AE766" t="s">
        <v>570</v>
      </c>
      <c r="AF766">
        <v>3</v>
      </c>
      <c r="AG766">
        <v>0</v>
      </c>
      <c r="AH766">
        <v>0</v>
      </c>
      <c r="AI766" s="4">
        <v>41072</v>
      </c>
    </row>
    <row r="767" spans="1:35">
      <c r="A767">
        <v>766</v>
      </c>
      <c r="B767" t="str">
        <f>"000511"</f>
        <v>000511</v>
      </c>
      <c r="C767" t="s">
        <v>5227</v>
      </c>
      <c r="D767" s="4">
        <v>43190</v>
      </c>
      <c r="E767" t="s">
        <v>973</v>
      </c>
      <c r="F767" t="s">
        <v>973</v>
      </c>
      <c r="G767">
        <v>7006</v>
      </c>
      <c r="H767">
        <v>0.03</v>
      </c>
      <c r="I767">
        <v>0.87</v>
      </c>
      <c r="J767">
        <v>3.03</v>
      </c>
      <c r="K767" t="s">
        <v>602</v>
      </c>
      <c r="L767">
        <v>718.72</v>
      </c>
      <c r="M767" t="s">
        <v>5228</v>
      </c>
      <c r="N767" t="s">
        <v>5229</v>
      </c>
      <c r="O767" t="s">
        <v>5230</v>
      </c>
      <c r="P767" t="s">
        <v>4383</v>
      </c>
      <c r="Q767">
        <v>197</v>
      </c>
      <c r="R767" t="s">
        <v>5231</v>
      </c>
      <c r="S767">
        <v>-0.35</v>
      </c>
      <c r="T767">
        <v>12.37</v>
      </c>
      <c r="U767" t="s">
        <v>457</v>
      </c>
      <c r="V767" t="s">
        <v>1161</v>
      </c>
      <c r="W767" t="s">
        <v>5232</v>
      </c>
      <c r="X767">
        <v>3.03</v>
      </c>
      <c r="Y767" t="s">
        <v>352</v>
      </c>
      <c r="Z767" t="s">
        <v>242</v>
      </c>
      <c r="AA767" t="s">
        <v>1119</v>
      </c>
      <c r="AB767">
        <v>2.12</v>
      </c>
      <c r="AC767" t="s">
        <v>895</v>
      </c>
      <c r="AD767">
        <v>29.26</v>
      </c>
      <c r="AE767" t="s">
        <v>5233</v>
      </c>
      <c r="AF767">
        <v>0.06</v>
      </c>
      <c r="AG767">
        <v>0</v>
      </c>
      <c r="AH767">
        <v>0</v>
      </c>
      <c r="AI767" s="4">
        <v>34107</v>
      </c>
    </row>
    <row r="768" spans="1:35">
      <c r="A768">
        <v>767</v>
      </c>
      <c r="B768" t="str">
        <f>"601877"</f>
        <v>601877</v>
      </c>
      <c r="C768" t="s">
        <v>5234</v>
      </c>
      <c r="D768" s="4">
        <v>43190</v>
      </c>
      <c r="E768" t="s">
        <v>449</v>
      </c>
      <c r="F768" t="s">
        <v>820</v>
      </c>
      <c r="G768" t="s">
        <v>5235</v>
      </c>
      <c r="H768">
        <v>0.28000000000000003</v>
      </c>
      <c r="I768">
        <v>8.85</v>
      </c>
      <c r="J768">
        <v>3.02</v>
      </c>
      <c r="K768" t="s">
        <v>1327</v>
      </c>
      <c r="L768">
        <v>27.99</v>
      </c>
      <c r="M768" t="s">
        <v>2010</v>
      </c>
      <c r="N768" t="s">
        <v>916</v>
      </c>
      <c r="O768" t="s">
        <v>3234</v>
      </c>
      <c r="P768" t="s">
        <v>1480</v>
      </c>
      <c r="Q768">
        <v>70.59</v>
      </c>
      <c r="R768" t="s">
        <v>1196</v>
      </c>
      <c r="S768">
        <v>2.37</v>
      </c>
      <c r="T768">
        <v>26.95</v>
      </c>
      <c r="U768" t="s">
        <v>5236</v>
      </c>
      <c r="V768" t="s">
        <v>1337</v>
      </c>
      <c r="W768" t="s">
        <v>899</v>
      </c>
      <c r="X768">
        <v>3.02</v>
      </c>
      <c r="Y768" t="s">
        <v>2863</v>
      </c>
      <c r="Z768" t="s">
        <v>1784</v>
      </c>
      <c r="AA768" t="s">
        <v>232</v>
      </c>
      <c r="AB768">
        <v>2.4900000000000002</v>
      </c>
      <c r="AC768" t="s">
        <v>2522</v>
      </c>
      <c r="AD768">
        <v>46.38</v>
      </c>
      <c r="AE768" t="s">
        <v>2066</v>
      </c>
      <c r="AF768">
        <v>5.12</v>
      </c>
      <c r="AG768">
        <v>0</v>
      </c>
      <c r="AH768">
        <v>0</v>
      </c>
      <c r="AI768" s="4">
        <v>40199</v>
      </c>
    </row>
    <row r="769" spans="1:35">
      <c r="A769">
        <v>768</v>
      </c>
      <c r="B769" t="str">
        <f>"600755"</f>
        <v>600755</v>
      </c>
      <c r="C769" t="s">
        <v>5237</v>
      </c>
      <c r="D769" s="4">
        <v>43190</v>
      </c>
      <c r="E769" t="s">
        <v>754</v>
      </c>
      <c r="F769" t="s">
        <v>754</v>
      </c>
      <c r="G769" t="s">
        <v>2985</v>
      </c>
      <c r="H769">
        <v>0.28999999999999998</v>
      </c>
      <c r="I769">
        <v>6.54</v>
      </c>
      <c r="J769">
        <v>3.02</v>
      </c>
      <c r="K769" t="s">
        <v>1985</v>
      </c>
      <c r="L769">
        <v>33.71</v>
      </c>
      <c r="M769" t="s">
        <v>805</v>
      </c>
      <c r="N769" t="s">
        <v>5238</v>
      </c>
      <c r="O769" t="s">
        <v>488</v>
      </c>
      <c r="P769" t="s">
        <v>666</v>
      </c>
      <c r="Q769">
        <v>23.2</v>
      </c>
      <c r="R769" t="s">
        <v>879</v>
      </c>
      <c r="S769">
        <v>3.54</v>
      </c>
      <c r="T769">
        <v>4.42</v>
      </c>
      <c r="U769" t="s">
        <v>5239</v>
      </c>
      <c r="V769" t="s">
        <v>5240</v>
      </c>
      <c r="W769" t="s">
        <v>847</v>
      </c>
      <c r="X769">
        <v>3.02</v>
      </c>
      <c r="Y769" t="s">
        <v>2199</v>
      </c>
      <c r="Z769" t="s">
        <v>5241</v>
      </c>
      <c r="AA769" t="s">
        <v>1305</v>
      </c>
      <c r="AB769">
        <v>1.0900000000000001</v>
      </c>
      <c r="AC769" t="s">
        <v>2077</v>
      </c>
      <c r="AD769">
        <v>28.07</v>
      </c>
      <c r="AE769" t="s">
        <v>570</v>
      </c>
      <c r="AF769">
        <v>1.67</v>
      </c>
      <c r="AG769">
        <v>0</v>
      </c>
      <c r="AH769">
        <v>0</v>
      </c>
      <c r="AI769" s="4">
        <v>35341</v>
      </c>
    </row>
    <row r="770" spans="1:35">
      <c r="A770">
        <v>769</v>
      </c>
      <c r="B770" t="str">
        <f>"002357"</f>
        <v>002357</v>
      </c>
      <c r="C770" t="s">
        <v>5242</v>
      </c>
      <c r="D770" s="4">
        <v>43190</v>
      </c>
      <c r="E770" t="s">
        <v>121</v>
      </c>
      <c r="F770" t="s">
        <v>121</v>
      </c>
      <c r="G770" t="s">
        <v>1381</v>
      </c>
      <c r="H770">
        <v>0.11</v>
      </c>
      <c r="I770">
        <v>3.48</v>
      </c>
      <c r="J770">
        <v>3.02</v>
      </c>
      <c r="K770" t="s">
        <v>1180</v>
      </c>
      <c r="L770">
        <v>-14.53</v>
      </c>
      <c r="M770" t="s">
        <v>5243</v>
      </c>
      <c r="N770" t="s">
        <v>5244</v>
      </c>
      <c r="O770" t="s">
        <v>5245</v>
      </c>
      <c r="P770" t="s">
        <v>5246</v>
      </c>
      <c r="Q770">
        <v>-24.34</v>
      </c>
      <c r="R770" t="s">
        <v>1596</v>
      </c>
      <c r="S770">
        <v>1.48</v>
      </c>
      <c r="T770">
        <v>24.53</v>
      </c>
      <c r="U770" t="s">
        <v>426</v>
      </c>
      <c r="V770" t="s">
        <v>535</v>
      </c>
      <c r="W770" t="s">
        <v>489</v>
      </c>
      <c r="X770">
        <v>3.02</v>
      </c>
      <c r="Y770" t="s">
        <v>855</v>
      </c>
      <c r="Z770" t="s">
        <v>1496</v>
      </c>
      <c r="AA770" t="s">
        <v>1806</v>
      </c>
      <c r="AB770">
        <v>1.86</v>
      </c>
      <c r="AC770" t="s">
        <v>147</v>
      </c>
      <c r="AD770">
        <v>41.09</v>
      </c>
      <c r="AE770" t="s">
        <v>698</v>
      </c>
      <c r="AF770">
        <v>0.6</v>
      </c>
      <c r="AG770">
        <v>0</v>
      </c>
      <c r="AH770">
        <v>0</v>
      </c>
      <c r="AI770" s="4">
        <v>40219</v>
      </c>
    </row>
    <row r="771" spans="1:35">
      <c r="A771">
        <v>770</v>
      </c>
      <c r="B771" t="str">
        <f>"600380"</f>
        <v>600380</v>
      </c>
      <c r="C771" t="s">
        <v>5247</v>
      </c>
      <c r="D771" s="4">
        <v>43190</v>
      </c>
      <c r="E771" t="s">
        <v>848</v>
      </c>
      <c r="F771" t="s">
        <v>1792</v>
      </c>
      <c r="G771" t="s">
        <v>70</v>
      </c>
      <c r="H771">
        <v>0.14000000000000001</v>
      </c>
      <c r="I771">
        <v>4.82</v>
      </c>
      <c r="J771">
        <v>3.01</v>
      </c>
      <c r="K771" t="s">
        <v>1625</v>
      </c>
      <c r="L771">
        <v>9.08</v>
      </c>
      <c r="M771" t="s">
        <v>1703</v>
      </c>
      <c r="N771" t="s">
        <v>5248</v>
      </c>
      <c r="O771" t="s">
        <v>858</v>
      </c>
      <c r="P771" t="s">
        <v>2733</v>
      </c>
      <c r="Q771">
        <v>17.850000000000001</v>
      </c>
      <c r="R771" t="s">
        <v>3386</v>
      </c>
      <c r="S771">
        <v>3</v>
      </c>
      <c r="T771">
        <v>64.819999999999993</v>
      </c>
      <c r="U771" t="s">
        <v>1385</v>
      </c>
      <c r="V771" t="s">
        <v>398</v>
      </c>
      <c r="W771" t="s">
        <v>1583</v>
      </c>
      <c r="X771">
        <v>3.01</v>
      </c>
      <c r="Y771" t="s">
        <v>2626</v>
      </c>
      <c r="Z771" t="s">
        <v>4310</v>
      </c>
      <c r="AA771" t="s">
        <v>298</v>
      </c>
      <c r="AB771">
        <v>2.12</v>
      </c>
      <c r="AC771" t="s">
        <v>1498</v>
      </c>
      <c r="AD771">
        <v>34.229999999999997</v>
      </c>
      <c r="AE771" t="s">
        <v>2537</v>
      </c>
      <c r="AF771">
        <v>0.59</v>
      </c>
      <c r="AG771">
        <v>0</v>
      </c>
      <c r="AH771">
        <v>0</v>
      </c>
      <c r="AI771" s="4">
        <v>37050</v>
      </c>
    </row>
    <row r="772" spans="1:35">
      <c r="A772">
        <v>771</v>
      </c>
      <c r="B772" t="str">
        <f>"603980"</f>
        <v>603980</v>
      </c>
      <c r="C772" t="s">
        <v>5249</v>
      </c>
      <c r="D772" s="4">
        <v>43190</v>
      </c>
      <c r="E772" t="s">
        <v>999</v>
      </c>
      <c r="F772" t="s">
        <v>219</v>
      </c>
      <c r="G772">
        <v>2674</v>
      </c>
      <c r="H772">
        <v>0.24</v>
      </c>
      <c r="I772">
        <v>8.18</v>
      </c>
      <c r="J772">
        <v>3.01</v>
      </c>
      <c r="K772" t="s">
        <v>1330</v>
      </c>
      <c r="L772">
        <v>-5.21</v>
      </c>
      <c r="M772" t="s">
        <v>64</v>
      </c>
      <c r="N772" t="s">
        <v>5250</v>
      </c>
      <c r="O772" t="s">
        <v>1360</v>
      </c>
      <c r="P772" t="s">
        <v>1525</v>
      </c>
      <c r="Q772">
        <v>21.38</v>
      </c>
      <c r="R772" t="s">
        <v>891</v>
      </c>
      <c r="S772">
        <v>3.72</v>
      </c>
      <c r="T772">
        <v>34.89</v>
      </c>
      <c r="U772" t="s">
        <v>2567</v>
      </c>
      <c r="V772" t="s">
        <v>817</v>
      </c>
      <c r="W772" t="s">
        <v>978</v>
      </c>
      <c r="X772">
        <v>3.01</v>
      </c>
      <c r="Y772" t="s">
        <v>872</v>
      </c>
      <c r="Z772" t="s">
        <v>858</v>
      </c>
      <c r="AA772" t="s">
        <v>5251</v>
      </c>
      <c r="AB772">
        <v>1.85</v>
      </c>
      <c r="AC772" t="s">
        <v>763</v>
      </c>
      <c r="AD772">
        <v>84.6</v>
      </c>
      <c r="AE772" t="s">
        <v>747</v>
      </c>
      <c r="AF772">
        <v>3.1</v>
      </c>
      <c r="AG772">
        <v>0</v>
      </c>
      <c r="AH772">
        <v>0</v>
      </c>
      <c r="AI772" s="4">
        <v>42901</v>
      </c>
    </row>
    <row r="773" spans="1:35">
      <c r="A773">
        <v>772</v>
      </c>
      <c r="B773" t="str">
        <f>"603359"</f>
        <v>603359</v>
      </c>
      <c r="C773" t="s">
        <v>5252</v>
      </c>
      <c r="D773" s="4">
        <v>43190</v>
      </c>
      <c r="E773" t="s">
        <v>301</v>
      </c>
      <c r="F773" t="s">
        <v>5253</v>
      </c>
      <c r="G773">
        <v>2488</v>
      </c>
      <c r="H773">
        <v>0.23</v>
      </c>
      <c r="I773">
        <v>7.41</v>
      </c>
      <c r="J773">
        <v>3.01</v>
      </c>
      <c r="K773" t="s">
        <v>2029</v>
      </c>
      <c r="L773">
        <v>51.92</v>
      </c>
      <c r="M773" t="s">
        <v>5254</v>
      </c>
      <c r="N773" t="s">
        <v>5255</v>
      </c>
      <c r="O773" t="s">
        <v>5254</v>
      </c>
      <c r="P773" t="s">
        <v>5256</v>
      </c>
      <c r="Q773">
        <v>65.02</v>
      </c>
      <c r="R773" t="s">
        <v>2329</v>
      </c>
      <c r="S773">
        <v>2.77</v>
      </c>
      <c r="T773">
        <v>28.35</v>
      </c>
      <c r="U773" t="s">
        <v>1517</v>
      </c>
      <c r="V773" t="s">
        <v>1175</v>
      </c>
      <c r="W773" t="s">
        <v>5257</v>
      </c>
      <c r="X773">
        <v>3.01</v>
      </c>
      <c r="Y773" t="s">
        <v>983</v>
      </c>
      <c r="Z773" t="s">
        <v>983</v>
      </c>
      <c r="AA773">
        <v>0</v>
      </c>
      <c r="AB773">
        <v>2.75</v>
      </c>
      <c r="AC773" t="s">
        <v>1687</v>
      </c>
      <c r="AD773">
        <v>60.6</v>
      </c>
      <c r="AE773" t="s">
        <v>973</v>
      </c>
      <c r="AF773">
        <v>3.33</v>
      </c>
      <c r="AG773">
        <v>0</v>
      </c>
      <c r="AH773">
        <v>0</v>
      </c>
      <c r="AI773" s="4">
        <v>42979</v>
      </c>
    </row>
    <row r="774" spans="1:35">
      <c r="A774">
        <v>773</v>
      </c>
      <c r="B774" t="str">
        <f>"601111"</f>
        <v>601111</v>
      </c>
      <c r="C774" t="s">
        <v>5258</v>
      </c>
      <c r="D774" s="4">
        <v>43190</v>
      </c>
      <c r="E774" t="s">
        <v>1222</v>
      </c>
      <c r="F774" t="s">
        <v>5259</v>
      </c>
      <c r="G774">
        <v>0</v>
      </c>
      <c r="H774">
        <v>0.18</v>
      </c>
      <c r="I774">
        <v>6.08</v>
      </c>
      <c r="J774">
        <v>3.01</v>
      </c>
      <c r="K774" t="s">
        <v>5260</v>
      </c>
      <c r="L774">
        <v>9.11</v>
      </c>
      <c r="M774" t="s">
        <v>2643</v>
      </c>
      <c r="N774" t="s">
        <v>45</v>
      </c>
      <c r="O774" t="s">
        <v>2643</v>
      </c>
      <c r="P774" t="s">
        <v>2515</v>
      </c>
      <c r="Q774">
        <v>79.23</v>
      </c>
      <c r="R774" t="s">
        <v>5261</v>
      </c>
      <c r="S774">
        <v>2.81</v>
      </c>
      <c r="T774">
        <v>15.83</v>
      </c>
      <c r="U774" t="s">
        <v>5262</v>
      </c>
      <c r="V774" t="s">
        <v>1982</v>
      </c>
      <c r="W774" t="s">
        <v>5263</v>
      </c>
      <c r="X774">
        <v>3.01</v>
      </c>
      <c r="Y774" t="s">
        <v>5264</v>
      </c>
      <c r="Z774" t="s">
        <v>5265</v>
      </c>
      <c r="AA774" t="s">
        <v>4371</v>
      </c>
      <c r="AB774">
        <v>1.94</v>
      </c>
      <c r="AC774" t="s">
        <v>5266</v>
      </c>
      <c r="AD774">
        <v>37.619999999999997</v>
      </c>
      <c r="AE774" t="s">
        <v>1739</v>
      </c>
      <c r="AF774">
        <v>1.81</v>
      </c>
      <c r="AG774">
        <v>0</v>
      </c>
      <c r="AH774" t="s">
        <v>1660</v>
      </c>
      <c r="AI774" s="4">
        <v>38947</v>
      </c>
    </row>
    <row r="775" spans="1:35">
      <c r="A775">
        <v>774</v>
      </c>
      <c r="B775" t="str">
        <f>"600019"</f>
        <v>600019</v>
      </c>
      <c r="C775" t="s">
        <v>5267</v>
      </c>
      <c r="D775" s="4">
        <v>43190</v>
      </c>
      <c r="E775" t="s">
        <v>715</v>
      </c>
      <c r="F775" t="s">
        <v>2616</v>
      </c>
      <c r="G775" t="s">
        <v>2175</v>
      </c>
      <c r="H775">
        <v>0.23</v>
      </c>
      <c r="I775">
        <v>7.15</v>
      </c>
      <c r="J775">
        <v>3.01</v>
      </c>
      <c r="K775" t="s">
        <v>2529</v>
      </c>
      <c r="L775">
        <v>-6.82</v>
      </c>
      <c r="M775" t="s">
        <v>5268</v>
      </c>
      <c r="N775" t="s">
        <v>3324</v>
      </c>
      <c r="O775" t="s">
        <v>5269</v>
      </c>
      <c r="P775" t="s">
        <v>5270</v>
      </c>
      <c r="Q775">
        <v>32.6</v>
      </c>
      <c r="R775" t="s">
        <v>1552</v>
      </c>
      <c r="S775">
        <v>2.68</v>
      </c>
      <c r="T775">
        <v>16.350000000000001</v>
      </c>
      <c r="U775" t="s">
        <v>5271</v>
      </c>
      <c r="V775" t="s">
        <v>5272</v>
      </c>
      <c r="W775" t="s">
        <v>5273</v>
      </c>
      <c r="X775">
        <v>3.01</v>
      </c>
      <c r="Y775" t="s">
        <v>5274</v>
      </c>
      <c r="Z775" t="s">
        <v>5275</v>
      </c>
      <c r="AA775" t="s">
        <v>246</v>
      </c>
      <c r="AB775">
        <v>1.2</v>
      </c>
      <c r="AC775" t="s">
        <v>5276</v>
      </c>
      <c r="AD775">
        <v>47.87</v>
      </c>
      <c r="AE775" t="s">
        <v>2404</v>
      </c>
      <c r="AF775">
        <v>2.19</v>
      </c>
      <c r="AG775">
        <v>0</v>
      </c>
      <c r="AH775">
        <v>0</v>
      </c>
      <c r="AI775" s="4">
        <v>36872</v>
      </c>
    </row>
    <row r="776" spans="1:35">
      <c r="A776">
        <v>775</v>
      </c>
      <c r="B776" t="str">
        <f>"002126"</f>
        <v>002126</v>
      </c>
      <c r="C776" t="s">
        <v>5277</v>
      </c>
      <c r="D776" s="4">
        <v>43190</v>
      </c>
      <c r="E776" t="s">
        <v>4000</v>
      </c>
      <c r="F776" t="s">
        <v>116</v>
      </c>
      <c r="G776" t="s">
        <v>630</v>
      </c>
      <c r="H776">
        <v>0.13</v>
      </c>
      <c r="I776">
        <v>4.26</v>
      </c>
      <c r="J776">
        <v>3.01</v>
      </c>
      <c r="K776" t="s">
        <v>625</v>
      </c>
      <c r="L776">
        <v>29.53</v>
      </c>
      <c r="M776" t="s">
        <v>1376</v>
      </c>
      <c r="N776" t="s">
        <v>5278</v>
      </c>
      <c r="O776" t="s">
        <v>2306</v>
      </c>
      <c r="P776" t="s">
        <v>533</v>
      </c>
      <c r="Q776">
        <v>30.11</v>
      </c>
      <c r="R776" t="s">
        <v>924</v>
      </c>
      <c r="S776">
        <v>1.64</v>
      </c>
      <c r="T776">
        <v>25.94</v>
      </c>
      <c r="U776" t="s">
        <v>5279</v>
      </c>
      <c r="V776" t="s">
        <v>113</v>
      </c>
      <c r="W776" t="s">
        <v>982</v>
      </c>
      <c r="X776">
        <v>3.01</v>
      </c>
      <c r="Y776" t="s">
        <v>423</v>
      </c>
      <c r="Z776" t="s">
        <v>1252</v>
      </c>
      <c r="AA776" t="s">
        <v>1011</v>
      </c>
      <c r="AB776">
        <v>2.14</v>
      </c>
      <c r="AC776" t="s">
        <v>1248</v>
      </c>
      <c r="AD776">
        <v>49.6</v>
      </c>
      <c r="AE776" t="s">
        <v>699</v>
      </c>
      <c r="AF776">
        <v>1.35</v>
      </c>
      <c r="AG776">
        <v>0</v>
      </c>
      <c r="AH776">
        <v>0</v>
      </c>
      <c r="AI776" s="4">
        <v>39190</v>
      </c>
    </row>
    <row r="777" spans="1:35">
      <c r="A777">
        <v>776</v>
      </c>
      <c r="B777" t="str">
        <f>"002352"</f>
        <v>002352</v>
      </c>
      <c r="C777" t="s">
        <v>5280</v>
      </c>
      <c r="D777" s="4">
        <v>43190</v>
      </c>
      <c r="E777" t="s">
        <v>738</v>
      </c>
      <c r="F777" t="s">
        <v>299</v>
      </c>
      <c r="G777" t="s">
        <v>294</v>
      </c>
      <c r="H777">
        <v>0.23</v>
      </c>
      <c r="I777">
        <v>7.4</v>
      </c>
      <c r="J777">
        <v>3</v>
      </c>
      <c r="K777" t="s">
        <v>2522</v>
      </c>
      <c r="L777">
        <v>32.96</v>
      </c>
      <c r="M777" t="s">
        <v>924</v>
      </c>
      <c r="N777" t="s">
        <v>2603</v>
      </c>
      <c r="O777" t="s">
        <v>124</v>
      </c>
      <c r="P777" t="s">
        <v>2721</v>
      </c>
      <c r="Q777">
        <v>28.58</v>
      </c>
      <c r="R777" t="s">
        <v>1745</v>
      </c>
      <c r="S777">
        <v>2.61</v>
      </c>
      <c r="T777">
        <v>17.64</v>
      </c>
      <c r="U777" t="s">
        <v>3206</v>
      </c>
      <c r="V777" t="s">
        <v>2065</v>
      </c>
      <c r="W777" t="s">
        <v>815</v>
      </c>
      <c r="X777">
        <v>3</v>
      </c>
      <c r="Y777" t="s">
        <v>3500</v>
      </c>
      <c r="Z777" t="s">
        <v>1150</v>
      </c>
      <c r="AA777" t="s">
        <v>461</v>
      </c>
      <c r="AB777">
        <v>6.08</v>
      </c>
      <c r="AC777" t="s">
        <v>5281</v>
      </c>
      <c r="AD777">
        <v>57.27</v>
      </c>
      <c r="AE777" t="s">
        <v>3129</v>
      </c>
      <c r="AF777">
        <v>3.62</v>
      </c>
      <c r="AG777">
        <v>0</v>
      </c>
      <c r="AH777">
        <v>0</v>
      </c>
      <c r="AI777" s="4">
        <v>40214</v>
      </c>
    </row>
    <row r="778" spans="1:35">
      <c r="A778">
        <v>777</v>
      </c>
      <c r="B778" t="str">
        <f>"002320"</f>
        <v>002320</v>
      </c>
      <c r="C778" t="s">
        <v>5282</v>
      </c>
      <c r="D778" s="4">
        <v>43190</v>
      </c>
      <c r="E778" t="s">
        <v>1408</v>
      </c>
      <c r="F778" t="s">
        <v>695</v>
      </c>
      <c r="G778" t="s">
        <v>1261</v>
      </c>
      <c r="H778">
        <v>0.17</v>
      </c>
      <c r="I778">
        <v>5.45</v>
      </c>
      <c r="J778">
        <v>3</v>
      </c>
      <c r="K778" t="s">
        <v>2041</v>
      </c>
      <c r="L778">
        <v>16.420000000000002</v>
      </c>
      <c r="M778" t="s">
        <v>93</v>
      </c>
      <c r="N778">
        <v>0</v>
      </c>
      <c r="O778" t="s">
        <v>93</v>
      </c>
      <c r="P778" t="s">
        <v>600</v>
      </c>
      <c r="Q778">
        <v>16.68</v>
      </c>
      <c r="R778" t="s">
        <v>458</v>
      </c>
      <c r="S778">
        <v>1.22</v>
      </c>
      <c r="T778">
        <v>54.3</v>
      </c>
      <c r="U778" t="s">
        <v>1677</v>
      </c>
      <c r="V778" t="s">
        <v>80</v>
      </c>
      <c r="W778" t="s">
        <v>352</v>
      </c>
      <c r="X778">
        <v>3</v>
      </c>
      <c r="Y778" t="s">
        <v>3119</v>
      </c>
      <c r="Z778" t="s">
        <v>89</v>
      </c>
      <c r="AA778" t="s">
        <v>5283</v>
      </c>
      <c r="AB778">
        <v>2.91</v>
      </c>
      <c r="AC778" t="s">
        <v>2871</v>
      </c>
      <c r="AD778">
        <v>89.93</v>
      </c>
      <c r="AE778" t="s">
        <v>418</v>
      </c>
      <c r="AF778">
        <v>2.83</v>
      </c>
      <c r="AG778">
        <v>0</v>
      </c>
      <c r="AH778">
        <v>0</v>
      </c>
      <c r="AI778" s="4">
        <v>40163</v>
      </c>
    </row>
    <row r="779" spans="1:35">
      <c r="A779">
        <v>778</v>
      </c>
      <c r="B779" t="str">
        <f>"600126"</f>
        <v>600126</v>
      </c>
      <c r="C779" t="s">
        <v>5284</v>
      </c>
      <c r="D779" s="4">
        <v>43190</v>
      </c>
      <c r="E779" t="s">
        <v>370</v>
      </c>
      <c r="F779" t="s">
        <v>4568</v>
      </c>
      <c r="G779" t="s">
        <v>1179</v>
      </c>
      <c r="H779">
        <v>0.19</v>
      </c>
      <c r="I779">
        <v>6.57</v>
      </c>
      <c r="J779">
        <v>2.99</v>
      </c>
      <c r="K779" t="s">
        <v>2740</v>
      </c>
      <c r="L779">
        <v>3.41</v>
      </c>
      <c r="M779" t="s">
        <v>453</v>
      </c>
      <c r="N779" t="s">
        <v>5285</v>
      </c>
      <c r="O779" t="s">
        <v>453</v>
      </c>
      <c r="P779" t="s">
        <v>442</v>
      </c>
      <c r="Q779">
        <v>143.33000000000001</v>
      </c>
      <c r="R779" t="s">
        <v>371</v>
      </c>
      <c r="S779">
        <v>1.1100000000000001</v>
      </c>
      <c r="T779">
        <v>13.05</v>
      </c>
      <c r="U779" t="s">
        <v>1882</v>
      </c>
      <c r="V779" t="s">
        <v>1254</v>
      </c>
      <c r="W779" t="s">
        <v>5259</v>
      </c>
      <c r="X779">
        <v>2.99</v>
      </c>
      <c r="Y779" t="s">
        <v>3679</v>
      </c>
      <c r="Z779" t="s">
        <v>5286</v>
      </c>
      <c r="AA779" t="s">
        <v>3193</v>
      </c>
      <c r="AB779">
        <v>0.88</v>
      </c>
      <c r="AC779" t="s">
        <v>4411</v>
      </c>
      <c r="AD779">
        <v>69.05</v>
      </c>
      <c r="AE779" t="s">
        <v>2066</v>
      </c>
      <c r="AF779">
        <v>4.25</v>
      </c>
      <c r="AG779">
        <v>0</v>
      </c>
      <c r="AH779">
        <v>0</v>
      </c>
      <c r="AI779" s="4">
        <v>35865</v>
      </c>
    </row>
    <row r="780" spans="1:35">
      <c r="A780">
        <v>779</v>
      </c>
      <c r="B780" t="str">
        <f>"000055"</f>
        <v>000055</v>
      </c>
      <c r="C780" t="s">
        <v>5287</v>
      </c>
      <c r="D780" s="4">
        <v>43190</v>
      </c>
      <c r="E780" t="s">
        <v>250</v>
      </c>
      <c r="F780" t="s">
        <v>189</v>
      </c>
      <c r="G780">
        <v>0</v>
      </c>
      <c r="H780">
        <v>0.08</v>
      </c>
      <c r="I780">
        <v>2.66</v>
      </c>
      <c r="J780">
        <v>2.99</v>
      </c>
      <c r="K780" t="s">
        <v>1044</v>
      </c>
      <c r="L780">
        <v>13.34</v>
      </c>
      <c r="M780" t="s">
        <v>802</v>
      </c>
      <c r="N780" t="s">
        <v>5288</v>
      </c>
      <c r="O780" t="s">
        <v>2306</v>
      </c>
      <c r="P780" t="s">
        <v>5289</v>
      </c>
      <c r="Q780">
        <v>45.19</v>
      </c>
      <c r="R780" t="s">
        <v>419</v>
      </c>
      <c r="S780">
        <v>1.51</v>
      </c>
      <c r="T780">
        <v>38.75</v>
      </c>
      <c r="U780" t="s">
        <v>1172</v>
      </c>
      <c r="V780" t="s">
        <v>245</v>
      </c>
      <c r="W780" t="s">
        <v>1703</v>
      </c>
      <c r="X780">
        <v>2.99</v>
      </c>
      <c r="Y780" t="s">
        <v>1312</v>
      </c>
      <c r="Z780" t="s">
        <v>1546</v>
      </c>
      <c r="AA780" t="s">
        <v>124</v>
      </c>
      <c r="AB780">
        <v>2.0699999999999998</v>
      </c>
      <c r="AC780" t="s">
        <v>1488</v>
      </c>
      <c r="AD780">
        <v>44.04</v>
      </c>
      <c r="AE780" t="s">
        <v>5290</v>
      </c>
      <c r="AF780">
        <v>0.06</v>
      </c>
      <c r="AG780" t="s">
        <v>1018</v>
      </c>
      <c r="AH780">
        <v>0</v>
      </c>
      <c r="AI780" s="4">
        <v>35170</v>
      </c>
    </row>
    <row r="781" spans="1:35">
      <c r="A781">
        <v>780</v>
      </c>
      <c r="B781" t="str">
        <f>"603569"</f>
        <v>603569</v>
      </c>
      <c r="C781" t="s">
        <v>5291</v>
      </c>
      <c r="D781" s="4">
        <v>43190</v>
      </c>
      <c r="E781" t="s">
        <v>1002</v>
      </c>
      <c r="F781" t="s">
        <v>4001</v>
      </c>
      <c r="G781">
        <v>3137</v>
      </c>
      <c r="H781">
        <v>0.12</v>
      </c>
      <c r="I781">
        <v>3.81</v>
      </c>
      <c r="J781">
        <v>2.98</v>
      </c>
      <c r="K781" t="s">
        <v>264</v>
      </c>
      <c r="L781">
        <v>3.12</v>
      </c>
      <c r="M781" t="s">
        <v>5292</v>
      </c>
      <c r="N781" t="s">
        <v>5293</v>
      </c>
      <c r="O781" t="s">
        <v>5294</v>
      </c>
      <c r="P781" t="s">
        <v>5295</v>
      </c>
      <c r="Q781">
        <v>43.05</v>
      </c>
      <c r="R781" t="s">
        <v>295</v>
      </c>
      <c r="S781">
        <v>1.76</v>
      </c>
      <c r="T781">
        <v>10.84</v>
      </c>
      <c r="U781" t="s">
        <v>2059</v>
      </c>
      <c r="V781" t="s">
        <v>1205</v>
      </c>
      <c r="W781" t="s">
        <v>2192</v>
      </c>
      <c r="X781">
        <v>2.98</v>
      </c>
      <c r="Y781" t="s">
        <v>261</v>
      </c>
      <c r="Z781" t="s">
        <v>1255</v>
      </c>
      <c r="AA781" t="s">
        <v>1484</v>
      </c>
      <c r="AB781">
        <v>3.83</v>
      </c>
      <c r="AC781" t="s">
        <v>1390</v>
      </c>
      <c r="AD781">
        <v>48.5</v>
      </c>
      <c r="AE781" t="s">
        <v>592</v>
      </c>
      <c r="AF781">
        <v>0.69</v>
      </c>
      <c r="AG781">
        <v>0</v>
      </c>
      <c r="AH781">
        <v>0</v>
      </c>
      <c r="AI781" s="4">
        <v>42592</v>
      </c>
    </row>
    <row r="782" spans="1:35">
      <c r="A782">
        <v>781</v>
      </c>
      <c r="B782" t="str">
        <f>"600673"</f>
        <v>600673</v>
      </c>
      <c r="C782" t="s">
        <v>5296</v>
      </c>
      <c r="D782" s="4">
        <v>43190</v>
      </c>
      <c r="E782" t="s">
        <v>1687</v>
      </c>
      <c r="F782" t="s">
        <v>1516</v>
      </c>
      <c r="G782" t="s">
        <v>5297</v>
      </c>
      <c r="H782">
        <v>0.05</v>
      </c>
      <c r="I782">
        <v>1.79</v>
      </c>
      <c r="J782">
        <v>2.98</v>
      </c>
      <c r="K782" t="s">
        <v>712</v>
      </c>
      <c r="L782">
        <v>27.09</v>
      </c>
      <c r="M782" t="s">
        <v>845</v>
      </c>
      <c r="N782" t="s">
        <v>5298</v>
      </c>
      <c r="O782" t="s">
        <v>3111</v>
      </c>
      <c r="P782" t="s">
        <v>802</v>
      </c>
      <c r="Q782">
        <v>216.4</v>
      </c>
      <c r="R782" t="s">
        <v>1367</v>
      </c>
      <c r="S782">
        <v>0.64</v>
      </c>
      <c r="T782">
        <v>22.28</v>
      </c>
      <c r="U782" t="s">
        <v>1524</v>
      </c>
      <c r="V782" t="s">
        <v>2211</v>
      </c>
      <c r="W782" t="s">
        <v>1669</v>
      </c>
      <c r="X782">
        <v>2.98</v>
      </c>
      <c r="Y782" t="s">
        <v>4940</v>
      </c>
      <c r="Z782" t="s">
        <v>4683</v>
      </c>
      <c r="AA782" t="s">
        <v>261</v>
      </c>
      <c r="AB782">
        <v>5.64</v>
      </c>
      <c r="AC782" t="s">
        <v>738</v>
      </c>
      <c r="AD782">
        <v>33.200000000000003</v>
      </c>
      <c r="AE782" t="s">
        <v>595</v>
      </c>
      <c r="AF782">
        <v>0.05</v>
      </c>
      <c r="AG782">
        <v>0</v>
      </c>
      <c r="AH782">
        <v>0</v>
      </c>
      <c r="AI782" s="4">
        <v>34229</v>
      </c>
    </row>
    <row r="783" spans="1:35">
      <c r="A783">
        <v>782</v>
      </c>
      <c r="B783" t="str">
        <f>"000528"</f>
        <v>000528</v>
      </c>
      <c r="C783" t="s">
        <v>5299</v>
      </c>
      <c r="D783" s="4">
        <v>43190</v>
      </c>
      <c r="E783" t="s">
        <v>835</v>
      </c>
      <c r="F783" t="s">
        <v>835</v>
      </c>
      <c r="G783" t="s">
        <v>2985</v>
      </c>
      <c r="H783">
        <v>0.26</v>
      </c>
      <c r="I783">
        <v>8.1300000000000008</v>
      </c>
      <c r="J783">
        <v>2.98</v>
      </c>
      <c r="K783" t="s">
        <v>5300</v>
      </c>
      <c r="L783">
        <v>70.760000000000005</v>
      </c>
      <c r="M783" t="s">
        <v>3259</v>
      </c>
      <c r="N783" t="s">
        <v>5301</v>
      </c>
      <c r="O783" t="s">
        <v>479</v>
      </c>
      <c r="P783" t="s">
        <v>286</v>
      </c>
      <c r="Q783">
        <v>143.38</v>
      </c>
      <c r="R783" t="s">
        <v>1322</v>
      </c>
      <c r="S783">
        <v>3.53</v>
      </c>
      <c r="T783">
        <v>22.77</v>
      </c>
      <c r="U783" t="s">
        <v>2077</v>
      </c>
      <c r="V783" t="s">
        <v>2050</v>
      </c>
      <c r="W783" t="s">
        <v>2100</v>
      </c>
      <c r="X783">
        <v>2.98</v>
      </c>
      <c r="Y783" t="s">
        <v>1453</v>
      </c>
      <c r="Z783" t="s">
        <v>1465</v>
      </c>
      <c r="AA783" t="s">
        <v>710</v>
      </c>
      <c r="AB783">
        <v>1.1399999999999999</v>
      </c>
      <c r="AC783" t="s">
        <v>5302</v>
      </c>
      <c r="AD783">
        <v>38.130000000000003</v>
      </c>
      <c r="AE783" t="s">
        <v>884</v>
      </c>
      <c r="AF783">
        <v>3.02</v>
      </c>
      <c r="AG783">
        <v>0</v>
      </c>
      <c r="AH783">
        <v>0</v>
      </c>
      <c r="AI783" s="4">
        <v>34291</v>
      </c>
    </row>
    <row r="784" spans="1:35">
      <c r="A784">
        <v>783</v>
      </c>
      <c r="B784" t="str">
        <f>"603838"</f>
        <v>603838</v>
      </c>
      <c r="C784" t="s">
        <v>5303</v>
      </c>
      <c r="D784" s="4">
        <v>43190</v>
      </c>
      <c r="E784" t="s">
        <v>122</v>
      </c>
      <c r="F784" t="s">
        <v>5304</v>
      </c>
      <c r="G784">
        <v>4847</v>
      </c>
      <c r="H784">
        <v>0.08</v>
      </c>
      <c r="I784">
        <v>2.61</v>
      </c>
      <c r="J784">
        <v>2.97</v>
      </c>
      <c r="K784" t="s">
        <v>5305</v>
      </c>
      <c r="L784">
        <v>-5.76</v>
      </c>
      <c r="M784" t="s">
        <v>5306</v>
      </c>
      <c r="N784" t="s">
        <v>1342</v>
      </c>
      <c r="O784" t="s">
        <v>5307</v>
      </c>
      <c r="P784" t="s">
        <v>5308</v>
      </c>
      <c r="Q784">
        <v>49.58</v>
      </c>
      <c r="R784" t="s">
        <v>594</v>
      </c>
      <c r="S784">
        <v>0.98</v>
      </c>
      <c r="T784">
        <v>35.81</v>
      </c>
      <c r="U784" t="s">
        <v>767</v>
      </c>
      <c r="V784" t="s">
        <v>338</v>
      </c>
      <c r="W784" t="s">
        <v>5309</v>
      </c>
      <c r="X784">
        <v>2.97</v>
      </c>
      <c r="Y784" t="s">
        <v>5310</v>
      </c>
      <c r="Z784" t="s">
        <v>5311</v>
      </c>
      <c r="AA784" t="s">
        <v>5312</v>
      </c>
      <c r="AB784">
        <v>3.84</v>
      </c>
      <c r="AC784" t="s">
        <v>523</v>
      </c>
      <c r="AD784">
        <v>87.62</v>
      </c>
      <c r="AE784" t="s">
        <v>1974</v>
      </c>
      <c r="AF784">
        <v>0.52</v>
      </c>
      <c r="AG784">
        <v>0</v>
      </c>
      <c r="AH784">
        <v>0</v>
      </c>
      <c r="AI784" s="4">
        <v>42186</v>
      </c>
    </row>
    <row r="785" spans="1:35">
      <c r="A785">
        <v>784</v>
      </c>
      <c r="B785" t="str">
        <f>"002653"</f>
        <v>002653</v>
      </c>
      <c r="C785" t="s">
        <v>5313</v>
      </c>
      <c r="D785" s="4">
        <v>43190</v>
      </c>
      <c r="E785" t="s">
        <v>699</v>
      </c>
      <c r="F785" t="s">
        <v>616</v>
      </c>
      <c r="G785" t="s">
        <v>4099</v>
      </c>
      <c r="H785">
        <v>0.06</v>
      </c>
      <c r="I785">
        <v>1.89</v>
      </c>
      <c r="J785">
        <v>2.97</v>
      </c>
      <c r="K785" t="s">
        <v>3006</v>
      </c>
      <c r="L785">
        <v>75.14</v>
      </c>
      <c r="M785" t="s">
        <v>5314</v>
      </c>
      <c r="N785" t="s">
        <v>5315</v>
      </c>
      <c r="O785" t="s">
        <v>4362</v>
      </c>
      <c r="P785" t="s">
        <v>5316</v>
      </c>
      <c r="Q785">
        <v>38.46</v>
      </c>
      <c r="R785" t="s">
        <v>1477</v>
      </c>
      <c r="S785">
        <v>0.76</v>
      </c>
      <c r="T785">
        <v>65.540000000000006</v>
      </c>
      <c r="U785" t="s">
        <v>2694</v>
      </c>
      <c r="V785" t="s">
        <v>115</v>
      </c>
      <c r="W785" t="s">
        <v>4279</v>
      </c>
      <c r="X785">
        <v>2.97</v>
      </c>
      <c r="Y785" t="s">
        <v>2568</v>
      </c>
      <c r="Z785" t="s">
        <v>1000</v>
      </c>
      <c r="AA785" t="s">
        <v>200</v>
      </c>
      <c r="AB785">
        <v>6.06</v>
      </c>
      <c r="AC785" t="s">
        <v>1843</v>
      </c>
      <c r="AD785">
        <v>48.43</v>
      </c>
      <c r="AE785" t="s">
        <v>5317</v>
      </c>
      <c r="AF785">
        <v>0.02</v>
      </c>
      <c r="AG785">
        <v>0</v>
      </c>
      <c r="AH785">
        <v>0</v>
      </c>
      <c r="AI785" s="4">
        <v>40925</v>
      </c>
    </row>
    <row r="786" spans="1:35">
      <c r="A786">
        <v>785</v>
      </c>
      <c r="B786" t="str">
        <f>"002376"</f>
        <v>002376</v>
      </c>
      <c r="C786" t="s">
        <v>5318</v>
      </c>
      <c r="D786" s="4">
        <v>43190</v>
      </c>
      <c r="E786" t="s">
        <v>43</v>
      </c>
      <c r="F786" t="s">
        <v>541</v>
      </c>
      <c r="G786" t="s">
        <v>5319</v>
      </c>
      <c r="H786">
        <v>0.12</v>
      </c>
      <c r="I786">
        <v>4.3899999999999997</v>
      </c>
      <c r="J786">
        <v>2.97</v>
      </c>
      <c r="K786" t="s">
        <v>174</v>
      </c>
      <c r="L786">
        <v>49.31</v>
      </c>
      <c r="M786" t="s">
        <v>5320</v>
      </c>
      <c r="N786" t="s">
        <v>5321</v>
      </c>
      <c r="O786" t="s">
        <v>5322</v>
      </c>
      <c r="P786" t="s">
        <v>5323</v>
      </c>
      <c r="Q786">
        <v>22.76</v>
      </c>
      <c r="R786" t="s">
        <v>835</v>
      </c>
      <c r="S786">
        <v>1.5</v>
      </c>
      <c r="T786">
        <v>42.26</v>
      </c>
      <c r="U786" t="s">
        <v>3653</v>
      </c>
      <c r="V786" t="s">
        <v>352</v>
      </c>
      <c r="W786" t="s">
        <v>3630</v>
      </c>
      <c r="X786">
        <v>2.97</v>
      </c>
      <c r="Y786" t="s">
        <v>300</v>
      </c>
      <c r="Z786" t="s">
        <v>982</v>
      </c>
      <c r="AA786" t="s">
        <v>5324</v>
      </c>
      <c r="AB786">
        <v>3.28</v>
      </c>
      <c r="AC786" t="s">
        <v>756</v>
      </c>
      <c r="AD786">
        <v>66.36</v>
      </c>
      <c r="AE786" t="s">
        <v>1496</v>
      </c>
      <c r="AF786">
        <v>1.53</v>
      </c>
      <c r="AG786">
        <v>0</v>
      </c>
      <c r="AH786">
        <v>0</v>
      </c>
      <c r="AI786" s="4">
        <v>40260</v>
      </c>
    </row>
    <row r="787" spans="1:35">
      <c r="A787">
        <v>786</v>
      </c>
      <c r="B787" t="str">
        <f>"600761"</f>
        <v>600761</v>
      </c>
      <c r="C787" t="s">
        <v>5325</v>
      </c>
      <c r="D787" s="4">
        <v>43190</v>
      </c>
      <c r="E787" t="s">
        <v>175</v>
      </c>
      <c r="F787" t="s">
        <v>175</v>
      </c>
      <c r="G787" t="s">
        <v>5319</v>
      </c>
      <c r="H787">
        <v>0.18</v>
      </c>
      <c r="I787">
        <v>6.31</v>
      </c>
      <c r="J787">
        <v>2.96</v>
      </c>
      <c r="K787" t="s">
        <v>578</v>
      </c>
      <c r="L787">
        <v>19.850000000000001</v>
      </c>
      <c r="M787" t="s">
        <v>1457</v>
      </c>
      <c r="N787" t="s">
        <v>5326</v>
      </c>
      <c r="O787" t="s">
        <v>1855</v>
      </c>
      <c r="P787" t="s">
        <v>372</v>
      </c>
      <c r="Q787">
        <v>31.18</v>
      </c>
      <c r="R787" t="s">
        <v>700</v>
      </c>
      <c r="S787">
        <v>3.79</v>
      </c>
      <c r="T787">
        <v>18.54</v>
      </c>
      <c r="U787" t="s">
        <v>5327</v>
      </c>
      <c r="V787" t="s">
        <v>4159</v>
      </c>
      <c r="W787" t="s">
        <v>855</v>
      </c>
      <c r="X787">
        <v>2.96</v>
      </c>
      <c r="Y787" t="s">
        <v>1943</v>
      </c>
      <c r="Z787" t="s">
        <v>306</v>
      </c>
      <c r="AA787" t="s">
        <v>198</v>
      </c>
      <c r="AB787">
        <v>1.54</v>
      </c>
      <c r="AC787" t="s">
        <v>551</v>
      </c>
      <c r="AD787">
        <v>63.09</v>
      </c>
      <c r="AE787" t="s">
        <v>2156</v>
      </c>
      <c r="AF787">
        <v>0.75</v>
      </c>
      <c r="AG787">
        <v>0</v>
      </c>
      <c r="AH787">
        <v>0</v>
      </c>
      <c r="AI787" s="4">
        <v>35347</v>
      </c>
    </row>
    <row r="788" spans="1:35">
      <c r="A788">
        <v>787</v>
      </c>
      <c r="B788" t="str">
        <f>"300736"</f>
        <v>300736</v>
      </c>
      <c r="C788" t="s">
        <v>5328</v>
      </c>
      <c r="D788" s="4">
        <v>43190</v>
      </c>
      <c r="E788" t="s">
        <v>5329</v>
      </c>
      <c r="F788" t="s">
        <v>5330</v>
      </c>
      <c r="G788">
        <v>1189</v>
      </c>
      <c r="H788">
        <v>0.13</v>
      </c>
      <c r="I788">
        <v>4.74</v>
      </c>
      <c r="J788">
        <v>2.96</v>
      </c>
      <c r="K788" t="s">
        <v>197</v>
      </c>
      <c r="L788">
        <v>-28.75</v>
      </c>
      <c r="M788" t="s">
        <v>5331</v>
      </c>
      <c r="N788" t="s">
        <v>1824</v>
      </c>
      <c r="O788" t="s">
        <v>5332</v>
      </c>
      <c r="P788" t="s">
        <v>5333</v>
      </c>
      <c r="Q788">
        <v>-4.9800000000000004</v>
      </c>
      <c r="R788" t="s">
        <v>209</v>
      </c>
      <c r="S788">
        <v>1.04</v>
      </c>
      <c r="T788">
        <v>58.79</v>
      </c>
      <c r="U788" t="s">
        <v>999</v>
      </c>
      <c r="V788" t="s">
        <v>267</v>
      </c>
      <c r="W788" t="s">
        <v>5334</v>
      </c>
      <c r="X788">
        <v>2.96</v>
      </c>
      <c r="Y788" t="s">
        <v>5335</v>
      </c>
      <c r="Z788" t="s">
        <v>5335</v>
      </c>
      <c r="AA788">
        <v>0</v>
      </c>
      <c r="AB788">
        <v>5.57</v>
      </c>
      <c r="AC788" t="s">
        <v>3376</v>
      </c>
      <c r="AD788">
        <v>84.6</v>
      </c>
      <c r="AE788" t="s">
        <v>470</v>
      </c>
      <c r="AF788">
        <v>2.54</v>
      </c>
      <c r="AG788">
        <v>0</v>
      </c>
      <c r="AH788">
        <v>0</v>
      </c>
      <c r="AI788" s="4">
        <v>43109</v>
      </c>
    </row>
    <row r="789" spans="1:35">
      <c r="A789">
        <v>788</v>
      </c>
      <c r="B789" t="str">
        <f>"002757"</f>
        <v>002757</v>
      </c>
      <c r="C789" t="s">
        <v>5336</v>
      </c>
      <c r="D789" s="4">
        <v>43190</v>
      </c>
      <c r="E789" t="s">
        <v>443</v>
      </c>
      <c r="F789" t="s">
        <v>5337</v>
      </c>
      <c r="G789">
        <v>4007</v>
      </c>
      <c r="H789">
        <v>0.24</v>
      </c>
      <c r="I789">
        <v>7.83</v>
      </c>
      <c r="J789">
        <v>2.96</v>
      </c>
      <c r="K789" t="s">
        <v>696</v>
      </c>
      <c r="L789">
        <v>56.49</v>
      </c>
      <c r="M789" t="s">
        <v>5338</v>
      </c>
      <c r="N789" t="s">
        <v>5339</v>
      </c>
      <c r="O789" t="s">
        <v>5338</v>
      </c>
      <c r="P789" t="s">
        <v>3059</v>
      </c>
      <c r="Q789">
        <v>51.5</v>
      </c>
      <c r="R789" t="s">
        <v>1939</v>
      </c>
      <c r="S789">
        <v>3.25</v>
      </c>
      <c r="T789">
        <v>28.04</v>
      </c>
      <c r="U789" t="s">
        <v>250</v>
      </c>
      <c r="V789" t="s">
        <v>1872</v>
      </c>
      <c r="W789" t="s">
        <v>2953</v>
      </c>
      <c r="X789">
        <v>2.96</v>
      </c>
      <c r="Y789" t="s">
        <v>91</v>
      </c>
      <c r="Z789" t="s">
        <v>594</v>
      </c>
      <c r="AA789" t="s">
        <v>567</v>
      </c>
      <c r="AB789">
        <v>3.78</v>
      </c>
      <c r="AC789" t="s">
        <v>1769</v>
      </c>
      <c r="AD789">
        <v>76.5</v>
      </c>
      <c r="AE789" t="s">
        <v>69</v>
      </c>
      <c r="AF789">
        <v>3.51</v>
      </c>
      <c r="AG789">
        <v>0</v>
      </c>
      <c r="AH789">
        <v>0</v>
      </c>
      <c r="AI789" s="4">
        <v>42151</v>
      </c>
    </row>
    <row r="790" spans="1:35">
      <c r="A790">
        <v>789</v>
      </c>
      <c r="B790" t="str">
        <f>"002401"</f>
        <v>002401</v>
      </c>
      <c r="C790" t="s">
        <v>5340</v>
      </c>
      <c r="D790" s="4">
        <v>43190</v>
      </c>
      <c r="E790" t="s">
        <v>1791</v>
      </c>
      <c r="F790" t="s">
        <v>296</v>
      </c>
      <c r="G790" t="s">
        <v>3219</v>
      </c>
      <c r="H790">
        <v>0.08</v>
      </c>
      <c r="I790">
        <v>2.74</v>
      </c>
      <c r="J790">
        <v>2.96</v>
      </c>
      <c r="K790" t="s">
        <v>470</v>
      </c>
      <c r="L790">
        <v>12.77</v>
      </c>
      <c r="M790" t="s">
        <v>5341</v>
      </c>
      <c r="N790" t="s">
        <v>3476</v>
      </c>
      <c r="O790" t="s">
        <v>5341</v>
      </c>
      <c r="P790" t="s">
        <v>5342</v>
      </c>
      <c r="Q790">
        <v>37.090000000000003</v>
      </c>
      <c r="R790" t="s">
        <v>1040</v>
      </c>
      <c r="S790">
        <v>1.41</v>
      </c>
      <c r="T790">
        <v>17.690000000000001</v>
      </c>
      <c r="U790" t="s">
        <v>510</v>
      </c>
      <c r="V790" t="s">
        <v>1569</v>
      </c>
      <c r="W790" t="s">
        <v>5343</v>
      </c>
      <c r="X790">
        <v>2.96</v>
      </c>
      <c r="Y790" t="s">
        <v>1496</v>
      </c>
      <c r="Z790" t="s">
        <v>4073</v>
      </c>
      <c r="AA790" t="s">
        <v>5344</v>
      </c>
      <c r="AB790">
        <v>3.36</v>
      </c>
      <c r="AC790" t="s">
        <v>1415</v>
      </c>
      <c r="AD790">
        <v>44.73</v>
      </c>
      <c r="AE790" t="s">
        <v>5345</v>
      </c>
      <c r="AF790">
        <v>0.14000000000000001</v>
      </c>
      <c r="AG790">
        <v>0</v>
      </c>
      <c r="AH790">
        <v>0</v>
      </c>
      <c r="AI790" s="4">
        <v>40304</v>
      </c>
    </row>
    <row r="791" spans="1:35">
      <c r="A791">
        <v>790</v>
      </c>
      <c r="B791" t="str">
        <f>"601168"</f>
        <v>601168</v>
      </c>
      <c r="C791" t="s">
        <v>5346</v>
      </c>
      <c r="D791" s="4">
        <v>43190</v>
      </c>
      <c r="E791" t="s">
        <v>1704</v>
      </c>
      <c r="F791" t="s">
        <v>1704</v>
      </c>
      <c r="G791" t="s">
        <v>5347</v>
      </c>
      <c r="H791">
        <v>0.14000000000000001</v>
      </c>
      <c r="I791">
        <v>4.7300000000000004</v>
      </c>
      <c r="J791">
        <v>2.95</v>
      </c>
      <c r="K791" t="s">
        <v>5348</v>
      </c>
      <c r="L791">
        <v>5.65</v>
      </c>
      <c r="M791" t="s">
        <v>1611</v>
      </c>
      <c r="N791" t="s">
        <v>5349</v>
      </c>
      <c r="O791" t="s">
        <v>4427</v>
      </c>
      <c r="P791" t="s">
        <v>499</v>
      </c>
      <c r="Q791">
        <v>744.88</v>
      </c>
      <c r="R791" t="s">
        <v>1391</v>
      </c>
      <c r="S791">
        <v>1.32</v>
      </c>
      <c r="T791">
        <v>12.41</v>
      </c>
      <c r="U791" t="s">
        <v>4823</v>
      </c>
      <c r="V791" t="s">
        <v>311</v>
      </c>
      <c r="W791" t="s">
        <v>5350</v>
      </c>
      <c r="X791">
        <v>2.95</v>
      </c>
      <c r="Y791" t="s">
        <v>2446</v>
      </c>
      <c r="Z791" t="s">
        <v>315</v>
      </c>
      <c r="AA791" t="s">
        <v>4691</v>
      </c>
      <c r="AB791">
        <v>1.3</v>
      </c>
      <c r="AC791" t="s">
        <v>689</v>
      </c>
      <c r="AD791">
        <v>32.89</v>
      </c>
      <c r="AE791" t="s">
        <v>573</v>
      </c>
      <c r="AF791">
        <v>2.1</v>
      </c>
      <c r="AG791">
        <v>0</v>
      </c>
      <c r="AH791">
        <v>0</v>
      </c>
      <c r="AI791" s="4">
        <v>39275</v>
      </c>
    </row>
    <row r="792" spans="1:35">
      <c r="A792">
        <v>791</v>
      </c>
      <c r="B792" t="str">
        <f>"300294"</f>
        <v>300294</v>
      </c>
      <c r="C792" t="s">
        <v>5351</v>
      </c>
      <c r="D792" s="4">
        <v>43190</v>
      </c>
      <c r="E792" t="s">
        <v>704</v>
      </c>
      <c r="F792" t="s">
        <v>1074</v>
      </c>
      <c r="G792" t="s">
        <v>3215</v>
      </c>
      <c r="H792">
        <v>0.17</v>
      </c>
      <c r="I792">
        <v>8.0399999999999991</v>
      </c>
      <c r="J792">
        <v>2.95</v>
      </c>
      <c r="K792" t="s">
        <v>1481</v>
      </c>
      <c r="L792">
        <v>121.62</v>
      </c>
      <c r="M792" t="s">
        <v>5352</v>
      </c>
      <c r="N792" t="s">
        <v>5353</v>
      </c>
      <c r="O792" t="s">
        <v>4076</v>
      </c>
      <c r="P792" t="s">
        <v>2415</v>
      </c>
      <c r="Q792">
        <v>7.52</v>
      </c>
      <c r="R792" t="s">
        <v>2836</v>
      </c>
      <c r="S792">
        <v>2.17</v>
      </c>
      <c r="T792">
        <v>58.53</v>
      </c>
      <c r="U792" t="s">
        <v>1698</v>
      </c>
      <c r="V792" t="s">
        <v>303</v>
      </c>
      <c r="W792" t="s">
        <v>265</v>
      </c>
      <c r="X792">
        <v>2.95</v>
      </c>
      <c r="Y792" t="s">
        <v>625</v>
      </c>
      <c r="Z792" t="s">
        <v>569</v>
      </c>
      <c r="AA792" t="s">
        <v>3238</v>
      </c>
      <c r="AB792">
        <v>3.99</v>
      </c>
      <c r="AC792" t="s">
        <v>981</v>
      </c>
      <c r="AD792">
        <v>66.13</v>
      </c>
      <c r="AE792" t="s">
        <v>521</v>
      </c>
      <c r="AF792">
        <v>4.6399999999999997</v>
      </c>
      <c r="AG792">
        <v>0</v>
      </c>
      <c r="AH792">
        <v>0</v>
      </c>
      <c r="AI792" s="4">
        <v>40976</v>
      </c>
    </row>
    <row r="793" spans="1:35">
      <c r="A793">
        <v>792</v>
      </c>
      <c r="B793" t="str">
        <f>"603970"</f>
        <v>603970</v>
      </c>
      <c r="C793" t="s">
        <v>5354</v>
      </c>
      <c r="D793" s="4">
        <v>43190</v>
      </c>
      <c r="E793" t="s">
        <v>1203</v>
      </c>
      <c r="F793" t="s">
        <v>4429</v>
      </c>
      <c r="G793">
        <v>1750</v>
      </c>
      <c r="H793">
        <v>0.15</v>
      </c>
      <c r="I793">
        <v>4.83</v>
      </c>
      <c r="J793">
        <v>2.94</v>
      </c>
      <c r="K793" t="s">
        <v>295</v>
      </c>
      <c r="L793">
        <v>13.3</v>
      </c>
      <c r="M793" t="s">
        <v>5355</v>
      </c>
      <c r="N793" t="s">
        <v>4431</v>
      </c>
      <c r="O793" t="s">
        <v>5356</v>
      </c>
      <c r="P793" t="s">
        <v>5357</v>
      </c>
      <c r="Q793">
        <v>34.1</v>
      </c>
      <c r="R793" t="s">
        <v>641</v>
      </c>
      <c r="S793">
        <v>1.37</v>
      </c>
      <c r="T793">
        <v>10.07</v>
      </c>
      <c r="U793" t="s">
        <v>1675</v>
      </c>
      <c r="V793" t="s">
        <v>2280</v>
      </c>
      <c r="W793" t="s">
        <v>2169</v>
      </c>
      <c r="X793">
        <v>2.94</v>
      </c>
      <c r="Y793" t="s">
        <v>1101</v>
      </c>
      <c r="Z793" t="s">
        <v>757</v>
      </c>
      <c r="AA793" t="s">
        <v>5358</v>
      </c>
      <c r="AB793">
        <v>4.07</v>
      </c>
      <c r="AC793" t="s">
        <v>1778</v>
      </c>
      <c r="AD793">
        <v>29.7</v>
      </c>
      <c r="AE793" t="s">
        <v>204</v>
      </c>
      <c r="AF793">
        <v>2.08</v>
      </c>
      <c r="AG793">
        <v>0</v>
      </c>
      <c r="AH793">
        <v>0</v>
      </c>
      <c r="AI793" s="4">
        <v>43055</v>
      </c>
    </row>
    <row r="794" spans="1:35">
      <c r="A794">
        <v>793</v>
      </c>
      <c r="B794" t="str">
        <f>"603056"</f>
        <v>603056</v>
      </c>
      <c r="C794" t="s">
        <v>5359</v>
      </c>
      <c r="D794" s="4">
        <v>43190</v>
      </c>
      <c r="E794" t="s">
        <v>4539</v>
      </c>
      <c r="F794" t="s">
        <v>2307</v>
      </c>
      <c r="G794">
        <v>2166</v>
      </c>
      <c r="H794">
        <v>0.1</v>
      </c>
      <c r="I794">
        <v>3.74</v>
      </c>
      <c r="J794">
        <v>2.94</v>
      </c>
      <c r="K794" t="s">
        <v>3886</v>
      </c>
      <c r="L794">
        <v>11.6</v>
      </c>
      <c r="M794" t="s">
        <v>802</v>
      </c>
      <c r="N794" t="s">
        <v>384</v>
      </c>
      <c r="O794" t="s">
        <v>1376</v>
      </c>
      <c r="P794" t="s">
        <v>5360</v>
      </c>
      <c r="Q794">
        <v>185</v>
      </c>
      <c r="R794" t="s">
        <v>159</v>
      </c>
      <c r="S794">
        <v>2.1800000000000002</v>
      </c>
      <c r="T794">
        <v>13.71</v>
      </c>
      <c r="U794" t="s">
        <v>2492</v>
      </c>
      <c r="V794" t="s">
        <v>3241</v>
      </c>
      <c r="W794" t="s">
        <v>391</v>
      </c>
      <c r="X794">
        <v>2.94</v>
      </c>
      <c r="Y794" t="s">
        <v>2866</v>
      </c>
      <c r="Z794" t="s">
        <v>1224</v>
      </c>
      <c r="AA794" t="s">
        <v>5361</v>
      </c>
      <c r="AB794">
        <v>7.03</v>
      </c>
      <c r="AC794" t="s">
        <v>1593</v>
      </c>
      <c r="AD794">
        <v>49.46</v>
      </c>
      <c r="AE794" t="s">
        <v>186</v>
      </c>
      <c r="AF794">
        <v>0.33</v>
      </c>
      <c r="AG794">
        <v>0</v>
      </c>
      <c r="AH794">
        <v>0</v>
      </c>
      <c r="AI794" s="4">
        <v>43116</v>
      </c>
    </row>
    <row r="795" spans="1:35">
      <c r="A795">
        <v>794</v>
      </c>
      <c r="B795" t="str">
        <f>"600895"</f>
        <v>600895</v>
      </c>
      <c r="C795" t="s">
        <v>5362</v>
      </c>
      <c r="D795" s="4">
        <v>43190</v>
      </c>
      <c r="E795" t="s">
        <v>747</v>
      </c>
      <c r="F795" t="s">
        <v>747</v>
      </c>
      <c r="G795" t="s">
        <v>2985</v>
      </c>
      <c r="H795">
        <v>0.16</v>
      </c>
      <c r="I795">
        <v>5.59</v>
      </c>
      <c r="J795">
        <v>2.94</v>
      </c>
      <c r="K795" t="s">
        <v>912</v>
      </c>
      <c r="L795">
        <v>-25.18</v>
      </c>
      <c r="M795" t="s">
        <v>1977</v>
      </c>
      <c r="N795" t="s">
        <v>91</v>
      </c>
      <c r="O795" t="s">
        <v>1977</v>
      </c>
      <c r="P795" t="s">
        <v>1905</v>
      </c>
      <c r="Q795">
        <v>3.82</v>
      </c>
      <c r="R795" t="s">
        <v>2212</v>
      </c>
      <c r="S795">
        <v>2.25</v>
      </c>
      <c r="T795">
        <v>45.26</v>
      </c>
      <c r="U795" t="s">
        <v>1194</v>
      </c>
      <c r="V795" t="s">
        <v>5363</v>
      </c>
      <c r="W795" t="s">
        <v>5364</v>
      </c>
      <c r="X795">
        <v>2.94</v>
      </c>
      <c r="Y795" t="s">
        <v>716</v>
      </c>
      <c r="Z795" t="s">
        <v>3877</v>
      </c>
      <c r="AA795" t="s">
        <v>527</v>
      </c>
      <c r="AB795">
        <v>2.02</v>
      </c>
      <c r="AC795" t="s">
        <v>2800</v>
      </c>
      <c r="AD795">
        <v>45.32</v>
      </c>
      <c r="AE795" t="s">
        <v>1785</v>
      </c>
      <c r="AF795">
        <v>1.7</v>
      </c>
      <c r="AG795">
        <v>0</v>
      </c>
      <c r="AH795">
        <v>0</v>
      </c>
      <c r="AI795" s="4">
        <v>35177</v>
      </c>
    </row>
    <row r="796" spans="1:35">
      <c r="A796">
        <v>795</v>
      </c>
      <c r="B796" t="str">
        <f>"002905"</f>
        <v>002905</v>
      </c>
      <c r="C796" t="s">
        <v>5365</v>
      </c>
      <c r="D796" s="4">
        <v>43190</v>
      </c>
      <c r="E796" t="s">
        <v>290</v>
      </c>
      <c r="F796" t="s">
        <v>4534</v>
      </c>
      <c r="G796">
        <v>1965</v>
      </c>
      <c r="H796">
        <v>0.33</v>
      </c>
      <c r="I796">
        <v>11.56</v>
      </c>
      <c r="J796">
        <v>2.94</v>
      </c>
      <c r="K796" t="s">
        <v>107</v>
      </c>
      <c r="L796">
        <v>13.14</v>
      </c>
      <c r="M796" t="s">
        <v>5366</v>
      </c>
      <c r="N796" t="s">
        <v>5367</v>
      </c>
      <c r="O796" t="s">
        <v>5323</v>
      </c>
      <c r="P796" t="s">
        <v>5368</v>
      </c>
      <c r="Q796">
        <v>153.35</v>
      </c>
      <c r="R796" t="s">
        <v>3494</v>
      </c>
      <c r="S796">
        <v>5.38</v>
      </c>
      <c r="T796">
        <v>27.99</v>
      </c>
      <c r="U796" t="s">
        <v>946</v>
      </c>
      <c r="V796" t="s">
        <v>1101</v>
      </c>
      <c r="W796" t="s">
        <v>3196</v>
      </c>
      <c r="X796">
        <v>2.94</v>
      </c>
      <c r="Y796" t="s">
        <v>354</v>
      </c>
      <c r="Z796" t="s">
        <v>458</v>
      </c>
      <c r="AA796" t="s">
        <v>4614</v>
      </c>
      <c r="AB796">
        <v>3.05</v>
      </c>
      <c r="AC796" t="s">
        <v>2328</v>
      </c>
      <c r="AD796">
        <v>63.01</v>
      </c>
      <c r="AE796" t="s">
        <v>1021</v>
      </c>
      <c r="AF796">
        <v>4.68</v>
      </c>
      <c r="AG796">
        <v>0</v>
      </c>
      <c r="AH796">
        <v>0</v>
      </c>
      <c r="AI796" s="4">
        <v>43024</v>
      </c>
    </row>
    <row r="797" spans="1:35">
      <c r="A797">
        <v>796</v>
      </c>
      <c r="B797" t="str">
        <f>"002412"</f>
        <v>002412</v>
      </c>
      <c r="C797" t="s">
        <v>5369</v>
      </c>
      <c r="D797" s="4">
        <v>43190</v>
      </c>
      <c r="E797" t="s">
        <v>36</v>
      </c>
      <c r="F797" t="s">
        <v>1184</v>
      </c>
      <c r="G797" t="s">
        <v>2511</v>
      </c>
      <c r="H797">
        <v>0.12</v>
      </c>
      <c r="I797">
        <v>4.24</v>
      </c>
      <c r="J797">
        <v>2.94</v>
      </c>
      <c r="K797" t="s">
        <v>2733</v>
      </c>
      <c r="L797">
        <v>13.86</v>
      </c>
      <c r="M797" t="s">
        <v>5370</v>
      </c>
      <c r="N797" t="s">
        <v>5371</v>
      </c>
      <c r="O797" t="s">
        <v>5372</v>
      </c>
      <c r="P797" t="s">
        <v>5373</v>
      </c>
      <c r="Q797">
        <v>23.22</v>
      </c>
      <c r="R797" t="s">
        <v>5374</v>
      </c>
      <c r="S797">
        <v>1.63</v>
      </c>
      <c r="T797">
        <v>73.400000000000006</v>
      </c>
      <c r="U797" t="s">
        <v>79</v>
      </c>
      <c r="V797" t="s">
        <v>2587</v>
      </c>
      <c r="W797" t="s">
        <v>704</v>
      </c>
      <c r="X797">
        <v>2.94</v>
      </c>
      <c r="Y797" t="s">
        <v>362</v>
      </c>
      <c r="Z797" t="s">
        <v>157</v>
      </c>
      <c r="AA797" t="s">
        <v>5375</v>
      </c>
      <c r="AB797">
        <v>3.61</v>
      </c>
      <c r="AC797" t="s">
        <v>164</v>
      </c>
      <c r="AD797">
        <v>72.41</v>
      </c>
      <c r="AE797" t="s">
        <v>133</v>
      </c>
      <c r="AF797">
        <v>1.35</v>
      </c>
      <c r="AG797">
        <v>0</v>
      </c>
      <c r="AH797">
        <v>0</v>
      </c>
      <c r="AI797" s="4">
        <v>40323</v>
      </c>
    </row>
    <row r="798" spans="1:35">
      <c r="A798">
        <v>797</v>
      </c>
      <c r="B798" t="str">
        <f>"603811"</f>
        <v>603811</v>
      </c>
      <c r="C798" t="s">
        <v>5376</v>
      </c>
      <c r="D798" s="4">
        <v>43190</v>
      </c>
      <c r="E798" t="s">
        <v>4222</v>
      </c>
      <c r="F798" t="s">
        <v>5377</v>
      </c>
      <c r="G798">
        <v>5422</v>
      </c>
      <c r="H798">
        <v>0.21</v>
      </c>
      <c r="I798">
        <v>6.83</v>
      </c>
      <c r="J798">
        <v>2.93</v>
      </c>
      <c r="K798" t="s">
        <v>2360</v>
      </c>
      <c r="L798">
        <v>49.47</v>
      </c>
      <c r="M798" t="s">
        <v>5378</v>
      </c>
      <c r="N798" t="s">
        <v>5379</v>
      </c>
      <c r="O798" t="s">
        <v>5380</v>
      </c>
      <c r="P798" t="s">
        <v>5381</v>
      </c>
      <c r="Q798">
        <v>25.76</v>
      </c>
      <c r="R798" t="s">
        <v>1349</v>
      </c>
      <c r="S798">
        <v>0.91</v>
      </c>
      <c r="T798">
        <v>58.53</v>
      </c>
      <c r="U798" t="s">
        <v>5195</v>
      </c>
      <c r="V798" t="s">
        <v>155</v>
      </c>
      <c r="W798" t="s">
        <v>677</v>
      </c>
      <c r="X798">
        <v>2.93</v>
      </c>
      <c r="Y798" t="s">
        <v>5382</v>
      </c>
      <c r="Z798" t="s">
        <v>5383</v>
      </c>
      <c r="AA798" t="s">
        <v>5384</v>
      </c>
      <c r="AB798">
        <v>3.7</v>
      </c>
      <c r="AC798" t="s">
        <v>792</v>
      </c>
      <c r="AD798">
        <v>87.69</v>
      </c>
      <c r="AE798" t="s">
        <v>185</v>
      </c>
      <c r="AF798">
        <v>4.54</v>
      </c>
      <c r="AG798">
        <v>0</v>
      </c>
      <c r="AH798">
        <v>0</v>
      </c>
      <c r="AI798" s="4">
        <v>42809</v>
      </c>
    </row>
    <row r="799" spans="1:35">
      <c r="A799">
        <v>798</v>
      </c>
      <c r="B799" t="str">
        <f>"600114"</f>
        <v>600114</v>
      </c>
      <c r="C799" t="s">
        <v>5385</v>
      </c>
      <c r="D799" s="4">
        <v>43190</v>
      </c>
      <c r="E799" t="s">
        <v>359</v>
      </c>
      <c r="F799" t="s">
        <v>2532</v>
      </c>
      <c r="G799" t="s">
        <v>5386</v>
      </c>
      <c r="H799">
        <v>0.12</v>
      </c>
      <c r="I799">
        <v>3.9</v>
      </c>
      <c r="J799">
        <v>2.93</v>
      </c>
      <c r="K799" t="s">
        <v>943</v>
      </c>
      <c r="L799">
        <v>30.71</v>
      </c>
      <c r="M799" t="s">
        <v>5387</v>
      </c>
      <c r="N799" t="s">
        <v>2906</v>
      </c>
      <c r="O799" t="s">
        <v>5388</v>
      </c>
      <c r="P799" t="s">
        <v>5389</v>
      </c>
      <c r="Q799">
        <v>30.95</v>
      </c>
      <c r="R799" t="s">
        <v>883</v>
      </c>
      <c r="S799">
        <v>0.85</v>
      </c>
      <c r="T799">
        <v>35.549999999999997</v>
      </c>
      <c r="U799" t="s">
        <v>1263</v>
      </c>
      <c r="V799" t="s">
        <v>391</v>
      </c>
      <c r="W799" t="s">
        <v>602</v>
      </c>
      <c r="X799">
        <v>2.93</v>
      </c>
      <c r="Y799" t="s">
        <v>1618</v>
      </c>
      <c r="Z799" t="s">
        <v>1438</v>
      </c>
      <c r="AA799" t="s">
        <v>5390</v>
      </c>
      <c r="AB799">
        <v>2.4500000000000002</v>
      </c>
      <c r="AC799" t="s">
        <v>1661</v>
      </c>
      <c r="AD799">
        <v>77.55</v>
      </c>
      <c r="AE799" t="s">
        <v>833</v>
      </c>
      <c r="AF799">
        <v>2.0699999999999998</v>
      </c>
      <c r="AG799">
        <v>0</v>
      </c>
      <c r="AH799">
        <v>0</v>
      </c>
      <c r="AI799" s="4">
        <v>38118</v>
      </c>
    </row>
    <row r="800" spans="1:35">
      <c r="A800">
        <v>799</v>
      </c>
      <c r="B800" t="str">
        <f>"002664"</f>
        <v>002664</v>
      </c>
      <c r="C800" t="s">
        <v>5391</v>
      </c>
      <c r="D800" s="4">
        <v>43190</v>
      </c>
      <c r="E800" t="s">
        <v>150</v>
      </c>
      <c r="F800" t="s">
        <v>681</v>
      </c>
      <c r="G800" t="s">
        <v>2312</v>
      </c>
      <c r="H800">
        <v>0.14000000000000001</v>
      </c>
      <c r="I800">
        <v>4.9000000000000004</v>
      </c>
      <c r="J800">
        <v>2.93</v>
      </c>
      <c r="K800" t="s">
        <v>1869</v>
      </c>
      <c r="L800">
        <v>22.63</v>
      </c>
      <c r="M800" t="s">
        <v>3507</v>
      </c>
      <c r="N800">
        <v>-1500</v>
      </c>
      <c r="O800" t="s">
        <v>472</v>
      </c>
      <c r="P800" t="s">
        <v>5392</v>
      </c>
      <c r="Q800">
        <v>0.84</v>
      </c>
      <c r="R800" t="s">
        <v>1496</v>
      </c>
      <c r="S800">
        <v>2.5</v>
      </c>
      <c r="T800">
        <v>22.05</v>
      </c>
      <c r="U800" t="s">
        <v>464</v>
      </c>
      <c r="V800" t="s">
        <v>1704</v>
      </c>
      <c r="W800" t="s">
        <v>1012</v>
      </c>
      <c r="X800">
        <v>2.93</v>
      </c>
      <c r="Y800" t="s">
        <v>759</v>
      </c>
      <c r="Z800" t="s">
        <v>173</v>
      </c>
      <c r="AA800" t="s">
        <v>5393</v>
      </c>
      <c r="AB800">
        <v>4.9000000000000004</v>
      </c>
      <c r="AC800" t="s">
        <v>119</v>
      </c>
      <c r="AD800">
        <v>55.14</v>
      </c>
      <c r="AE800" t="s">
        <v>142</v>
      </c>
      <c r="AF800">
        <v>1.1000000000000001</v>
      </c>
      <c r="AG800">
        <v>0</v>
      </c>
      <c r="AH800">
        <v>0</v>
      </c>
      <c r="AI800" s="4">
        <v>40984</v>
      </c>
    </row>
    <row r="801" spans="1:35">
      <c r="A801">
        <v>800</v>
      </c>
      <c r="B801" t="str">
        <f>"002602"</f>
        <v>002602</v>
      </c>
      <c r="C801" t="s">
        <v>5394</v>
      </c>
      <c r="D801" s="4">
        <v>43190</v>
      </c>
      <c r="E801" t="s">
        <v>584</v>
      </c>
      <c r="F801" t="s">
        <v>2908</v>
      </c>
      <c r="G801" t="s">
        <v>5395</v>
      </c>
      <c r="H801">
        <v>0.21</v>
      </c>
      <c r="I801">
        <v>9.31</v>
      </c>
      <c r="J801">
        <v>2.93</v>
      </c>
      <c r="K801" t="s">
        <v>176</v>
      </c>
      <c r="L801">
        <v>60.37</v>
      </c>
      <c r="M801" t="s">
        <v>160</v>
      </c>
      <c r="N801" t="s">
        <v>863</v>
      </c>
      <c r="O801" t="s">
        <v>340</v>
      </c>
      <c r="P801" t="s">
        <v>2185</v>
      </c>
      <c r="Q801">
        <v>150.59</v>
      </c>
      <c r="R801" t="s">
        <v>2273</v>
      </c>
      <c r="S801">
        <v>1.63</v>
      </c>
      <c r="T801">
        <v>49.2</v>
      </c>
      <c r="U801" t="s">
        <v>1894</v>
      </c>
      <c r="V801" t="s">
        <v>4162</v>
      </c>
      <c r="W801" t="s">
        <v>192</v>
      </c>
      <c r="X801">
        <v>2.93</v>
      </c>
      <c r="Y801" t="s">
        <v>76</v>
      </c>
      <c r="Z801" t="s">
        <v>1062</v>
      </c>
      <c r="AA801" t="s">
        <v>5396</v>
      </c>
      <c r="AB801">
        <v>3.49</v>
      </c>
      <c r="AC801" t="s">
        <v>413</v>
      </c>
      <c r="AD801">
        <v>89.03</v>
      </c>
      <c r="AE801" t="s">
        <v>5152</v>
      </c>
      <c r="AF801">
        <v>6.64</v>
      </c>
      <c r="AG801">
        <v>0</v>
      </c>
      <c r="AH801">
        <v>0</v>
      </c>
      <c r="AI801" s="4">
        <v>40752</v>
      </c>
    </row>
    <row r="802" spans="1:35">
      <c r="A802">
        <v>801</v>
      </c>
      <c r="B802" t="str">
        <f>"603199"</f>
        <v>603199</v>
      </c>
      <c r="C802" t="s">
        <v>5397</v>
      </c>
      <c r="D802" s="4">
        <v>43190</v>
      </c>
      <c r="E802" t="s">
        <v>443</v>
      </c>
      <c r="F802" t="s">
        <v>443</v>
      </c>
      <c r="G802">
        <v>9292</v>
      </c>
      <c r="H802">
        <v>0.27</v>
      </c>
      <c r="I802">
        <v>9.5299999999999994</v>
      </c>
      <c r="J802">
        <v>2.92</v>
      </c>
      <c r="K802" t="s">
        <v>1349</v>
      </c>
      <c r="L802">
        <v>-7.16</v>
      </c>
      <c r="M802" t="s">
        <v>1236</v>
      </c>
      <c r="N802" t="s">
        <v>5398</v>
      </c>
      <c r="O802" t="s">
        <v>5399</v>
      </c>
      <c r="P802" t="s">
        <v>5400</v>
      </c>
      <c r="Q802">
        <v>-18.41</v>
      </c>
      <c r="R802" t="s">
        <v>3471</v>
      </c>
      <c r="S802">
        <v>4.91</v>
      </c>
      <c r="T802">
        <v>51.09</v>
      </c>
      <c r="U802" t="s">
        <v>1033</v>
      </c>
      <c r="V802" t="s">
        <v>286</v>
      </c>
      <c r="W802" t="s">
        <v>448</v>
      </c>
      <c r="X802">
        <v>2.92</v>
      </c>
      <c r="Y802" t="s">
        <v>45</v>
      </c>
      <c r="Z802" t="s">
        <v>256</v>
      </c>
      <c r="AA802" t="s">
        <v>4827</v>
      </c>
      <c r="AB802">
        <v>2.4900000000000002</v>
      </c>
      <c r="AC802" t="s">
        <v>407</v>
      </c>
      <c r="AD802">
        <v>88.79</v>
      </c>
      <c r="AE802" t="s">
        <v>976</v>
      </c>
      <c r="AF802">
        <v>3.01</v>
      </c>
      <c r="AG802">
        <v>0</v>
      </c>
      <c r="AH802">
        <v>0</v>
      </c>
      <c r="AI802" s="4">
        <v>42089</v>
      </c>
    </row>
    <row r="803" spans="1:35">
      <c r="A803">
        <v>802</v>
      </c>
      <c r="B803" t="str">
        <f>"600660"</f>
        <v>600660</v>
      </c>
      <c r="C803" t="s">
        <v>5401</v>
      </c>
      <c r="D803" s="4">
        <v>43190</v>
      </c>
      <c r="E803" t="s">
        <v>2280</v>
      </c>
      <c r="F803" t="s">
        <v>1000</v>
      </c>
      <c r="G803" t="s">
        <v>3809</v>
      </c>
      <c r="H803">
        <v>0.22</v>
      </c>
      <c r="I803">
        <v>6.97</v>
      </c>
      <c r="J803">
        <v>2.92</v>
      </c>
      <c r="K803" t="s">
        <v>2070</v>
      </c>
      <c r="L803">
        <v>13.11</v>
      </c>
      <c r="M803" t="s">
        <v>259</v>
      </c>
      <c r="N803" t="s">
        <v>5402</v>
      </c>
      <c r="O803" t="s">
        <v>1394</v>
      </c>
      <c r="P803" t="s">
        <v>1935</v>
      </c>
      <c r="Q803">
        <v>-18.8</v>
      </c>
      <c r="R803" t="s">
        <v>3556</v>
      </c>
      <c r="S803">
        <v>2.89</v>
      </c>
      <c r="T803">
        <v>41.92</v>
      </c>
      <c r="U803" t="s">
        <v>5403</v>
      </c>
      <c r="V803" t="s">
        <v>814</v>
      </c>
      <c r="W803" t="s">
        <v>590</v>
      </c>
      <c r="X803">
        <v>2.92</v>
      </c>
      <c r="Y803" t="s">
        <v>1149</v>
      </c>
      <c r="Z803" t="s">
        <v>586</v>
      </c>
      <c r="AA803" t="s">
        <v>1285</v>
      </c>
      <c r="AB803">
        <v>3.7</v>
      </c>
      <c r="AC803" t="s">
        <v>786</v>
      </c>
      <c r="AD803">
        <v>57.95</v>
      </c>
      <c r="AE803" t="s">
        <v>5199</v>
      </c>
      <c r="AF803">
        <v>2.48</v>
      </c>
      <c r="AG803">
        <v>0</v>
      </c>
      <c r="AH803" t="s">
        <v>169</v>
      </c>
      <c r="AI803" s="4">
        <v>34130</v>
      </c>
    </row>
    <row r="804" spans="1:35">
      <c r="A804">
        <v>803</v>
      </c>
      <c r="B804" t="str">
        <f>"300101"</f>
        <v>300101</v>
      </c>
      <c r="C804" t="s">
        <v>5404</v>
      </c>
      <c r="D804" s="4">
        <v>43190</v>
      </c>
      <c r="E804" t="s">
        <v>2392</v>
      </c>
      <c r="F804" t="s">
        <v>2413</v>
      </c>
      <c r="G804" t="s">
        <v>4747</v>
      </c>
      <c r="H804">
        <v>0.05</v>
      </c>
      <c r="I804">
        <v>1.7</v>
      </c>
      <c r="J804">
        <v>2.92</v>
      </c>
      <c r="K804" t="s">
        <v>197</v>
      </c>
      <c r="L804">
        <v>-0.04</v>
      </c>
      <c r="M804" t="s">
        <v>5405</v>
      </c>
      <c r="N804" t="s">
        <v>5406</v>
      </c>
      <c r="O804" t="s">
        <v>5407</v>
      </c>
      <c r="P804" t="s">
        <v>5408</v>
      </c>
      <c r="Q804">
        <v>106.87</v>
      </c>
      <c r="R804" t="s">
        <v>2387</v>
      </c>
      <c r="S804">
        <v>0.47</v>
      </c>
      <c r="T804">
        <v>54.78</v>
      </c>
      <c r="U804" t="s">
        <v>584</v>
      </c>
      <c r="V804" t="s">
        <v>323</v>
      </c>
      <c r="W804" t="s">
        <v>5409</v>
      </c>
      <c r="X804">
        <v>2.92</v>
      </c>
      <c r="Y804" t="s">
        <v>2041</v>
      </c>
      <c r="Z804" t="s">
        <v>618</v>
      </c>
      <c r="AA804" t="s">
        <v>372</v>
      </c>
      <c r="AB804">
        <v>7.37</v>
      </c>
      <c r="AC804" t="s">
        <v>3184</v>
      </c>
      <c r="AD804">
        <v>64.87</v>
      </c>
      <c r="AE804" t="s">
        <v>651</v>
      </c>
      <c r="AF804">
        <v>0.18</v>
      </c>
      <c r="AG804">
        <v>0</v>
      </c>
      <c r="AH804">
        <v>0</v>
      </c>
      <c r="AI804" s="4">
        <v>40396</v>
      </c>
    </row>
    <row r="805" spans="1:35">
      <c r="A805">
        <v>804</v>
      </c>
      <c r="B805" t="str">
        <f>"002838"</f>
        <v>002838</v>
      </c>
      <c r="C805" t="s">
        <v>5410</v>
      </c>
      <c r="D805" s="4">
        <v>43190</v>
      </c>
      <c r="E805" t="s">
        <v>641</v>
      </c>
      <c r="F805" t="s">
        <v>5411</v>
      </c>
      <c r="G805">
        <v>7495</v>
      </c>
      <c r="H805">
        <v>0.1</v>
      </c>
      <c r="I805">
        <v>3.36</v>
      </c>
      <c r="J805">
        <v>2.92</v>
      </c>
      <c r="K805" t="s">
        <v>2142</v>
      </c>
      <c r="L805">
        <v>22.9</v>
      </c>
      <c r="M805" t="s">
        <v>5412</v>
      </c>
      <c r="N805" t="s">
        <v>5413</v>
      </c>
      <c r="O805" t="s">
        <v>5414</v>
      </c>
      <c r="P805" t="s">
        <v>3975</v>
      </c>
      <c r="Q805">
        <v>12.82</v>
      </c>
      <c r="R805" t="s">
        <v>2224</v>
      </c>
      <c r="S805">
        <v>1.42</v>
      </c>
      <c r="T805">
        <v>19.940000000000001</v>
      </c>
      <c r="U805" t="s">
        <v>295</v>
      </c>
      <c r="V805" t="s">
        <v>5415</v>
      </c>
      <c r="W805" t="s">
        <v>1200</v>
      </c>
      <c r="X805">
        <v>2.92</v>
      </c>
      <c r="Y805" t="s">
        <v>3768</v>
      </c>
      <c r="Z805" t="s">
        <v>552</v>
      </c>
      <c r="AA805" t="s">
        <v>5416</v>
      </c>
      <c r="AB805">
        <v>5.69</v>
      </c>
      <c r="AC805" t="s">
        <v>1658</v>
      </c>
      <c r="AD805">
        <v>81.22</v>
      </c>
      <c r="AE805" t="s">
        <v>90</v>
      </c>
      <c r="AF805">
        <v>0.79</v>
      </c>
      <c r="AG805">
        <v>0</v>
      </c>
      <c r="AH805">
        <v>0</v>
      </c>
      <c r="AI805" s="4">
        <v>42741</v>
      </c>
    </row>
    <row r="806" spans="1:35">
      <c r="A806">
        <v>805</v>
      </c>
      <c r="B806" t="str">
        <f>"002712"</f>
        <v>002712</v>
      </c>
      <c r="C806" t="s">
        <v>5417</v>
      </c>
      <c r="D806" s="4">
        <v>43190</v>
      </c>
      <c r="E806" t="s">
        <v>143</v>
      </c>
      <c r="F806" t="s">
        <v>1597</v>
      </c>
      <c r="G806" t="s">
        <v>2234</v>
      </c>
      <c r="H806">
        <v>0.28000000000000003</v>
      </c>
      <c r="I806">
        <v>9.8699999999999992</v>
      </c>
      <c r="J806">
        <v>2.92</v>
      </c>
      <c r="K806" t="s">
        <v>538</v>
      </c>
      <c r="L806">
        <v>99.14</v>
      </c>
      <c r="M806" t="s">
        <v>5418</v>
      </c>
      <c r="N806" t="s">
        <v>5419</v>
      </c>
      <c r="O806" t="s">
        <v>5420</v>
      </c>
      <c r="P806" t="s">
        <v>5421</v>
      </c>
      <c r="Q806">
        <v>82.68</v>
      </c>
      <c r="R806" t="s">
        <v>4384</v>
      </c>
      <c r="S806">
        <v>2.57</v>
      </c>
      <c r="T806">
        <v>14.32</v>
      </c>
      <c r="U806" t="s">
        <v>1858</v>
      </c>
      <c r="V806" t="s">
        <v>1625</v>
      </c>
      <c r="W806" t="s">
        <v>5422</v>
      </c>
      <c r="X806">
        <v>2.92</v>
      </c>
      <c r="Y806" t="s">
        <v>891</v>
      </c>
      <c r="Z806" t="s">
        <v>980</v>
      </c>
      <c r="AA806" t="s">
        <v>5423</v>
      </c>
      <c r="AB806">
        <v>1.88</v>
      </c>
      <c r="AC806" t="s">
        <v>1219</v>
      </c>
      <c r="AD806">
        <v>64.239999999999995</v>
      </c>
      <c r="AE806" t="s">
        <v>1693</v>
      </c>
      <c r="AF806">
        <v>6.21</v>
      </c>
      <c r="AG806">
        <v>0</v>
      </c>
      <c r="AH806">
        <v>0</v>
      </c>
      <c r="AI806" s="4">
        <v>41662</v>
      </c>
    </row>
    <row r="807" spans="1:35">
      <c r="A807">
        <v>806</v>
      </c>
      <c r="B807" t="str">
        <f>"002171"</f>
        <v>002171</v>
      </c>
      <c r="C807" t="s">
        <v>5424</v>
      </c>
      <c r="D807" s="4">
        <v>43190</v>
      </c>
      <c r="E807" t="s">
        <v>295</v>
      </c>
      <c r="F807" t="s">
        <v>978</v>
      </c>
      <c r="G807" t="s">
        <v>755</v>
      </c>
      <c r="H807">
        <v>0.1</v>
      </c>
      <c r="I807">
        <v>3.17</v>
      </c>
      <c r="J807">
        <v>2.92</v>
      </c>
      <c r="K807" t="s">
        <v>1625</v>
      </c>
      <c r="L807">
        <v>38.24</v>
      </c>
      <c r="M807" t="s">
        <v>2360</v>
      </c>
      <c r="N807" t="s">
        <v>497</v>
      </c>
      <c r="O807" t="s">
        <v>2360</v>
      </c>
      <c r="P807" t="s">
        <v>533</v>
      </c>
      <c r="Q807">
        <v>23.57</v>
      </c>
      <c r="R807" t="s">
        <v>1756</v>
      </c>
      <c r="S807">
        <v>0.76</v>
      </c>
      <c r="T807">
        <v>6.22</v>
      </c>
      <c r="U807" t="s">
        <v>1410</v>
      </c>
      <c r="V807" t="s">
        <v>4558</v>
      </c>
      <c r="W807" t="s">
        <v>448</v>
      </c>
      <c r="X807">
        <v>2.92</v>
      </c>
      <c r="Y807" t="s">
        <v>1792</v>
      </c>
      <c r="Z807" t="s">
        <v>855</v>
      </c>
      <c r="AA807" t="s">
        <v>5233</v>
      </c>
      <c r="AB807">
        <v>2.14</v>
      </c>
      <c r="AC807" t="s">
        <v>1391</v>
      </c>
      <c r="AD807">
        <v>68.459999999999994</v>
      </c>
      <c r="AE807" t="s">
        <v>983</v>
      </c>
      <c r="AF807">
        <v>1.49</v>
      </c>
      <c r="AG807">
        <v>0</v>
      </c>
      <c r="AH807">
        <v>0</v>
      </c>
      <c r="AI807" s="4">
        <v>39346</v>
      </c>
    </row>
    <row r="808" spans="1:35">
      <c r="A808">
        <v>807</v>
      </c>
      <c r="B808" t="str">
        <f>"002062"</f>
        <v>002062</v>
      </c>
      <c r="C808" t="s">
        <v>5425</v>
      </c>
      <c r="D808" s="4">
        <v>43190</v>
      </c>
      <c r="E808" t="s">
        <v>602</v>
      </c>
      <c r="F808" t="s">
        <v>88</v>
      </c>
      <c r="G808" t="s">
        <v>1092</v>
      </c>
      <c r="H808">
        <v>7.0000000000000007E-2</v>
      </c>
      <c r="I808">
        <v>2.5099999999999998</v>
      </c>
      <c r="J808">
        <v>2.92</v>
      </c>
      <c r="K808" t="s">
        <v>1693</v>
      </c>
      <c r="L808">
        <v>9.86</v>
      </c>
      <c r="M808" t="s">
        <v>5426</v>
      </c>
      <c r="N808" t="s">
        <v>3375</v>
      </c>
      <c r="O808" t="s">
        <v>5427</v>
      </c>
      <c r="P808" t="s">
        <v>5428</v>
      </c>
      <c r="Q808">
        <v>16.71</v>
      </c>
      <c r="R808" t="s">
        <v>840</v>
      </c>
      <c r="S808">
        <v>1.1399999999999999</v>
      </c>
      <c r="T808">
        <v>7.19</v>
      </c>
      <c r="U808" t="s">
        <v>311</v>
      </c>
      <c r="V808" t="s">
        <v>1526</v>
      </c>
      <c r="W808" t="s">
        <v>407</v>
      </c>
      <c r="X808">
        <v>2.92</v>
      </c>
      <c r="Y808" t="s">
        <v>5429</v>
      </c>
      <c r="Z808" t="s">
        <v>2632</v>
      </c>
      <c r="AA808" t="s">
        <v>115</v>
      </c>
      <c r="AB808">
        <v>1.39</v>
      </c>
      <c r="AC808" t="s">
        <v>356</v>
      </c>
      <c r="AD808">
        <v>22.14</v>
      </c>
      <c r="AE808" t="s">
        <v>4095</v>
      </c>
      <c r="AF808">
        <v>0.04</v>
      </c>
      <c r="AG808">
        <v>0</v>
      </c>
      <c r="AH808">
        <v>0</v>
      </c>
      <c r="AI808" s="4">
        <v>38945</v>
      </c>
    </row>
    <row r="809" spans="1:35">
      <c r="A809">
        <v>808</v>
      </c>
      <c r="B809" t="str">
        <f>"603626"</f>
        <v>603626</v>
      </c>
      <c r="C809" t="s">
        <v>5430</v>
      </c>
      <c r="D809" s="4">
        <v>43190</v>
      </c>
      <c r="E809" t="s">
        <v>104</v>
      </c>
      <c r="F809" t="s">
        <v>505</v>
      </c>
      <c r="G809">
        <v>6489</v>
      </c>
      <c r="H809">
        <v>0.12</v>
      </c>
      <c r="I809">
        <v>4.18</v>
      </c>
      <c r="J809">
        <v>2.91</v>
      </c>
      <c r="K809" t="s">
        <v>545</v>
      </c>
      <c r="L809">
        <v>45.58</v>
      </c>
      <c r="M809" t="s">
        <v>5431</v>
      </c>
      <c r="N809">
        <v>0</v>
      </c>
      <c r="O809" t="s">
        <v>5432</v>
      </c>
      <c r="P809" t="s">
        <v>5433</v>
      </c>
      <c r="Q809">
        <v>156.13999999999999</v>
      </c>
      <c r="R809" t="s">
        <v>1941</v>
      </c>
      <c r="S809">
        <v>1.33</v>
      </c>
      <c r="T809">
        <v>29.95</v>
      </c>
      <c r="U809" t="s">
        <v>1127</v>
      </c>
      <c r="V809" t="s">
        <v>847</v>
      </c>
      <c r="W809" t="s">
        <v>926</v>
      </c>
      <c r="X809">
        <v>2.91</v>
      </c>
      <c r="Y809" t="s">
        <v>983</v>
      </c>
      <c r="Z809" t="s">
        <v>1384</v>
      </c>
      <c r="AA809" t="s">
        <v>1366</v>
      </c>
      <c r="AB809">
        <v>3.45</v>
      </c>
      <c r="AC809" t="s">
        <v>1455</v>
      </c>
      <c r="AD809">
        <v>53.2</v>
      </c>
      <c r="AE809" t="s">
        <v>4796</v>
      </c>
      <c r="AF809">
        <v>1.71</v>
      </c>
      <c r="AG809">
        <v>0</v>
      </c>
      <c r="AH809">
        <v>0</v>
      </c>
      <c r="AI809" s="4">
        <v>42775</v>
      </c>
    </row>
    <row r="810" spans="1:35">
      <c r="A810">
        <v>809</v>
      </c>
      <c r="B810" t="str">
        <f>"603023"</f>
        <v>603023</v>
      </c>
      <c r="C810" t="s">
        <v>5434</v>
      </c>
      <c r="D810" s="4">
        <v>43190</v>
      </c>
      <c r="E810" t="s">
        <v>204</v>
      </c>
      <c r="F810" t="s">
        <v>204</v>
      </c>
      <c r="G810">
        <v>5995</v>
      </c>
      <c r="H810">
        <v>0.05</v>
      </c>
      <c r="I810">
        <v>1.51</v>
      </c>
      <c r="J810">
        <v>2.91</v>
      </c>
      <c r="K810" t="s">
        <v>5435</v>
      </c>
      <c r="L810">
        <v>34.130000000000003</v>
      </c>
      <c r="M810" t="s">
        <v>5436</v>
      </c>
      <c r="N810" t="s">
        <v>5437</v>
      </c>
      <c r="O810" t="s">
        <v>5438</v>
      </c>
      <c r="P810" t="s">
        <v>1683</v>
      </c>
      <c r="Q810">
        <v>38.5</v>
      </c>
      <c r="R810" t="s">
        <v>505</v>
      </c>
      <c r="S810">
        <v>0.34</v>
      </c>
      <c r="T810">
        <v>55.3</v>
      </c>
      <c r="U810" t="s">
        <v>792</v>
      </c>
      <c r="V810" t="s">
        <v>442</v>
      </c>
      <c r="W810" t="s">
        <v>5439</v>
      </c>
      <c r="X810">
        <v>2.91</v>
      </c>
      <c r="Y810" t="s">
        <v>4736</v>
      </c>
      <c r="Z810" t="s">
        <v>4736</v>
      </c>
      <c r="AA810">
        <v>0</v>
      </c>
      <c r="AB810">
        <v>3.64</v>
      </c>
      <c r="AC810" t="s">
        <v>2571</v>
      </c>
      <c r="AD810">
        <v>93.78</v>
      </c>
      <c r="AE810" t="s">
        <v>5440</v>
      </c>
      <c r="AF810">
        <v>0.02</v>
      </c>
      <c r="AG810">
        <v>0</v>
      </c>
      <c r="AH810">
        <v>0</v>
      </c>
      <c r="AI810" s="4">
        <v>42151</v>
      </c>
    </row>
    <row r="811" spans="1:35">
      <c r="A811">
        <v>810</v>
      </c>
      <c r="B811" t="str">
        <f>"600500"</f>
        <v>600500</v>
      </c>
      <c r="C811" t="s">
        <v>5441</v>
      </c>
      <c r="D811" s="4">
        <v>43190</v>
      </c>
      <c r="E811" t="s">
        <v>877</v>
      </c>
      <c r="F811" t="s">
        <v>877</v>
      </c>
      <c r="G811" t="s">
        <v>5442</v>
      </c>
      <c r="H811">
        <v>0.15</v>
      </c>
      <c r="I811">
        <v>5.34</v>
      </c>
      <c r="J811">
        <v>2.91</v>
      </c>
      <c r="K811" t="s">
        <v>398</v>
      </c>
      <c r="L811">
        <v>-17.350000000000001</v>
      </c>
      <c r="M811" t="s">
        <v>2134</v>
      </c>
      <c r="N811" t="s">
        <v>3111</v>
      </c>
      <c r="O811" t="s">
        <v>2836</v>
      </c>
      <c r="P811" t="s">
        <v>301</v>
      </c>
      <c r="Q811">
        <v>-2.23</v>
      </c>
      <c r="R811" t="s">
        <v>3159</v>
      </c>
      <c r="S811">
        <v>2.59</v>
      </c>
      <c r="T811">
        <v>14.27</v>
      </c>
      <c r="U811" t="s">
        <v>5443</v>
      </c>
      <c r="V811" t="s">
        <v>5444</v>
      </c>
      <c r="W811" t="s">
        <v>5445</v>
      </c>
      <c r="X811">
        <v>2.91</v>
      </c>
      <c r="Y811" t="s">
        <v>5446</v>
      </c>
      <c r="Z811" t="s">
        <v>2896</v>
      </c>
      <c r="AA811" t="s">
        <v>4093</v>
      </c>
      <c r="AB811">
        <v>1.24</v>
      </c>
      <c r="AC811" t="s">
        <v>558</v>
      </c>
      <c r="AD811">
        <v>19.399999999999999</v>
      </c>
      <c r="AE811" t="s">
        <v>612</v>
      </c>
      <c r="AF811">
        <v>1.66</v>
      </c>
      <c r="AG811">
        <v>0</v>
      </c>
      <c r="AH811">
        <v>0</v>
      </c>
      <c r="AI811" s="4">
        <v>36586</v>
      </c>
    </row>
    <row r="812" spans="1:35">
      <c r="A812">
        <v>811</v>
      </c>
      <c r="B812" t="str">
        <f>"300512"</f>
        <v>300512</v>
      </c>
      <c r="C812" t="s">
        <v>5447</v>
      </c>
      <c r="D812" s="4">
        <v>43190</v>
      </c>
      <c r="E812" t="s">
        <v>1977</v>
      </c>
      <c r="F812" t="s">
        <v>5448</v>
      </c>
      <c r="G812">
        <v>3496</v>
      </c>
      <c r="H812">
        <v>0.15</v>
      </c>
      <c r="I812">
        <v>5.35</v>
      </c>
      <c r="J812">
        <v>2.91</v>
      </c>
      <c r="K812" t="s">
        <v>2034</v>
      </c>
      <c r="L812">
        <v>11.7</v>
      </c>
      <c r="M812" t="s">
        <v>5449</v>
      </c>
      <c r="N812" t="s">
        <v>5450</v>
      </c>
      <c r="O812" t="s">
        <v>5451</v>
      </c>
      <c r="P812" t="s">
        <v>5452</v>
      </c>
      <c r="Q812">
        <v>12.78</v>
      </c>
      <c r="R812" t="s">
        <v>2681</v>
      </c>
      <c r="S812">
        <v>1.92</v>
      </c>
      <c r="T812">
        <v>46.52</v>
      </c>
      <c r="U812" t="s">
        <v>114</v>
      </c>
      <c r="V812" t="s">
        <v>1343</v>
      </c>
      <c r="W812" t="s">
        <v>5453</v>
      </c>
      <c r="X812">
        <v>2.91</v>
      </c>
      <c r="Y812" t="s">
        <v>3281</v>
      </c>
      <c r="Z812" t="s">
        <v>5195</v>
      </c>
      <c r="AA812" t="s">
        <v>5454</v>
      </c>
      <c r="AB812">
        <v>2.95</v>
      </c>
      <c r="AC812" t="s">
        <v>263</v>
      </c>
      <c r="AD812">
        <v>66.97</v>
      </c>
      <c r="AE812" t="s">
        <v>2304</v>
      </c>
      <c r="AF812">
        <v>2.11</v>
      </c>
      <c r="AG812">
        <v>0</v>
      </c>
      <c r="AH812">
        <v>0</v>
      </c>
      <c r="AI812" s="4">
        <v>42516</v>
      </c>
    </row>
    <row r="813" spans="1:35">
      <c r="A813">
        <v>812</v>
      </c>
      <c r="B813" t="str">
        <f>"002127"</f>
        <v>002127</v>
      </c>
      <c r="C813" t="s">
        <v>5455</v>
      </c>
      <c r="D813" s="4">
        <v>43190</v>
      </c>
      <c r="E813" t="s">
        <v>706</v>
      </c>
      <c r="F813" t="s">
        <v>263</v>
      </c>
      <c r="G813" t="s">
        <v>5456</v>
      </c>
      <c r="H813">
        <v>0.04</v>
      </c>
      <c r="I813">
        <v>1.23</v>
      </c>
      <c r="J813">
        <v>2.91</v>
      </c>
      <c r="K813" t="s">
        <v>1018</v>
      </c>
      <c r="L813">
        <v>619.94000000000005</v>
      </c>
      <c r="M813" t="s">
        <v>5457</v>
      </c>
      <c r="N813" t="s">
        <v>3534</v>
      </c>
      <c r="O813" t="s">
        <v>5388</v>
      </c>
      <c r="P813" t="s">
        <v>5458</v>
      </c>
      <c r="Q813">
        <v>245.72</v>
      </c>
      <c r="R813" t="s">
        <v>147</v>
      </c>
      <c r="S813">
        <v>0.41</v>
      </c>
      <c r="T813">
        <v>26.85</v>
      </c>
      <c r="U813" t="s">
        <v>1859</v>
      </c>
      <c r="V813" t="s">
        <v>2273</v>
      </c>
      <c r="W813" t="s">
        <v>5459</v>
      </c>
      <c r="X813">
        <v>2.91</v>
      </c>
      <c r="Y813" t="s">
        <v>1019</v>
      </c>
      <c r="Z813" t="s">
        <v>607</v>
      </c>
      <c r="AA813" t="s">
        <v>603</v>
      </c>
      <c r="AB813">
        <v>7.32</v>
      </c>
      <c r="AC813" t="s">
        <v>2064</v>
      </c>
      <c r="AD813">
        <v>79.37</v>
      </c>
      <c r="AE813" t="s">
        <v>141</v>
      </c>
      <c r="AF813">
        <v>0.27</v>
      </c>
      <c r="AG813">
        <v>0</v>
      </c>
      <c r="AH813">
        <v>0</v>
      </c>
      <c r="AI813" s="4">
        <v>39190</v>
      </c>
    </row>
    <row r="814" spans="1:35">
      <c r="A814">
        <v>813</v>
      </c>
      <c r="B814" t="str">
        <f>"000900"</f>
        <v>000900</v>
      </c>
      <c r="C814" t="s">
        <v>5460</v>
      </c>
      <c r="D814" s="4">
        <v>43190</v>
      </c>
      <c r="E814" t="s">
        <v>908</v>
      </c>
      <c r="F814" t="s">
        <v>908</v>
      </c>
      <c r="G814" t="s">
        <v>5183</v>
      </c>
      <c r="H814">
        <v>0.17</v>
      </c>
      <c r="I814">
        <v>5.68</v>
      </c>
      <c r="J814">
        <v>2.91</v>
      </c>
      <c r="K814" t="s">
        <v>877</v>
      </c>
      <c r="L814">
        <v>-13.23</v>
      </c>
      <c r="M814" t="s">
        <v>679</v>
      </c>
      <c r="N814" t="s">
        <v>531</v>
      </c>
      <c r="O814" t="s">
        <v>2551</v>
      </c>
      <c r="P814" t="s">
        <v>641</v>
      </c>
      <c r="Q814">
        <v>43.44</v>
      </c>
      <c r="R814" t="s">
        <v>832</v>
      </c>
      <c r="S814">
        <v>3.72</v>
      </c>
      <c r="T814">
        <v>17.97</v>
      </c>
      <c r="U814" t="s">
        <v>2804</v>
      </c>
      <c r="V814" t="s">
        <v>1531</v>
      </c>
      <c r="W814" t="s">
        <v>1390</v>
      </c>
      <c r="X814">
        <v>2.91</v>
      </c>
      <c r="Y814" t="s">
        <v>2654</v>
      </c>
      <c r="Z814" t="s">
        <v>4112</v>
      </c>
      <c r="AA814" t="s">
        <v>4719</v>
      </c>
      <c r="AB814">
        <v>0.7</v>
      </c>
      <c r="AC814" t="s">
        <v>2248</v>
      </c>
      <c r="AD814">
        <v>37.06</v>
      </c>
      <c r="AE814" t="s">
        <v>476</v>
      </c>
      <c r="AF814">
        <v>0.31</v>
      </c>
      <c r="AG814">
        <v>0</v>
      </c>
      <c r="AH814">
        <v>0</v>
      </c>
      <c r="AI814" s="4">
        <v>36188</v>
      </c>
    </row>
    <row r="815" spans="1:35">
      <c r="A815">
        <v>814</v>
      </c>
      <c r="B815" t="str">
        <f>"000022"</f>
        <v>000022</v>
      </c>
      <c r="C815" t="s">
        <v>5461</v>
      </c>
      <c r="D815" s="4">
        <v>43190</v>
      </c>
      <c r="E815" t="s">
        <v>4760</v>
      </c>
      <c r="F815" t="s">
        <v>1659</v>
      </c>
      <c r="G815" t="s">
        <v>5462</v>
      </c>
      <c r="H815">
        <v>0.23</v>
      </c>
      <c r="I815">
        <v>5.37</v>
      </c>
      <c r="J815">
        <v>2.91</v>
      </c>
      <c r="K815" t="s">
        <v>417</v>
      </c>
      <c r="L815">
        <v>4.28</v>
      </c>
      <c r="M815" t="s">
        <v>668</v>
      </c>
      <c r="N815" t="s">
        <v>5463</v>
      </c>
      <c r="O815" t="s">
        <v>94</v>
      </c>
      <c r="P815" t="s">
        <v>745</v>
      </c>
      <c r="Q815">
        <v>6.13</v>
      </c>
      <c r="R815" t="s">
        <v>2941</v>
      </c>
      <c r="S815">
        <v>3.12</v>
      </c>
      <c r="T815">
        <v>45.43</v>
      </c>
      <c r="U815" t="s">
        <v>557</v>
      </c>
      <c r="V815" t="s">
        <v>101</v>
      </c>
      <c r="W815" t="s">
        <v>113</v>
      </c>
      <c r="X815">
        <v>2.91</v>
      </c>
      <c r="Y815" t="s">
        <v>514</v>
      </c>
      <c r="Z815" t="s">
        <v>1367</v>
      </c>
      <c r="AA815" t="s">
        <v>2413</v>
      </c>
      <c r="AB815">
        <v>4.25</v>
      </c>
      <c r="AC815" t="s">
        <v>524</v>
      </c>
      <c r="AD815">
        <v>52.94</v>
      </c>
      <c r="AE815" t="s">
        <v>321</v>
      </c>
      <c r="AF815">
        <v>0.26</v>
      </c>
      <c r="AG815" t="s">
        <v>1839</v>
      </c>
      <c r="AH815">
        <v>0</v>
      </c>
      <c r="AI815" s="4">
        <v>34094</v>
      </c>
    </row>
    <row r="816" spans="1:35">
      <c r="A816">
        <v>815</v>
      </c>
      <c r="B816" t="str">
        <f>"600757"</f>
        <v>600757</v>
      </c>
      <c r="C816" t="s">
        <v>5464</v>
      </c>
      <c r="D816" s="4">
        <v>43190</v>
      </c>
      <c r="E816" t="s">
        <v>264</v>
      </c>
      <c r="F816" t="s">
        <v>264</v>
      </c>
      <c r="G816" t="s">
        <v>5085</v>
      </c>
      <c r="H816">
        <v>0.15</v>
      </c>
      <c r="I816">
        <v>5.0599999999999996</v>
      </c>
      <c r="J816">
        <v>2.9</v>
      </c>
      <c r="K816" t="s">
        <v>2753</v>
      </c>
      <c r="L816">
        <v>-19.98</v>
      </c>
      <c r="M816" t="s">
        <v>1202</v>
      </c>
      <c r="N816" t="s">
        <v>5465</v>
      </c>
      <c r="O816" t="s">
        <v>1855</v>
      </c>
      <c r="P816" t="s">
        <v>345</v>
      </c>
      <c r="Q816">
        <v>28.06</v>
      </c>
      <c r="R816" t="s">
        <v>386</v>
      </c>
      <c r="S816">
        <v>2.38</v>
      </c>
      <c r="T816">
        <v>19.579999999999998</v>
      </c>
      <c r="U816" t="s">
        <v>4093</v>
      </c>
      <c r="V816" t="s">
        <v>3824</v>
      </c>
      <c r="W816" t="s">
        <v>2131</v>
      </c>
      <c r="X816">
        <v>2.9</v>
      </c>
      <c r="Y816" t="s">
        <v>2093</v>
      </c>
      <c r="Z816" t="s">
        <v>884</v>
      </c>
      <c r="AA816" t="s">
        <v>2069</v>
      </c>
      <c r="AB816">
        <v>1.08</v>
      </c>
      <c r="AC816" t="s">
        <v>2868</v>
      </c>
      <c r="AD816">
        <v>62.95</v>
      </c>
      <c r="AE816" t="s">
        <v>1455</v>
      </c>
      <c r="AF816">
        <v>1.49</v>
      </c>
      <c r="AG816">
        <v>0</v>
      </c>
      <c r="AH816">
        <v>0</v>
      </c>
      <c r="AI816" s="4">
        <v>35341</v>
      </c>
    </row>
    <row r="817" spans="1:35">
      <c r="A817">
        <v>816</v>
      </c>
      <c r="B817" t="str">
        <f>"600196"</f>
        <v>600196</v>
      </c>
      <c r="C817" t="s">
        <v>5466</v>
      </c>
      <c r="D817" s="4">
        <v>43190</v>
      </c>
      <c r="E817" t="s">
        <v>981</v>
      </c>
      <c r="F817" t="s">
        <v>389</v>
      </c>
      <c r="G817">
        <v>0</v>
      </c>
      <c r="H817">
        <v>0.28000000000000003</v>
      </c>
      <c r="I817">
        <v>10.39</v>
      </c>
      <c r="J817">
        <v>2.9</v>
      </c>
      <c r="K817" t="s">
        <v>2300</v>
      </c>
      <c r="L817">
        <v>47.38</v>
      </c>
      <c r="M817" t="s">
        <v>3651</v>
      </c>
      <c r="N817" t="s">
        <v>2142</v>
      </c>
      <c r="O817" t="s">
        <v>3651</v>
      </c>
      <c r="P817" t="s">
        <v>1723</v>
      </c>
      <c r="Q817">
        <v>-4.33</v>
      </c>
      <c r="R817" t="s">
        <v>399</v>
      </c>
      <c r="S817">
        <v>4.75</v>
      </c>
      <c r="T817">
        <v>57.59</v>
      </c>
      <c r="U817" t="s">
        <v>5467</v>
      </c>
      <c r="V817" t="s">
        <v>2634</v>
      </c>
      <c r="W817" t="s">
        <v>1667</v>
      </c>
      <c r="X817">
        <v>2.9</v>
      </c>
      <c r="Y817" t="s">
        <v>5468</v>
      </c>
      <c r="Z817" t="s">
        <v>928</v>
      </c>
      <c r="AA817" t="s">
        <v>3118</v>
      </c>
      <c r="AB817">
        <v>4.17</v>
      </c>
      <c r="AC817" t="s">
        <v>5469</v>
      </c>
      <c r="AD817">
        <v>40.67</v>
      </c>
      <c r="AE817" t="s">
        <v>873</v>
      </c>
      <c r="AF817">
        <v>3.43</v>
      </c>
      <c r="AG817">
        <v>0</v>
      </c>
      <c r="AH817" t="s">
        <v>616</v>
      </c>
      <c r="AI817" s="4">
        <v>36014</v>
      </c>
    </row>
    <row r="818" spans="1:35">
      <c r="A818">
        <v>817</v>
      </c>
      <c r="B818" t="str">
        <f>"300732"</f>
        <v>300732</v>
      </c>
      <c r="C818" t="s">
        <v>5470</v>
      </c>
      <c r="D818" s="4">
        <v>43190</v>
      </c>
      <c r="E818" t="s">
        <v>802</v>
      </c>
      <c r="F818" t="s">
        <v>5471</v>
      </c>
      <c r="G818">
        <v>1102</v>
      </c>
      <c r="H818">
        <v>0.35</v>
      </c>
      <c r="I818">
        <v>11.92</v>
      </c>
      <c r="J818">
        <v>2.9</v>
      </c>
      <c r="K818" t="s">
        <v>2123</v>
      </c>
      <c r="L818">
        <v>18.87</v>
      </c>
      <c r="M818" t="s">
        <v>5472</v>
      </c>
      <c r="N818" t="s">
        <v>5473</v>
      </c>
      <c r="O818" t="s">
        <v>5474</v>
      </c>
      <c r="P818" t="s">
        <v>5475</v>
      </c>
      <c r="Q818">
        <v>32.15</v>
      </c>
      <c r="R818" t="s">
        <v>348</v>
      </c>
      <c r="S818">
        <v>3.28</v>
      </c>
      <c r="T818">
        <v>45.06</v>
      </c>
      <c r="U818" t="s">
        <v>565</v>
      </c>
      <c r="V818" t="s">
        <v>1101</v>
      </c>
      <c r="W818" t="s">
        <v>1970</v>
      </c>
      <c r="X818">
        <v>2.9</v>
      </c>
      <c r="Y818" t="s">
        <v>5080</v>
      </c>
      <c r="Z818" t="s">
        <v>1799</v>
      </c>
      <c r="AA818" t="s">
        <v>1974</v>
      </c>
      <c r="AB818">
        <v>3.78</v>
      </c>
      <c r="AC818" t="s">
        <v>1367</v>
      </c>
      <c r="AD818">
        <v>70.150000000000006</v>
      </c>
      <c r="AE818" t="s">
        <v>1094</v>
      </c>
      <c r="AF818">
        <v>7.34</v>
      </c>
      <c r="AG818">
        <v>0</v>
      </c>
      <c r="AH818">
        <v>0</v>
      </c>
      <c r="AI818" s="4">
        <v>43081</v>
      </c>
    </row>
    <row r="819" spans="1:35">
      <c r="A819">
        <v>818</v>
      </c>
      <c r="B819" t="str">
        <f>"300127"</f>
        <v>300127</v>
      </c>
      <c r="C819" t="s">
        <v>5476</v>
      </c>
      <c r="D819" s="4">
        <v>43190</v>
      </c>
      <c r="E819" t="s">
        <v>1797</v>
      </c>
      <c r="F819" t="s">
        <v>935</v>
      </c>
      <c r="G819">
        <v>9908</v>
      </c>
      <c r="H819">
        <v>0.11</v>
      </c>
      <c r="I819">
        <v>3.42</v>
      </c>
      <c r="J819">
        <v>2.9</v>
      </c>
      <c r="K819" t="s">
        <v>93</v>
      </c>
      <c r="L819">
        <v>19.8</v>
      </c>
      <c r="M819" t="s">
        <v>5477</v>
      </c>
      <c r="N819" t="s">
        <v>5478</v>
      </c>
      <c r="O819" t="s">
        <v>4991</v>
      </c>
      <c r="P819" t="s">
        <v>5479</v>
      </c>
      <c r="Q819">
        <v>19.2</v>
      </c>
      <c r="R819" t="s">
        <v>1152</v>
      </c>
      <c r="S819">
        <v>0.5</v>
      </c>
      <c r="T819">
        <v>36.479999999999997</v>
      </c>
      <c r="U819" t="s">
        <v>840</v>
      </c>
      <c r="V819" t="s">
        <v>323</v>
      </c>
      <c r="W819" t="s">
        <v>290</v>
      </c>
      <c r="X819">
        <v>2.9</v>
      </c>
      <c r="Y819" t="s">
        <v>5480</v>
      </c>
      <c r="Z819" t="s">
        <v>2947</v>
      </c>
      <c r="AA819" t="s">
        <v>5481</v>
      </c>
      <c r="AB819">
        <v>3.84</v>
      </c>
      <c r="AC819" t="s">
        <v>300</v>
      </c>
      <c r="AD819">
        <v>95.57</v>
      </c>
      <c r="AE819" t="s">
        <v>1596</v>
      </c>
      <c r="AF819">
        <v>1.54</v>
      </c>
      <c r="AG819">
        <v>0</v>
      </c>
      <c r="AH819">
        <v>0</v>
      </c>
      <c r="AI819" s="4">
        <v>40464</v>
      </c>
    </row>
    <row r="820" spans="1:35">
      <c r="A820">
        <v>819</v>
      </c>
      <c r="B820" t="str">
        <f>"002707"</f>
        <v>002707</v>
      </c>
      <c r="C820" t="s">
        <v>5482</v>
      </c>
      <c r="D820" s="4">
        <v>43190</v>
      </c>
      <c r="E820" t="s">
        <v>3557</v>
      </c>
      <c r="F820" t="s">
        <v>1076</v>
      </c>
      <c r="G820" t="s">
        <v>630</v>
      </c>
      <c r="H820">
        <v>0.08</v>
      </c>
      <c r="I820">
        <v>2.5099999999999998</v>
      </c>
      <c r="J820">
        <v>2.9</v>
      </c>
      <c r="K820" t="s">
        <v>253</v>
      </c>
      <c r="L820">
        <v>10.73</v>
      </c>
      <c r="M820" t="s">
        <v>2519</v>
      </c>
      <c r="N820" t="s">
        <v>5483</v>
      </c>
      <c r="O820" t="s">
        <v>5484</v>
      </c>
      <c r="P820" t="s">
        <v>5485</v>
      </c>
      <c r="Q820">
        <v>31.04</v>
      </c>
      <c r="R820" t="s">
        <v>277</v>
      </c>
      <c r="S820">
        <v>1.07</v>
      </c>
      <c r="T820">
        <v>11.79</v>
      </c>
      <c r="U820" t="s">
        <v>1494</v>
      </c>
      <c r="V820" t="s">
        <v>2212</v>
      </c>
      <c r="W820" t="s">
        <v>2812</v>
      </c>
      <c r="X820">
        <v>2.9</v>
      </c>
      <c r="Y820" t="s">
        <v>502</v>
      </c>
      <c r="Z820" t="s">
        <v>2753</v>
      </c>
      <c r="AA820" t="s">
        <v>3587</v>
      </c>
      <c r="AB820">
        <v>3.81</v>
      </c>
      <c r="AC820" t="s">
        <v>865</v>
      </c>
      <c r="AD820">
        <v>43.23</v>
      </c>
      <c r="AE820" t="s">
        <v>78</v>
      </c>
      <c r="AF820">
        <v>0.48</v>
      </c>
      <c r="AG820">
        <v>0</v>
      </c>
      <c r="AH820">
        <v>0</v>
      </c>
      <c r="AI820" s="4">
        <v>41662</v>
      </c>
    </row>
    <row r="821" spans="1:35">
      <c r="A821">
        <v>820</v>
      </c>
      <c r="B821" t="str">
        <f>"603416"</f>
        <v>603416</v>
      </c>
      <c r="C821" t="s">
        <v>5486</v>
      </c>
      <c r="D821" s="4">
        <v>43190</v>
      </c>
      <c r="E821" t="s">
        <v>84</v>
      </c>
      <c r="F821" t="s">
        <v>5487</v>
      </c>
      <c r="G821">
        <v>4200</v>
      </c>
      <c r="H821">
        <v>0.19</v>
      </c>
      <c r="I821">
        <v>6.82</v>
      </c>
      <c r="J821">
        <v>2.89</v>
      </c>
      <c r="K821" t="s">
        <v>282</v>
      </c>
      <c r="L821">
        <v>28.76</v>
      </c>
      <c r="M821" t="s">
        <v>5488</v>
      </c>
      <c r="N821" t="s">
        <v>5489</v>
      </c>
      <c r="O821" t="s">
        <v>5490</v>
      </c>
      <c r="P821" t="s">
        <v>5491</v>
      </c>
      <c r="Q821">
        <v>9.65</v>
      </c>
      <c r="R821" t="s">
        <v>150</v>
      </c>
      <c r="S821">
        <v>2.85</v>
      </c>
      <c r="T821">
        <v>41.05</v>
      </c>
      <c r="U821" t="s">
        <v>625</v>
      </c>
      <c r="V821" t="s">
        <v>1065</v>
      </c>
      <c r="W821" t="s">
        <v>5492</v>
      </c>
      <c r="X821">
        <v>2.89</v>
      </c>
      <c r="Y821" t="s">
        <v>3674</v>
      </c>
      <c r="Z821" t="s">
        <v>807</v>
      </c>
      <c r="AA821" t="s">
        <v>5493</v>
      </c>
      <c r="AB821">
        <v>3.82</v>
      </c>
      <c r="AC821" t="s">
        <v>5494</v>
      </c>
      <c r="AD821">
        <v>79.73</v>
      </c>
      <c r="AE821" t="s">
        <v>1324</v>
      </c>
      <c r="AF821">
        <v>2.63</v>
      </c>
      <c r="AG821">
        <v>0</v>
      </c>
      <c r="AH821">
        <v>0</v>
      </c>
      <c r="AI821" s="4">
        <v>42725</v>
      </c>
    </row>
    <row r="822" spans="1:35">
      <c r="A822">
        <v>821</v>
      </c>
      <c r="B822" t="str">
        <f>"601016"</f>
        <v>601016</v>
      </c>
      <c r="C822" t="s">
        <v>5495</v>
      </c>
      <c r="D822" s="4">
        <v>43190</v>
      </c>
      <c r="E822" t="s">
        <v>2642</v>
      </c>
      <c r="F822" t="s">
        <v>2642</v>
      </c>
      <c r="G822" t="s">
        <v>5496</v>
      </c>
      <c r="H822">
        <v>0.05</v>
      </c>
      <c r="I822">
        <v>1.6</v>
      </c>
      <c r="J822">
        <v>2.89</v>
      </c>
      <c r="K822" t="s">
        <v>2674</v>
      </c>
      <c r="L822">
        <v>41.44</v>
      </c>
      <c r="M822" t="s">
        <v>134</v>
      </c>
      <c r="N822">
        <v>0</v>
      </c>
      <c r="O822" t="s">
        <v>726</v>
      </c>
      <c r="P822" t="s">
        <v>1624</v>
      </c>
      <c r="Q822">
        <v>97.21</v>
      </c>
      <c r="R822" t="s">
        <v>1384</v>
      </c>
      <c r="S822">
        <v>0.3</v>
      </c>
      <c r="T822">
        <v>59.77</v>
      </c>
      <c r="U822" t="s">
        <v>5133</v>
      </c>
      <c r="V822" t="s">
        <v>2136</v>
      </c>
      <c r="W822" t="s">
        <v>1279</v>
      </c>
      <c r="X822">
        <v>2.89</v>
      </c>
      <c r="Y822" t="s">
        <v>1929</v>
      </c>
      <c r="Z822" t="s">
        <v>305</v>
      </c>
      <c r="AA822" t="s">
        <v>3520</v>
      </c>
      <c r="AB822">
        <v>2</v>
      </c>
      <c r="AC822" t="s">
        <v>2186</v>
      </c>
      <c r="AD822">
        <v>33.47</v>
      </c>
      <c r="AE822" t="s">
        <v>192</v>
      </c>
      <c r="AF822">
        <v>0.28000000000000003</v>
      </c>
      <c r="AG822">
        <v>0</v>
      </c>
      <c r="AH822">
        <v>0</v>
      </c>
      <c r="AI822" s="4">
        <v>41911</v>
      </c>
    </row>
    <row r="823" spans="1:35">
      <c r="A823">
        <v>822</v>
      </c>
      <c r="B823" t="str">
        <f>"600497"</f>
        <v>600497</v>
      </c>
      <c r="C823" t="s">
        <v>5497</v>
      </c>
      <c r="D823" s="4">
        <v>43190</v>
      </c>
      <c r="E823" t="s">
        <v>2562</v>
      </c>
      <c r="F823" t="s">
        <v>524</v>
      </c>
      <c r="G823" t="s">
        <v>1080</v>
      </c>
      <c r="H823">
        <v>0.08</v>
      </c>
      <c r="I823">
        <v>2.76</v>
      </c>
      <c r="J823">
        <v>2.89</v>
      </c>
      <c r="K823" t="s">
        <v>3605</v>
      </c>
      <c r="L823">
        <v>5.91</v>
      </c>
      <c r="M823" t="s">
        <v>943</v>
      </c>
      <c r="N823" t="s">
        <v>1321</v>
      </c>
      <c r="O823" t="s">
        <v>769</v>
      </c>
      <c r="P823" t="s">
        <v>338</v>
      </c>
      <c r="Q823">
        <v>38.83</v>
      </c>
      <c r="R823" t="s">
        <v>106</v>
      </c>
      <c r="S823">
        <v>0.08</v>
      </c>
      <c r="T823">
        <v>19.579999999999998</v>
      </c>
      <c r="U823" t="s">
        <v>2357</v>
      </c>
      <c r="V823" t="s">
        <v>2043</v>
      </c>
      <c r="W823" t="s">
        <v>590</v>
      </c>
      <c r="X823">
        <v>2.89</v>
      </c>
      <c r="Y823" t="s">
        <v>788</v>
      </c>
      <c r="Z823" t="s">
        <v>5498</v>
      </c>
      <c r="AA823" t="s">
        <v>888</v>
      </c>
      <c r="AB823">
        <v>1.87</v>
      </c>
      <c r="AC823" t="s">
        <v>1753</v>
      </c>
      <c r="AD823">
        <v>44.32</v>
      </c>
      <c r="AE823" t="s">
        <v>3287</v>
      </c>
      <c r="AF823">
        <v>1.61</v>
      </c>
      <c r="AG823">
        <v>0</v>
      </c>
      <c r="AH823">
        <v>0</v>
      </c>
      <c r="AI823" s="4">
        <v>38097</v>
      </c>
    </row>
    <row r="824" spans="1:35">
      <c r="A824">
        <v>823</v>
      </c>
      <c r="B824" t="str">
        <f>"600348"</f>
        <v>600348</v>
      </c>
      <c r="C824" t="s">
        <v>5499</v>
      </c>
      <c r="D824" s="4">
        <v>43190</v>
      </c>
      <c r="E824" t="s">
        <v>1213</v>
      </c>
      <c r="F824" t="s">
        <v>1213</v>
      </c>
      <c r="G824" t="s">
        <v>5500</v>
      </c>
      <c r="H824">
        <v>0.21</v>
      </c>
      <c r="I824">
        <v>6.52</v>
      </c>
      <c r="J824">
        <v>2.89</v>
      </c>
      <c r="K824" t="s">
        <v>3068</v>
      </c>
      <c r="L824">
        <v>5.91</v>
      </c>
      <c r="M824" t="s">
        <v>1993</v>
      </c>
      <c r="N824" t="s">
        <v>3723</v>
      </c>
      <c r="O824" t="s">
        <v>3894</v>
      </c>
      <c r="P824" t="s">
        <v>2563</v>
      </c>
      <c r="Q824">
        <v>17.920000000000002</v>
      </c>
      <c r="R824" t="s">
        <v>5501</v>
      </c>
      <c r="S824">
        <v>4</v>
      </c>
      <c r="T824">
        <v>18.09</v>
      </c>
      <c r="U824" t="s">
        <v>5502</v>
      </c>
      <c r="V824" t="s">
        <v>465</v>
      </c>
      <c r="W824" t="s">
        <v>1550</v>
      </c>
      <c r="X824">
        <v>2.89</v>
      </c>
      <c r="Y824" t="s">
        <v>4700</v>
      </c>
      <c r="Z824" t="s">
        <v>5503</v>
      </c>
      <c r="AA824" t="s">
        <v>817</v>
      </c>
      <c r="AB824">
        <v>1.06</v>
      </c>
      <c r="AC824" t="s">
        <v>587</v>
      </c>
      <c r="AD824">
        <v>37.51</v>
      </c>
      <c r="AE824">
        <v>0</v>
      </c>
      <c r="AF824">
        <v>0</v>
      </c>
      <c r="AG824">
        <v>0</v>
      </c>
      <c r="AH824">
        <v>0</v>
      </c>
      <c r="AI824" s="4">
        <v>37854</v>
      </c>
    </row>
    <row r="825" spans="1:35">
      <c r="A825">
        <v>824</v>
      </c>
      <c r="B825" t="str">
        <f>"300270"</f>
        <v>300270</v>
      </c>
      <c r="C825" t="s">
        <v>5504</v>
      </c>
      <c r="D825" s="4">
        <v>43190</v>
      </c>
      <c r="E825" t="s">
        <v>2774</v>
      </c>
      <c r="F825" t="s">
        <v>2034</v>
      </c>
      <c r="G825" t="s">
        <v>2531</v>
      </c>
      <c r="H825">
        <v>7.0000000000000007E-2</v>
      </c>
      <c r="I825">
        <v>3.98</v>
      </c>
      <c r="J825">
        <v>2.89</v>
      </c>
      <c r="K825" t="s">
        <v>5505</v>
      </c>
      <c r="L825">
        <v>16.98</v>
      </c>
      <c r="M825" t="s">
        <v>5506</v>
      </c>
      <c r="N825">
        <v>0</v>
      </c>
      <c r="O825" t="s">
        <v>5507</v>
      </c>
      <c r="P825" t="s">
        <v>4640</v>
      </c>
      <c r="Q825">
        <v>7.01</v>
      </c>
      <c r="R825" t="s">
        <v>2889</v>
      </c>
      <c r="S825">
        <v>0.89</v>
      </c>
      <c r="T825">
        <v>58.96</v>
      </c>
      <c r="U825" t="s">
        <v>613</v>
      </c>
      <c r="V825" t="s">
        <v>1685</v>
      </c>
      <c r="W825" t="s">
        <v>1905</v>
      </c>
      <c r="X825">
        <v>2.89</v>
      </c>
      <c r="Y825" t="s">
        <v>140</v>
      </c>
      <c r="Z825" t="s">
        <v>47</v>
      </c>
      <c r="AA825" t="s">
        <v>45</v>
      </c>
      <c r="AB825">
        <v>3.04</v>
      </c>
      <c r="AC825" t="s">
        <v>2853</v>
      </c>
      <c r="AD825">
        <v>60.25</v>
      </c>
      <c r="AE825" t="s">
        <v>745</v>
      </c>
      <c r="AF825">
        <v>0.54</v>
      </c>
      <c r="AG825">
        <v>0</v>
      </c>
      <c r="AH825">
        <v>0</v>
      </c>
      <c r="AI825" s="4">
        <v>40828</v>
      </c>
    </row>
    <row r="826" spans="1:35">
      <c r="A826">
        <v>825</v>
      </c>
      <c r="B826" t="str">
        <f>"300232"</f>
        <v>300232</v>
      </c>
      <c r="C826" t="s">
        <v>5508</v>
      </c>
      <c r="D826" s="4">
        <v>43190</v>
      </c>
      <c r="E826" t="s">
        <v>852</v>
      </c>
      <c r="F826" t="s">
        <v>156</v>
      </c>
      <c r="G826" t="s">
        <v>1577</v>
      </c>
      <c r="H826">
        <v>0.08</v>
      </c>
      <c r="I826">
        <v>2.94</v>
      </c>
      <c r="J826">
        <v>2.89</v>
      </c>
      <c r="K826" t="s">
        <v>649</v>
      </c>
      <c r="L826">
        <v>58.95</v>
      </c>
      <c r="M826" t="s">
        <v>5509</v>
      </c>
      <c r="N826" t="s">
        <v>5510</v>
      </c>
      <c r="O826" t="s">
        <v>5511</v>
      </c>
      <c r="P826" t="s">
        <v>5512</v>
      </c>
      <c r="Q826">
        <v>5.88</v>
      </c>
      <c r="R826" t="s">
        <v>2177</v>
      </c>
      <c r="S826">
        <v>1.1200000000000001</v>
      </c>
      <c r="T826">
        <v>27.44</v>
      </c>
      <c r="U826" t="s">
        <v>4509</v>
      </c>
      <c r="V826" t="s">
        <v>238</v>
      </c>
      <c r="W826" t="s">
        <v>2264</v>
      </c>
      <c r="X826">
        <v>2.89</v>
      </c>
      <c r="Y826" t="s">
        <v>371</v>
      </c>
      <c r="Z826" t="s">
        <v>451</v>
      </c>
      <c r="AA826" t="s">
        <v>507</v>
      </c>
      <c r="AB826">
        <v>4.3899999999999997</v>
      </c>
      <c r="AC826" t="s">
        <v>516</v>
      </c>
      <c r="AD826">
        <v>37.4</v>
      </c>
      <c r="AE826" t="s">
        <v>3900</v>
      </c>
      <c r="AF826">
        <v>0.98</v>
      </c>
      <c r="AG826">
        <v>0</v>
      </c>
      <c r="AH826">
        <v>0</v>
      </c>
      <c r="AI826" s="4">
        <v>40716</v>
      </c>
    </row>
    <row r="827" spans="1:35">
      <c r="A827">
        <v>826</v>
      </c>
      <c r="B827" t="str">
        <f>"603959"</f>
        <v>603959</v>
      </c>
      <c r="C827" t="s">
        <v>5513</v>
      </c>
      <c r="D827" s="4">
        <v>43190</v>
      </c>
      <c r="E827" t="s">
        <v>509</v>
      </c>
      <c r="F827" t="s">
        <v>1475</v>
      </c>
      <c r="G827" t="s">
        <v>103</v>
      </c>
      <c r="H827">
        <v>0.13</v>
      </c>
      <c r="I827">
        <v>4.4000000000000004</v>
      </c>
      <c r="J827">
        <v>2.88</v>
      </c>
      <c r="K827" t="s">
        <v>345</v>
      </c>
      <c r="L827">
        <v>76.510000000000005</v>
      </c>
      <c r="M827" t="s">
        <v>5514</v>
      </c>
      <c r="N827">
        <v>0</v>
      </c>
      <c r="O827" t="s">
        <v>5515</v>
      </c>
      <c r="P827" t="s">
        <v>5516</v>
      </c>
      <c r="Q827">
        <v>216.67</v>
      </c>
      <c r="R827" t="s">
        <v>545</v>
      </c>
      <c r="S827">
        <v>2</v>
      </c>
      <c r="T827">
        <v>32.17</v>
      </c>
      <c r="U827" t="s">
        <v>2753</v>
      </c>
      <c r="V827" t="s">
        <v>183</v>
      </c>
      <c r="W827" t="s">
        <v>5517</v>
      </c>
      <c r="X827">
        <v>2.88</v>
      </c>
      <c r="Y827" t="s">
        <v>1033</v>
      </c>
      <c r="Z827" t="s">
        <v>323</v>
      </c>
      <c r="AA827" t="s">
        <v>5518</v>
      </c>
      <c r="AB827">
        <v>6.14</v>
      </c>
      <c r="AC827" t="s">
        <v>4236</v>
      </c>
      <c r="AD827">
        <v>45.36</v>
      </c>
      <c r="AE827" t="s">
        <v>1977</v>
      </c>
      <c r="AF827">
        <v>1.21</v>
      </c>
      <c r="AG827">
        <v>0</v>
      </c>
      <c r="AH827">
        <v>0</v>
      </c>
      <c r="AI827" s="4">
        <v>42507</v>
      </c>
    </row>
    <row r="828" spans="1:35">
      <c r="A828">
        <v>827</v>
      </c>
      <c r="B828" t="str">
        <f>"603823"</f>
        <v>603823</v>
      </c>
      <c r="C828" t="s">
        <v>5519</v>
      </c>
      <c r="D828" s="4">
        <v>43190</v>
      </c>
      <c r="E828" t="s">
        <v>1484</v>
      </c>
      <c r="F828" t="s">
        <v>5520</v>
      </c>
      <c r="G828">
        <v>3869</v>
      </c>
      <c r="H828">
        <v>0.17</v>
      </c>
      <c r="I828">
        <v>5.63</v>
      </c>
      <c r="J828">
        <v>2.88</v>
      </c>
      <c r="K828" t="s">
        <v>185</v>
      </c>
      <c r="L828">
        <v>7.98</v>
      </c>
      <c r="M828" t="s">
        <v>5521</v>
      </c>
      <c r="N828" t="s">
        <v>5522</v>
      </c>
      <c r="O828" t="s">
        <v>5523</v>
      </c>
      <c r="P828" t="s">
        <v>5524</v>
      </c>
      <c r="Q828">
        <v>38.89</v>
      </c>
      <c r="R828" t="s">
        <v>2739</v>
      </c>
      <c r="S828">
        <v>2.41</v>
      </c>
      <c r="T828">
        <v>22.24</v>
      </c>
      <c r="U828" t="s">
        <v>514</v>
      </c>
      <c r="V828" t="s">
        <v>840</v>
      </c>
      <c r="W828" t="s">
        <v>453</v>
      </c>
      <c r="X828">
        <v>2.88</v>
      </c>
      <c r="Y828" t="s">
        <v>2510</v>
      </c>
      <c r="Z828" t="s">
        <v>2431</v>
      </c>
      <c r="AA828" t="s">
        <v>5525</v>
      </c>
      <c r="AB828">
        <v>2.5099999999999998</v>
      </c>
      <c r="AC828" t="s">
        <v>840</v>
      </c>
      <c r="AD828">
        <v>61.25</v>
      </c>
      <c r="AE828" t="s">
        <v>1295</v>
      </c>
      <c r="AF828">
        <v>1.92</v>
      </c>
      <c r="AG828">
        <v>0</v>
      </c>
      <c r="AH828">
        <v>0</v>
      </c>
      <c r="AI828" s="4">
        <v>42724</v>
      </c>
    </row>
    <row r="829" spans="1:35">
      <c r="A829">
        <v>828</v>
      </c>
      <c r="B829" t="str">
        <f>"603001"</f>
        <v>603001</v>
      </c>
      <c r="C829" t="s">
        <v>5526</v>
      </c>
      <c r="D829" s="4">
        <v>43190</v>
      </c>
      <c r="E829" t="s">
        <v>241</v>
      </c>
      <c r="F829" t="s">
        <v>241</v>
      </c>
      <c r="G829" t="s">
        <v>3585</v>
      </c>
      <c r="H829">
        <v>0.3</v>
      </c>
      <c r="I829">
        <v>9.9700000000000006</v>
      </c>
      <c r="J829">
        <v>2.88</v>
      </c>
      <c r="K829" t="s">
        <v>2235</v>
      </c>
      <c r="L829">
        <v>-1.55</v>
      </c>
      <c r="M829" t="s">
        <v>1016</v>
      </c>
      <c r="N829" t="s">
        <v>5527</v>
      </c>
      <c r="O829" t="s">
        <v>93</v>
      </c>
      <c r="P829" t="s">
        <v>677</v>
      </c>
      <c r="Q829">
        <v>4.75</v>
      </c>
      <c r="R829" t="s">
        <v>298</v>
      </c>
      <c r="S829">
        <v>3.63</v>
      </c>
      <c r="T829">
        <v>38.15</v>
      </c>
      <c r="U829" t="s">
        <v>713</v>
      </c>
      <c r="V829" t="s">
        <v>2989</v>
      </c>
      <c r="W829" t="s">
        <v>988</v>
      </c>
      <c r="X829">
        <v>2.88</v>
      </c>
      <c r="Y829" t="s">
        <v>602</v>
      </c>
      <c r="Z829" t="s">
        <v>602</v>
      </c>
      <c r="AA829">
        <v>0</v>
      </c>
      <c r="AB829">
        <v>1.2</v>
      </c>
      <c r="AC829" t="s">
        <v>1412</v>
      </c>
      <c r="AD829">
        <v>79.150000000000006</v>
      </c>
      <c r="AE829" t="s">
        <v>1752</v>
      </c>
      <c r="AF829">
        <v>4.8099999999999996</v>
      </c>
      <c r="AG829">
        <v>0</v>
      </c>
      <c r="AH829">
        <v>0</v>
      </c>
      <c r="AI829" s="4">
        <v>41025</v>
      </c>
    </row>
    <row r="830" spans="1:35">
      <c r="A830">
        <v>829</v>
      </c>
      <c r="B830" t="str">
        <f>"600971"</f>
        <v>600971</v>
      </c>
      <c r="C830" t="s">
        <v>5528</v>
      </c>
      <c r="D830" s="4">
        <v>43190</v>
      </c>
      <c r="E830" t="s">
        <v>895</v>
      </c>
      <c r="F830" t="s">
        <v>895</v>
      </c>
      <c r="G830" t="s">
        <v>5021</v>
      </c>
      <c r="H830">
        <v>0.2</v>
      </c>
      <c r="I830">
        <v>6.82</v>
      </c>
      <c r="J830">
        <v>2.88</v>
      </c>
      <c r="K830" t="s">
        <v>391</v>
      </c>
      <c r="L830">
        <v>-3.71</v>
      </c>
      <c r="M830" t="s">
        <v>286</v>
      </c>
      <c r="N830" t="s">
        <v>5529</v>
      </c>
      <c r="O830" t="s">
        <v>286</v>
      </c>
      <c r="P830" t="s">
        <v>292</v>
      </c>
      <c r="Q830">
        <v>-29.09</v>
      </c>
      <c r="R830" t="s">
        <v>583</v>
      </c>
      <c r="S830">
        <v>2.6</v>
      </c>
      <c r="T830">
        <v>38.71</v>
      </c>
      <c r="U830" t="s">
        <v>2654</v>
      </c>
      <c r="V830" t="s">
        <v>1927</v>
      </c>
      <c r="W830" t="s">
        <v>431</v>
      </c>
      <c r="X830">
        <v>2.88</v>
      </c>
      <c r="Y830" t="s">
        <v>4997</v>
      </c>
      <c r="Z830" t="s">
        <v>1858</v>
      </c>
      <c r="AA830" t="s">
        <v>251</v>
      </c>
      <c r="AB830">
        <v>0.99</v>
      </c>
      <c r="AC830" t="s">
        <v>1808</v>
      </c>
      <c r="AD830">
        <v>49.09</v>
      </c>
      <c r="AE830" t="s">
        <v>876</v>
      </c>
      <c r="AF830">
        <v>2.1</v>
      </c>
      <c r="AG830">
        <v>0</v>
      </c>
      <c r="AH830">
        <v>0</v>
      </c>
      <c r="AI830" s="4">
        <v>38216</v>
      </c>
    </row>
    <row r="831" spans="1:35">
      <c r="A831">
        <v>830</v>
      </c>
      <c r="B831" t="str">
        <f>"300349"</f>
        <v>300349</v>
      </c>
      <c r="C831" t="s">
        <v>5530</v>
      </c>
      <c r="D831" s="4">
        <v>43190</v>
      </c>
      <c r="E831" t="s">
        <v>1706</v>
      </c>
      <c r="F831" t="s">
        <v>52</v>
      </c>
      <c r="G831" t="s">
        <v>5531</v>
      </c>
      <c r="H831">
        <v>0.2</v>
      </c>
      <c r="I831">
        <v>7.11</v>
      </c>
      <c r="J831">
        <v>2.88</v>
      </c>
      <c r="K831" t="s">
        <v>2224</v>
      </c>
      <c r="L831">
        <v>36.54</v>
      </c>
      <c r="M831" t="s">
        <v>2307</v>
      </c>
      <c r="N831" t="s">
        <v>4157</v>
      </c>
      <c r="O831" t="s">
        <v>2307</v>
      </c>
      <c r="P831" t="s">
        <v>5532</v>
      </c>
      <c r="Q831">
        <v>100.01</v>
      </c>
      <c r="R831" t="s">
        <v>649</v>
      </c>
      <c r="S831">
        <v>1.89</v>
      </c>
      <c r="T831">
        <v>47.51</v>
      </c>
      <c r="U831" t="s">
        <v>1742</v>
      </c>
      <c r="V831" t="s">
        <v>420</v>
      </c>
      <c r="W831" t="s">
        <v>594</v>
      </c>
      <c r="X831">
        <v>2.88</v>
      </c>
      <c r="Y831" t="s">
        <v>1852</v>
      </c>
      <c r="Z831" t="s">
        <v>889</v>
      </c>
      <c r="AA831" t="s">
        <v>64</v>
      </c>
      <c r="AB831">
        <v>2.6</v>
      </c>
      <c r="AC831" t="s">
        <v>2057</v>
      </c>
      <c r="AD831">
        <v>77.349999999999994</v>
      </c>
      <c r="AE831" t="s">
        <v>691</v>
      </c>
      <c r="AF831">
        <v>4.16</v>
      </c>
      <c r="AG831">
        <v>0</v>
      </c>
      <c r="AH831">
        <v>0</v>
      </c>
      <c r="AI831" s="4">
        <v>41138</v>
      </c>
    </row>
    <row r="832" spans="1:35">
      <c r="A832">
        <v>831</v>
      </c>
      <c r="B832" t="str">
        <f>"002866"</f>
        <v>002866</v>
      </c>
      <c r="C832" t="s">
        <v>5533</v>
      </c>
      <c r="D832" s="4">
        <v>43190</v>
      </c>
      <c r="E832" t="s">
        <v>1016</v>
      </c>
      <c r="F832" t="s">
        <v>4841</v>
      </c>
      <c r="G832">
        <v>1673</v>
      </c>
      <c r="H832">
        <v>0.18</v>
      </c>
      <c r="I832">
        <v>6.39</v>
      </c>
      <c r="J832">
        <v>2.88</v>
      </c>
      <c r="K832" t="s">
        <v>1839</v>
      </c>
      <c r="L832">
        <v>51.5</v>
      </c>
      <c r="M832" t="s">
        <v>5534</v>
      </c>
      <c r="N832" t="s">
        <v>3524</v>
      </c>
      <c r="O832" t="s">
        <v>5535</v>
      </c>
      <c r="P832" t="s">
        <v>3892</v>
      </c>
      <c r="Q832">
        <v>17.420000000000002</v>
      </c>
      <c r="R832" t="s">
        <v>2387</v>
      </c>
      <c r="S832">
        <v>1.83</v>
      </c>
      <c r="T832">
        <v>31.32</v>
      </c>
      <c r="U832" t="s">
        <v>521</v>
      </c>
      <c r="V832" t="s">
        <v>1608</v>
      </c>
      <c r="W832" t="s">
        <v>1016</v>
      </c>
      <c r="X832">
        <v>2.88</v>
      </c>
      <c r="Y832" t="s">
        <v>657</v>
      </c>
      <c r="Z832" t="s">
        <v>657</v>
      </c>
      <c r="AA832" t="s">
        <v>5536</v>
      </c>
      <c r="AB832">
        <v>4.38</v>
      </c>
      <c r="AC832" t="s">
        <v>5537</v>
      </c>
      <c r="AD832">
        <v>86.82</v>
      </c>
      <c r="AE832" t="s">
        <v>542</v>
      </c>
      <c r="AF832">
        <v>3.42</v>
      </c>
      <c r="AG832">
        <v>0</v>
      </c>
      <c r="AH832">
        <v>0</v>
      </c>
      <c r="AI832" s="4">
        <v>42851</v>
      </c>
    </row>
    <row r="833" spans="1:35">
      <c r="A833">
        <v>832</v>
      </c>
      <c r="B833" t="str">
        <f>"002695"</f>
        <v>002695</v>
      </c>
      <c r="C833" t="s">
        <v>5538</v>
      </c>
      <c r="D833" s="4">
        <v>43190</v>
      </c>
      <c r="E833" t="s">
        <v>97</v>
      </c>
      <c r="F833" t="s">
        <v>645</v>
      </c>
      <c r="G833">
        <v>5444</v>
      </c>
      <c r="H833">
        <v>0.1</v>
      </c>
      <c r="I833">
        <v>3.6</v>
      </c>
      <c r="J833">
        <v>2.88</v>
      </c>
      <c r="K833" t="s">
        <v>749</v>
      </c>
      <c r="L833">
        <v>23.39</v>
      </c>
      <c r="M833" t="s">
        <v>5539</v>
      </c>
      <c r="N833">
        <v>0</v>
      </c>
      <c r="O833" t="s">
        <v>3283</v>
      </c>
      <c r="P833" t="s">
        <v>5540</v>
      </c>
      <c r="Q833">
        <v>42.91</v>
      </c>
      <c r="R833" t="s">
        <v>2429</v>
      </c>
      <c r="S833">
        <v>1.08</v>
      </c>
      <c r="T833">
        <v>35.92</v>
      </c>
      <c r="U833" t="s">
        <v>865</v>
      </c>
      <c r="V833" t="s">
        <v>747</v>
      </c>
      <c r="W833" t="s">
        <v>442</v>
      </c>
      <c r="X833">
        <v>2.88</v>
      </c>
      <c r="Y833" t="s">
        <v>1703</v>
      </c>
      <c r="Z833" t="s">
        <v>47</v>
      </c>
      <c r="AA833" t="s">
        <v>382</v>
      </c>
      <c r="AB833">
        <v>3.7</v>
      </c>
      <c r="AC833" t="s">
        <v>1126</v>
      </c>
      <c r="AD833">
        <v>77.400000000000006</v>
      </c>
      <c r="AE833" t="s">
        <v>1241</v>
      </c>
      <c r="AF833">
        <v>1.38</v>
      </c>
      <c r="AG833">
        <v>0</v>
      </c>
      <c r="AH833">
        <v>0</v>
      </c>
      <c r="AI833" s="4">
        <v>41157</v>
      </c>
    </row>
    <row r="834" spans="1:35">
      <c r="A834">
        <v>833</v>
      </c>
      <c r="B834" t="str">
        <f>"002237"</f>
        <v>002237</v>
      </c>
      <c r="C834" t="s">
        <v>5541</v>
      </c>
      <c r="D834" s="4">
        <v>43190</v>
      </c>
      <c r="E834" t="s">
        <v>277</v>
      </c>
      <c r="F834" t="s">
        <v>2443</v>
      </c>
      <c r="G834" t="s">
        <v>2258</v>
      </c>
      <c r="H834">
        <v>0.14000000000000001</v>
      </c>
      <c r="I834">
        <v>4.8499999999999996</v>
      </c>
      <c r="J834">
        <v>2.88</v>
      </c>
      <c r="K834" t="s">
        <v>3288</v>
      </c>
      <c r="L834">
        <v>-6.31</v>
      </c>
      <c r="M834" t="s">
        <v>93</v>
      </c>
      <c r="N834" t="s">
        <v>5542</v>
      </c>
      <c r="O834" t="s">
        <v>745</v>
      </c>
      <c r="P834" t="s">
        <v>2360</v>
      </c>
      <c r="Q834">
        <v>74.47</v>
      </c>
      <c r="R834" t="s">
        <v>420</v>
      </c>
      <c r="S834">
        <v>2.35</v>
      </c>
      <c r="T834">
        <v>7.87</v>
      </c>
      <c r="U834" t="s">
        <v>1784</v>
      </c>
      <c r="V834" t="s">
        <v>2406</v>
      </c>
      <c r="W834" t="s">
        <v>1175</v>
      </c>
      <c r="X834">
        <v>2.88</v>
      </c>
      <c r="Y834" t="s">
        <v>4911</v>
      </c>
      <c r="Z834" t="s">
        <v>4940</v>
      </c>
      <c r="AA834" t="s">
        <v>492</v>
      </c>
      <c r="AB834">
        <v>1.99</v>
      </c>
      <c r="AC834" t="s">
        <v>738</v>
      </c>
      <c r="AD834">
        <v>33.78</v>
      </c>
      <c r="AE834" t="s">
        <v>5543</v>
      </c>
      <c r="AF834">
        <v>1.08</v>
      </c>
      <c r="AG834">
        <v>0</v>
      </c>
      <c r="AH834">
        <v>0</v>
      </c>
      <c r="AI834" s="4">
        <v>39588</v>
      </c>
    </row>
    <row r="835" spans="1:35">
      <c r="A835">
        <v>834</v>
      </c>
      <c r="B835" t="str">
        <f>"000625"</f>
        <v>000625</v>
      </c>
      <c r="C835" t="s">
        <v>5544</v>
      </c>
      <c r="D835" s="4">
        <v>43190</v>
      </c>
      <c r="E835" t="s">
        <v>1925</v>
      </c>
      <c r="F835" t="s">
        <v>2136</v>
      </c>
      <c r="G835" t="s">
        <v>3640</v>
      </c>
      <c r="H835">
        <v>0.28999999999999998</v>
      </c>
      <c r="I835">
        <v>10.199999999999999</v>
      </c>
      <c r="J835">
        <v>2.88</v>
      </c>
      <c r="K835" t="s">
        <v>388</v>
      </c>
      <c r="L835">
        <v>13.26</v>
      </c>
      <c r="M835" t="s">
        <v>624</v>
      </c>
      <c r="N835" t="s">
        <v>973</v>
      </c>
      <c r="O835" t="s">
        <v>971</v>
      </c>
      <c r="P835" t="s">
        <v>624</v>
      </c>
      <c r="Q835">
        <v>-42.04</v>
      </c>
      <c r="R835" t="s">
        <v>2315</v>
      </c>
      <c r="S835">
        <v>7.62</v>
      </c>
      <c r="T835">
        <v>12</v>
      </c>
      <c r="U835" t="s">
        <v>5545</v>
      </c>
      <c r="V835" t="s">
        <v>5546</v>
      </c>
      <c r="W835" t="s">
        <v>432</v>
      </c>
      <c r="X835">
        <v>2.88</v>
      </c>
      <c r="Y835" t="s">
        <v>5547</v>
      </c>
      <c r="Z835" t="s">
        <v>5548</v>
      </c>
      <c r="AA835" t="s">
        <v>3301</v>
      </c>
      <c r="AB835">
        <v>0.88</v>
      </c>
      <c r="AC835" t="s">
        <v>1147</v>
      </c>
      <c r="AD835">
        <v>45.69</v>
      </c>
      <c r="AE835" t="s">
        <v>1327</v>
      </c>
      <c r="AF835">
        <v>1.06</v>
      </c>
      <c r="AG835" t="s">
        <v>3117</v>
      </c>
      <c r="AH835">
        <v>0</v>
      </c>
      <c r="AI835" s="4">
        <v>35591</v>
      </c>
    </row>
    <row r="836" spans="1:35">
      <c r="A836">
        <v>835</v>
      </c>
      <c r="B836" t="str">
        <f>"601828"</f>
        <v>601828</v>
      </c>
      <c r="C836" t="s">
        <v>5549</v>
      </c>
      <c r="D836" s="4">
        <v>43190</v>
      </c>
      <c r="E836" t="s">
        <v>5550</v>
      </c>
      <c r="F836" t="s">
        <v>186</v>
      </c>
      <c r="G836">
        <v>0</v>
      </c>
      <c r="H836">
        <v>0.3</v>
      </c>
      <c r="I836">
        <v>11.33</v>
      </c>
      <c r="J836">
        <v>2.87</v>
      </c>
      <c r="K836" t="s">
        <v>2499</v>
      </c>
      <c r="L836">
        <v>25.36</v>
      </c>
      <c r="M836" t="s">
        <v>76</v>
      </c>
      <c r="N836" t="s">
        <v>5551</v>
      </c>
      <c r="O836" t="s">
        <v>76</v>
      </c>
      <c r="P836" t="s">
        <v>250</v>
      </c>
      <c r="Q836">
        <v>30.76</v>
      </c>
      <c r="R836" t="s">
        <v>2798</v>
      </c>
      <c r="S836">
        <v>7.32</v>
      </c>
      <c r="T836">
        <v>70.58</v>
      </c>
      <c r="U836" t="s">
        <v>5552</v>
      </c>
      <c r="V836" t="s">
        <v>2050</v>
      </c>
      <c r="W836" t="s">
        <v>290</v>
      </c>
      <c r="X836">
        <v>2.87</v>
      </c>
      <c r="Y836" t="s">
        <v>2345</v>
      </c>
      <c r="Z836" t="s">
        <v>5122</v>
      </c>
      <c r="AA836" t="s">
        <v>394</v>
      </c>
      <c r="AB836">
        <v>1.36</v>
      </c>
      <c r="AC836" t="s">
        <v>3498</v>
      </c>
      <c r="AD836">
        <v>43.58</v>
      </c>
      <c r="AE836" t="s">
        <v>4071</v>
      </c>
      <c r="AF836">
        <v>2.11</v>
      </c>
      <c r="AG836">
        <v>0</v>
      </c>
      <c r="AH836" t="s">
        <v>521</v>
      </c>
      <c r="AI836" s="4">
        <v>43117</v>
      </c>
    </row>
    <row r="837" spans="1:35">
      <c r="A837">
        <v>836</v>
      </c>
      <c r="B837" t="str">
        <f>"600628"</f>
        <v>600628</v>
      </c>
      <c r="C837" t="s">
        <v>5553</v>
      </c>
      <c r="D837" s="4">
        <v>43190</v>
      </c>
      <c r="E837" t="s">
        <v>4002</v>
      </c>
      <c r="F837" t="s">
        <v>943</v>
      </c>
      <c r="G837">
        <v>9904</v>
      </c>
      <c r="H837">
        <v>0.2</v>
      </c>
      <c r="I837">
        <v>6.91</v>
      </c>
      <c r="J837">
        <v>2.87</v>
      </c>
      <c r="K837" t="s">
        <v>1073</v>
      </c>
      <c r="L837">
        <v>-4.59</v>
      </c>
      <c r="M837" t="s">
        <v>280</v>
      </c>
      <c r="N837" t="s">
        <v>5554</v>
      </c>
      <c r="O837" t="s">
        <v>452</v>
      </c>
      <c r="P837" t="s">
        <v>2115</v>
      </c>
      <c r="Q837">
        <v>-53.15</v>
      </c>
      <c r="R837" t="s">
        <v>308</v>
      </c>
      <c r="S837">
        <v>2.93</v>
      </c>
      <c r="T837">
        <v>32.29</v>
      </c>
      <c r="U837" t="s">
        <v>4937</v>
      </c>
      <c r="V837" t="s">
        <v>774</v>
      </c>
      <c r="W837" t="s">
        <v>2542</v>
      </c>
      <c r="X837">
        <v>2.87</v>
      </c>
      <c r="Y837" t="s">
        <v>161</v>
      </c>
      <c r="Z837" t="s">
        <v>1307</v>
      </c>
      <c r="AA837" t="s">
        <v>1365</v>
      </c>
      <c r="AB837">
        <v>1.04</v>
      </c>
      <c r="AC837" t="s">
        <v>5300</v>
      </c>
      <c r="AD837">
        <v>75.52</v>
      </c>
      <c r="AE837" t="s">
        <v>848</v>
      </c>
      <c r="AF837">
        <v>2.42</v>
      </c>
      <c r="AG837">
        <v>0</v>
      </c>
      <c r="AH837">
        <v>0</v>
      </c>
      <c r="AI837" s="4">
        <v>33988</v>
      </c>
    </row>
    <row r="838" spans="1:35">
      <c r="A838">
        <v>837</v>
      </c>
      <c r="B838" t="str">
        <f>"603458"</f>
        <v>603458</v>
      </c>
      <c r="C838" t="s">
        <v>5555</v>
      </c>
      <c r="D838" s="4">
        <v>43190</v>
      </c>
      <c r="E838" t="s">
        <v>1365</v>
      </c>
      <c r="F838" t="s">
        <v>5556</v>
      </c>
      <c r="G838">
        <v>1856</v>
      </c>
      <c r="H838">
        <v>0.46</v>
      </c>
      <c r="I838">
        <v>15.43</v>
      </c>
      <c r="J838">
        <v>2.86</v>
      </c>
      <c r="K838" t="s">
        <v>335</v>
      </c>
      <c r="L838">
        <v>11.85</v>
      </c>
      <c r="M838" t="s">
        <v>5557</v>
      </c>
      <c r="N838" t="s">
        <v>5558</v>
      </c>
      <c r="O838" t="s">
        <v>5557</v>
      </c>
      <c r="P838" t="s">
        <v>5559</v>
      </c>
      <c r="Q838">
        <v>12.98</v>
      </c>
      <c r="R838" t="s">
        <v>3639</v>
      </c>
      <c r="S838">
        <v>7.05</v>
      </c>
      <c r="T838">
        <v>32.47</v>
      </c>
      <c r="U838" t="s">
        <v>638</v>
      </c>
      <c r="V838" t="s">
        <v>239</v>
      </c>
      <c r="W838" t="s">
        <v>36</v>
      </c>
      <c r="X838">
        <v>2.86</v>
      </c>
      <c r="Y838" t="s">
        <v>1025</v>
      </c>
      <c r="Z838" t="s">
        <v>101</v>
      </c>
      <c r="AA838" t="s">
        <v>5119</v>
      </c>
      <c r="AB838">
        <v>2.67</v>
      </c>
      <c r="AC838" t="s">
        <v>418</v>
      </c>
      <c r="AD838">
        <v>60.8</v>
      </c>
      <c r="AE838" t="s">
        <v>1756</v>
      </c>
      <c r="AF838">
        <v>6.54</v>
      </c>
      <c r="AG838">
        <v>0</v>
      </c>
      <c r="AH838">
        <v>0</v>
      </c>
      <c r="AI838" s="4">
        <v>42956</v>
      </c>
    </row>
    <row r="839" spans="1:35">
      <c r="A839">
        <v>838</v>
      </c>
      <c r="B839" t="str">
        <f>"600822"</f>
        <v>600822</v>
      </c>
      <c r="C839" t="s">
        <v>5560</v>
      </c>
      <c r="D839" s="4">
        <v>43190</v>
      </c>
      <c r="E839" t="s">
        <v>1596</v>
      </c>
      <c r="F839" t="s">
        <v>2953</v>
      </c>
      <c r="G839">
        <v>8564</v>
      </c>
      <c r="H839">
        <v>0.03</v>
      </c>
      <c r="I839">
        <v>1.1599999999999999</v>
      </c>
      <c r="J839">
        <v>2.86</v>
      </c>
      <c r="K839" t="s">
        <v>1455</v>
      </c>
      <c r="L839">
        <v>11.47</v>
      </c>
      <c r="M839" t="s">
        <v>5561</v>
      </c>
      <c r="N839" t="s">
        <v>4791</v>
      </c>
      <c r="O839" t="s">
        <v>5562</v>
      </c>
      <c r="P839" t="s">
        <v>5563</v>
      </c>
      <c r="Q839">
        <v>40.51</v>
      </c>
      <c r="R839" t="s">
        <v>5564</v>
      </c>
      <c r="S839">
        <v>-3.57</v>
      </c>
      <c r="T839">
        <v>4.9800000000000004</v>
      </c>
      <c r="U839" t="s">
        <v>514</v>
      </c>
      <c r="V839" t="s">
        <v>263</v>
      </c>
      <c r="W839" t="s">
        <v>597</v>
      </c>
      <c r="X839">
        <v>2.86</v>
      </c>
      <c r="Y839" t="s">
        <v>855</v>
      </c>
      <c r="Z839" t="s">
        <v>538</v>
      </c>
      <c r="AA839" t="s">
        <v>533</v>
      </c>
      <c r="AB839">
        <v>7.91</v>
      </c>
      <c r="AC839" t="s">
        <v>2450</v>
      </c>
      <c r="AD839">
        <v>26.97</v>
      </c>
      <c r="AE839" t="s">
        <v>1678</v>
      </c>
      <c r="AF839">
        <v>3.59</v>
      </c>
      <c r="AG839" t="s">
        <v>5360</v>
      </c>
      <c r="AH839">
        <v>0</v>
      </c>
      <c r="AI839" s="4">
        <v>34369</v>
      </c>
    </row>
    <row r="840" spans="1:35">
      <c r="A840">
        <v>839</v>
      </c>
      <c r="B840" t="str">
        <f>"600548"</f>
        <v>600548</v>
      </c>
      <c r="C840" t="s">
        <v>5565</v>
      </c>
      <c r="D840" s="4">
        <v>43190</v>
      </c>
      <c r="E840" t="s">
        <v>789</v>
      </c>
      <c r="F840" t="s">
        <v>162</v>
      </c>
      <c r="G840" t="s">
        <v>5566</v>
      </c>
      <c r="H840">
        <v>0.18</v>
      </c>
      <c r="I840">
        <v>6.16</v>
      </c>
      <c r="J840">
        <v>2.86</v>
      </c>
      <c r="K840" t="s">
        <v>924</v>
      </c>
      <c r="L840">
        <v>20.09</v>
      </c>
      <c r="M840" t="s">
        <v>2587</v>
      </c>
      <c r="N840" t="s">
        <v>1370</v>
      </c>
      <c r="O840" t="s">
        <v>1212</v>
      </c>
      <c r="P840" t="s">
        <v>2915</v>
      </c>
      <c r="Q840">
        <v>21.43</v>
      </c>
      <c r="R840" t="s">
        <v>464</v>
      </c>
      <c r="S840">
        <v>1.35</v>
      </c>
      <c r="T840">
        <v>51.04</v>
      </c>
      <c r="U840" t="s">
        <v>5567</v>
      </c>
      <c r="V840" t="s">
        <v>3343</v>
      </c>
      <c r="W840" t="s">
        <v>147</v>
      </c>
      <c r="X840">
        <v>2.86</v>
      </c>
      <c r="Y840" t="s">
        <v>2335</v>
      </c>
      <c r="Z840" t="s">
        <v>5568</v>
      </c>
      <c r="AA840" t="s">
        <v>761</v>
      </c>
      <c r="AB840">
        <v>1.27</v>
      </c>
      <c r="AC840" t="s">
        <v>398</v>
      </c>
      <c r="AD840">
        <v>31.56</v>
      </c>
      <c r="AE840" t="s">
        <v>4159</v>
      </c>
      <c r="AF840">
        <v>2.42</v>
      </c>
      <c r="AG840">
        <v>0</v>
      </c>
      <c r="AH840" t="s">
        <v>3632</v>
      </c>
      <c r="AI840" s="4">
        <v>37250</v>
      </c>
    </row>
    <row r="841" spans="1:35">
      <c r="A841">
        <v>840</v>
      </c>
      <c r="B841" t="str">
        <f>"603496"</f>
        <v>603496</v>
      </c>
      <c r="C841" t="s">
        <v>5569</v>
      </c>
      <c r="D841" s="4">
        <v>43190</v>
      </c>
      <c r="E841" t="s">
        <v>533</v>
      </c>
      <c r="F841" t="s">
        <v>2829</v>
      </c>
      <c r="G841">
        <v>2621</v>
      </c>
      <c r="H841">
        <v>0.19</v>
      </c>
      <c r="I841">
        <v>6.95</v>
      </c>
      <c r="J841">
        <v>2.85</v>
      </c>
      <c r="K841" t="s">
        <v>5570</v>
      </c>
      <c r="L841">
        <v>35.869999999999997</v>
      </c>
      <c r="M841" t="s">
        <v>5571</v>
      </c>
      <c r="N841" t="s">
        <v>5572</v>
      </c>
      <c r="O841" t="s">
        <v>5573</v>
      </c>
      <c r="P841" t="s">
        <v>4105</v>
      </c>
      <c r="Q841">
        <v>7.64</v>
      </c>
      <c r="R841" t="s">
        <v>200</v>
      </c>
      <c r="S841">
        <v>1.91</v>
      </c>
      <c r="T841">
        <v>48.72</v>
      </c>
      <c r="U841" t="s">
        <v>3741</v>
      </c>
      <c r="V841" t="s">
        <v>1330</v>
      </c>
      <c r="W841" t="s">
        <v>5574</v>
      </c>
      <c r="X841">
        <v>2.85</v>
      </c>
      <c r="Y841" t="s">
        <v>5575</v>
      </c>
      <c r="Z841" t="s">
        <v>5576</v>
      </c>
      <c r="AA841" t="s">
        <v>5577</v>
      </c>
      <c r="AB841">
        <v>4.1100000000000003</v>
      </c>
      <c r="AC841" t="s">
        <v>2089</v>
      </c>
      <c r="AD841">
        <v>88.5</v>
      </c>
      <c r="AE841" t="s">
        <v>265</v>
      </c>
      <c r="AF841">
        <v>3.86</v>
      </c>
      <c r="AG841">
        <v>0</v>
      </c>
      <c r="AH841">
        <v>0</v>
      </c>
      <c r="AI841" s="4">
        <v>42893</v>
      </c>
    </row>
    <row r="842" spans="1:35">
      <c r="A842">
        <v>841</v>
      </c>
      <c r="B842" t="str">
        <f>"300731"</f>
        <v>300731</v>
      </c>
      <c r="C842" t="s">
        <v>5578</v>
      </c>
      <c r="D842" s="4">
        <v>43190</v>
      </c>
      <c r="E842" t="s">
        <v>5579</v>
      </c>
      <c r="F842" t="s">
        <v>4585</v>
      </c>
      <c r="G842">
        <v>1537</v>
      </c>
      <c r="H842">
        <v>0.16</v>
      </c>
      <c r="I842">
        <v>5.39</v>
      </c>
      <c r="J842">
        <v>2.85</v>
      </c>
      <c r="K842" t="s">
        <v>5215</v>
      </c>
      <c r="L842">
        <v>17.63</v>
      </c>
      <c r="M842" t="s">
        <v>5580</v>
      </c>
      <c r="N842" t="s">
        <v>4735</v>
      </c>
      <c r="O842" t="s">
        <v>5581</v>
      </c>
      <c r="P842" t="s">
        <v>5582</v>
      </c>
      <c r="Q842">
        <v>-9.98</v>
      </c>
      <c r="R842" t="s">
        <v>5583</v>
      </c>
      <c r="S842">
        <v>0.55000000000000004</v>
      </c>
      <c r="T842">
        <v>42.3</v>
      </c>
      <c r="U842" t="s">
        <v>2392</v>
      </c>
      <c r="V842" t="s">
        <v>1731</v>
      </c>
      <c r="W842" t="s">
        <v>5584</v>
      </c>
      <c r="X842">
        <v>2.85</v>
      </c>
      <c r="Y842" t="s">
        <v>5585</v>
      </c>
      <c r="Z842" t="s">
        <v>4152</v>
      </c>
      <c r="AA842" t="s">
        <v>5586</v>
      </c>
      <c r="AB842">
        <v>6.8</v>
      </c>
      <c r="AC842" t="s">
        <v>999</v>
      </c>
      <c r="AD842">
        <v>89.95</v>
      </c>
      <c r="AE842" t="s">
        <v>559</v>
      </c>
      <c r="AF842">
        <v>3.68</v>
      </c>
      <c r="AG842">
        <v>0</v>
      </c>
      <c r="AH842">
        <v>0</v>
      </c>
      <c r="AI842" s="4">
        <v>43077</v>
      </c>
    </row>
    <row r="843" spans="1:35">
      <c r="A843">
        <v>842</v>
      </c>
      <c r="B843" t="str">
        <f>"300138"</f>
        <v>300138</v>
      </c>
      <c r="C843" t="s">
        <v>5587</v>
      </c>
      <c r="D843" s="4">
        <v>43190</v>
      </c>
      <c r="E843" t="s">
        <v>1461</v>
      </c>
      <c r="F843" t="s">
        <v>1666</v>
      </c>
      <c r="G843" t="s">
        <v>5588</v>
      </c>
      <c r="H843">
        <v>0.13</v>
      </c>
      <c r="I843">
        <v>4.54</v>
      </c>
      <c r="J843">
        <v>2.85</v>
      </c>
      <c r="K843" t="s">
        <v>1907</v>
      </c>
      <c r="L843">
        <v>5.81</v>
      </c>
      <c r="M843" t="s">
        <v>5589</v>
      </c>
      <c r="N843">
        <v>0</v>
      </c>
      <c r="O843" t="s">
        <v>5590</v>
      </c>
      <c r="P843" t="s">
        <v>5591</v>
      </c>
      <c r="Q843">
        <v>35.64</v>
      </c>
      <c r="R843" t="s">
        <v>362</v>
      </c>
      <c r="S843">
        <v>1.3</v>
      </c>
      <c r="T843">
        <v>17.600000000000001</v>
      </c>
      <c r="U843" t="s">
        <v>589</v>
      </c>
      <c r="V843" t="s">
        <v>1843</v>
      </c>
      <c r="W843" t="s">
        <v>1056</v>
      </c>
      <c r="X843">
        <v>2.85</v>
      </c>
      <c r="Y843" t="s">
        <v>548</v>
      </c>
      <c r="Z843" t="s">
        <v>1033</v>
      </c>
      <c r="AA843" t="s">
        <v>3256</v>
      </c>
      <c r="AB843">
        <v>2.58</v>
      </c>
      <c r="AC843" t="s">
        <v>298</v>
      </c>
      <c r="AD843">
        <v>57.4</v>
      </c>
      <c r="AE843" t="s">
        <v>358</v>
      </c>
      <c r="AF843">
        <v>2.2000000000000002</v>
      </c>
      <c r="AG843">
        <v>0</v>
      </c>
      <c r="AH843">
        <v>0</v>
      </c>
      <c r="AI843" s="4">
        <v>40487</v>
      </c>
    </row>
    <row r="844" spans="1:35">
      <c r="A844">
        <v>843</v>
      </c>
      <c r="B844" t="str">
        <f>"002217"</f>
        <v>002217</v>
      </c>
      <c r="C844" t="s">
        <v>5592</v>
      </c>
      <c r="D844" s="4">
        <v>43190</v>
      </c>
      <c r="E844" t="s">
        <v>1285</v>
      </c>
      <c r="F844" t="s">
        <v>1920</v>
      </c>
      <c r="G844" t="s">
        <v>5593</v>
      </c>
      <c r="H844">
        <v>0.09</v>
      </c>
      <c r="I844">
        <v>3.3</v>
      </c>
      <c r="J844">
        <v>2.85</v>
      </c>
      <c r="K844" t="s">
        <v>4558</v>
      </c>
      <c r="L844">
        <v>52.45</v>
      </c>
      <c r="M844" t="s">
        <v>167</v>
      </c>
      <c r="N844" t="s">
        <v>5594</v>
      </c>
      <c r="O844" t="s">
        <v>499</v>
      </c>
      <c r="P844" t="s">
        <v>1699</v>
      </c>
      <c r="Q844">
        <v>40.56</v>
      </c>
      <c r="R844" t="s">
        <v>2542</v>
      </c>
      <c r="S844">
        <v>0.81</v>
      </c>
      <c r="T844">
        <v>16.93</v>
      </c>
      <c r="U844" t="s">
        <v>5595</v>
      </c>
      <c r="V844" t="s">
        <v>412</v>
      </c>
      <c r="W844" t="s">
        <v>451</v>
      </c>
      <c r="X844">
        <v>2.85</v>
      </c>
      <c r="Y844" t="s">
        <v>841</v>
      </c>
      <c r="Z844" t="s">
        <v>2104</v>
      </c>
      <c r="AA844" t="s">
        <v>260</v>
      </c>
      <c r="AB844">
        <v>2.5099999999999998</v>
      </c>
      <c r="AC844" t="s">
        <v>1820</v>
      </c>
      <c r="AD844">
        <v>45.64</v>
      </c>
      <c r="AE844" t="s">
        <v>2245</v>
      </c>
      <c r="AF844">
        <v>1.43</v>
      </c>
      <c r="AG844">
        <v>0</v>
      </c>
      <c r="AH844">
        <v>0</v>
      </c>
      <c r="AI844" s="4">
        <v>39498</v>
      </c>
    </row>
    <row r="845" spans="1:35">
      <c r="A845">
        <v>844</v>
      </c>
      <c r="B845" t="str">
        <f>"000876"</f>
        <v>000876</v>
      </c>
      <c r="C845" t="s">
        <v>5596</v>
      </c>
      <c r="D845" s="4">
        <v>43190</v>
      </c>
      <c r="E845" t="s">
        <v>2694</v>
      </c>
      <c r="F845" t="s">
        <v>1583</v>
      </c>
      <c r="G845" t="s">
        <v>5597</v>
      </c>
      <c r="H845">
        <v>0.14000000000000001</v>
      </c>
      <c r="I845">
        <v>5.0999999999999996</v>
      </c>
      <c r="J845">
        <v>2.85</v>
      </c>
      <c r="K845" t="s">
        <v>899</v>
      </c>
      <c r="L845">
        <v>1.32</v>
      </c>
      <c r="M845" t="s">
        <v>5598</v>
      </c>
      <c r="N845" t="s">
        <v>2295</v>
      </c>
      <c r="O845" t="s">
        <v>1705</v>
      </c>
      <c r="P845" t="s">
        <v>607</v>
      </c>
      <c r="Q845">
        <v>-5.51</v>
      </c>
      <c r="R845" t="s">
        <v>1784</v>
      </c>
      <c r="S845">
        <v>3.1</v>
      </c>
      <c r="T845">
        <v>8.51</v>
      </c>
      <c r="U845" t="s">
        <v>3514</v>
      </c>
      <c r="V845" t="s">
        <v>932</v>
      </c>
      <c r="W845" t="s">
        <v>636</v>
      </c>
      <c r="X845">
        <v>2.85</v>
      </c>
      <c r="Y845" t="s">
        <v>2491</v>
      </c>
      <c r="Z845" t="s">
        <v>1453</v>
      </c>
      <c r="AA845" t="s">
        <v>693</v>
      </c>
      <c r="AB845">
        <v>1.25</v>
      </c>
      <c r="AC845" t="s">
        <v>4554</v>
      </c>
      <c r="AD845">
        <v>47.76</v>
      </c>
      <c r="AE845" t="s">
        <v>306</v>
      </c>
      <c r="AF845">
        <v>0.57999999999999996</v>
      </c>
      <c r="AG845">
        <v>0</v>
      </c>
      <c r="AH845">
        <v>0</v>
      </c>
      <c r="AI845" s="4">
        <v>35865</v>
      </c>
    </row>
    <row r="846" spans="1:35">
      <c r="A846">
        <v>845</v>
      </c>
      <c r="B846" t="str">
        <f>"300454"</f>
        <v>300454</v>
      </c>
      <c r="C846" t="s">
        <v>5599</v>
      </c>
      <c r="D846" s="4">
        <v>43190</v>
      </c>
      <c r="E846" t="s">
        <v>150</v>
      </c>
      <c r="F846" t="s">
        <v>2417</v>
      </c>
      <c r="G846">
        <v>0</v>
      </c>
      <c r="H846">
        <v>0.12</v>
      </c>
      <c r="I846">
        <v>7.1</v>
      </c>
      <c r="J846">
        <v>2.84</v>
      </c>
      <c r="K846" t="s">
        <v>769</v>
      </c>
      <c r="L846">
        <v>40.119999999999997</v>
      </c>
      <c r="M846" t="s">
        <v>3601</v>
      </c>
      <c r="N846" t="s">
        <v>5600</v>
      </c>
      <c r="O846" t="s">
        <v>5601</v>
      </c>
      <c r="P846" t="s">
        <v>278</v>
      </c>
      <c r="Q846">
        <v>652.64</v>
      </c>
      <c r="R846" t="s">
        <v>1565</v>
      </c>
      <c r="S846">
        <v>1.31</v>
      </c>
      <c r="T846">
        <v>73.41</v>
      </c>
      <c r="U846" t="s">
        <v>402</v>
      </c>
      <c r="V846" t="s">
        <v>1244</v>
      </c>
      <c r="W846" t="s">
        <v>2034</v>
      </c>
      <c r="X846">
        <v>2.84</v>
      </c>
      <c r="Y846" t="s">
        <v>4194</v>
      </c>
      <c r="Z846" t="s">
        <v>627</v>
      </c>
      <c r="AA846" t="s">
        <v>595</v>
      </c>
      <c r="AB846">
        <v>16.63</v>
      </c>
      <c r="AC846" t="s">
        <v>1569</v>
      </c>
      <c r="AD846">
        <v>65.69</v>
      </c>
      <c r="AE846" t="s">
        <v>4404</v>
      </c>
      <c r="AF846">
        <v>4.59</v>
      </c>
      <c r="AG846">
        <v>0</v>
      </c>
      <c r="AH846">
        <v>0</v>
      </c>
      <c r="AI846" s="4">
        <v>43236</v>
      </c>
    </row>
    <row r="847" spans="1:35">
      <c r="A847">
        <v>846</v>
      </c>
      <c r="B847" t="str">
        <f>"601360"</f>
        <v>601360</v>
      </c>
      <c r="C847" t="s">
        <v>5602</v>
      </c>
      <c r="D847" s="4">
        <v>43190</v>
      </c>
      <c r="E847" t="s">
        <v>1403</v>
      </c>
      <c r="F847" t="s">
        <v>2915</v>
      </c>
      <c r="G847">
        <v>4511</v>
      </c>
      <c r="H847">
        <v>7.0000000000000007E-2</v>
      </c>
      <c r="I847">
        <v>2.68</v>
      </c>
      <c r="J847">
        <v>2.84</v>
      </c>
      <c r="K847" t="s">
        <v>239</v>
      </c>
      <c r="L847">
        <v>12.86</v>
      </c>
      <c r="M847" t="s">
        <v>1652</v>
      </c>
      <c r="N847" t="s">
        <v>5603</v>
      </c>
      <c r="O847" t="s">
        <v>1056</v>
      </c>
      <c r="P847" t="s">
        <v>3006</v>
      </c>
      <c r="Q847">
        <v>-27.57</v>
      </c>
      <c r="R847" t="s">
        <v>777</v>
      </c>
      <c r="S847">
        <v>0.72</v>
      </c>
      <c r="T847">
        <v>70.72</v>
      </c>
      <c r="U847" t="s">
        <v>1193</v>
      </c>
      <c r="V847" t="s">
        <v>1894</v>
      </c>
      <c r="W847" t="s">
        <v>3297</v>
      </c>
      <c r="X847">
        <v>2.84</v>
      </c>
      <c r="Y847" t="s">
        <v>830</v>
      </c>
      <c r="Z847" t="s">
        <v>2600</v>
      </c>
      <c r="AA847" t="s">
        <v>985</v>
      </c>
      <c r="AB847">
        <v>10.85</v>
      </c>
      <c r="AC847" t="s">
        <v>1550</v>
      </c>
      <c r="AD847">
        <v>79.2</v>
      </c>
      <c r="AE847" t="s">
        <v>1591</v>
      </c>
      <c r="AF847">
        <v>0.99</v>
      </c>
      <c r="AG847">
        <v>0</v>
      </c>
      <c r="AH847">
        <v>0</v>
      </c>
      <c r="AI847" s="4">
        <v>40924</v>
      </c>
    </row>
    <row r="848" spans="1:35">
      <c r="A848">
        <v>847</v>
      </c>
      <c r="B848" t="str">
        <f>"600461"</f>
        <v>600461</v>
      </c>
      <c r="C848" t="s">
        <v>5604</v>
      </c>
      <c r="D848" s="4">
        <v>43190</v>
      </c>
      <c r="E848" t="s">
        <v>285</v>
      </c>
      <c r="F848" t="s">
        <v>1652</v>
      </c>
      <c r="G848" t="s">
        <v>4573</v>
      </c>
      <c r="H848">
        <v>0.12</v>
      </c>
      <c r="I848">
        <v>4.18</v>
      </c>
      <c r="J848">
        <v>2.84</v>
      </c>
      <c r="K848" t="s">
        <v>699</v>
      </c>
      <c r="L848">
        <v>47.6</v>
      </c>
      <c r="M848" t="s">
        <v>64</v>
      </c>
      <c r="N848" t="s">
        <v>5605</v>
      </c>
      <c r="O848" t="s">
        <v>1360</v>
      </c>
      <c r="P848" t="s">
        <v>5606</v>
      </c>
      <c r="Q848">
        <v>67.8</v>
      </c>
      <c r="R848" t="s">
        <v>1094</v>
      </c>
      <c r="S848">
        <v>1.28</v>
      </c>
      <c r="T848">
        <v>24.4</v>
      </c>
      <c r="U848" t="s">
        <v>5607</v>
      </c>
      <c r="V848" t="s">
        <v>306</v>
      </c>
      <c r="W848" t="s">
        <v>2515</v>
      </c>
      <c r="X848">
        <v>2.84</v>
      </c>
      <c r="Y848" t="s">
        <v>1387</v>
      </c>
      <c r="Z848" t="s">
        <v>235</v>
      </c>
      <c r="AA848" t="s">
        <v>835</v>
      </c>
      <c r="AB848">
        <v>1.45</v>
      </c>
      <c r="AC848" t="s">
        <v>461</v>
      </c>
      <c r="AD848">
        <v>38.24</v>
      </c>
      <c r="AE848" t="s">
        <v>1214</v>
      </c>
      <c r="AF848">
        <v>1.7</v>
      </c>
      <c r="AG848">
        <v>0</v>
      </c>
      <c r="AH848">
        <v>0</v>
      </c>
      <c r="AI848" s="4">
        <v>38139</v>
      </c>
    </row>
    <row r="849" spans="1:35">
      <c r="A849">
        <v>848</v>
      </c>
      <c r="B849" t="str">
        <f>"002581"</f>
        <v>002581</v>
      </c>
      <c r="C849" t="s">
        <v>5608</v>
      </c>
      <c r="D849" s="4">
        <v>43190</v>
      </c>
      <c r="E849" t="s">
        <v>1408</v>
      </c>
      <c r="F849" t="s">
        <v>3482</v>
      </c>
      <c r="G849" t="s">
        <v>974</v>
      </c>
      <c r="H849">
        <v>0.12</v>
      </c>
      <c r="I849">
        <v>4.46</v>
      </c>
      <c r="J849">
        <v>2.84</v>
      </c>
      <c r="K849" t="s">
        <v>745</v>
      </c>
      <c r="L849">
        <v>-45.69</v>
      </c>
      <c r="M849" t="s">
        <v>5609</v>
      </c>
      <c r="N849" t="s">
        <v>5610</v>
      </c>
      <c r="O849" t="s">
        <v>5611</v>
      </c>
      <c r="P849" t="s">
        <v>5612</v>
      </c>
      <c r="Q849">
        <v>6.63</v>
      </c>
      <c r="R849" t="s">
        <v>405</v>
      </c>
      <c r="S849">
        <v>1.87</v>
      </c>
      <c r="T849">
        <v>83.71</v>
      </c>
      <c r="U849" t="s">
        <v>2267</v>
      </c>
      <c r="V849" t="s">
        <v>2523</v>
      </c>
      <c r="W849" t="s">
        <v>1059</v>
      </c>
      <c r="X849">
        <v>2.84</v>
      </c>
      <c r="Y849" t="s">
        <v>350</v>
      </c>
      <c r="Z849" t="s">
        <v>289</v>
      </c>
      <c r="AA849" t="s">
        <v>544</v>
      </c>
      <c r="AB849">
        <v>2.31</v>
      </c>
      <c r="AC849" t="s">
        <v>1252</v>
      </c>
      <c r="AD849">
        <v>67.47</v>
      </c>
      <c r="AE849" t="s">
        <v>1214</v>
      </c>
      <c r="AF849">
        <v>2.0499999999999998</v>
      </c>
      <c r="AG849">
        <v>0</v>
      </c>
      <c r="AH849">
        <v>0</v>
      </c>
      <c r="AI849" s="4">
        <v>40683</v>
      </c>
    </row>
    <row r="850" spans="1:35">
      <c r="A850">
        <v>849</v>
      </c>
      <c r="B850" t="str">
        <f>"600629"</f>
        <v>600629</v>
      </c>
      <c r="C850" t="s">
        <v>5613</v>
      </c>
      <c r="D850" s="4">
        <v>43190</v>
      </c>
      <c r="E850" t="s">
        <v>1295</v>
      </c>
      <c r="F850" t="s">
        <v>5614</v>
      </c>
      <c r="G850" t="s">
        <v>5615</v>
      </c>
      <c r="H850">
        <v>0.16</v>
      </c>
      <c r="I850">
        <v>5.88</v>
      </c>
      <c r="J850">
        <v>2.83</v>
      </c>
      <c r="K850" t="s">
        <v>101</v>
      </c>
      <c r="L850">
        <v>40.81</v>
      </c>
      <c r="M850" t="s">
        <v>5616</v>
      </c>
      <c r="N850" t="s">
        <v>5617</v>
      </c>
      <c r="O850" t="s">
        <v>5618</v>
      </c>
      <c r="P850" t="s">
        <v>5619</v>
      </c>
      <c r="Q850">
        <v>47.86</v>
      </c>
      <c r="R850" t="s">
        <v>5620</v>
      </c>
      <c r="S850">
        <v>2.2000000000000002</v>
      </c>
      <c r="T850">
        <v>22.94</v>
      </c>
      <c r="U850" t="s">
        <v>885</v>
      </c>
      <c r="V850" t="s">
        <v>2043</v>
      </c>
      <c r="W850" t="s">
        <v>1033</v>
      </c>
      <c r="X850">
        <v>2.83</v>
      </c>
      <c r="Y850" t="s">
        <v>783</v>
      </c>
      <c r="Z850" t="s">
        <v>1291</v>
      </c>
      <c r="AA850" t="s">
        <v>669</v>
      </c>
      <c r="AB850">
        <v>2.0299999999999998</v>
      </c>
      <c r="AC850" t="s">
        <v>2542</v>
      </c>
      <c r="AD850">
        <v>35.1</v>
      </c>
      <c r="AE850" t="s">
        <v>162</v>
      </c>
      <c r="AF850">
        <v>3.31</v>
      </c>
      <c r="AG850">
        <v>0</v>
      </c>
      <c r="AH850">
        <v>0</v>
      </c>
      <c r="AI850" s="4">
        <v>34009</v>
      </c>
    </row>
    <row r="851" spans="1:35">
      <c r="A851">
        <v>850</v>
      </c>
      <c r="B851" t="str">
        <f>"002206"</f>
        <v>002206</v>
      </c>
      <c r="C851" t="s">
        <v>5621</v>
      </c>
      <c r="D851" s="4">
        <v>43190</v>
      </c>
      <c r="E851" t="s">
        <v>982</v>
      </c>
      <c r="F851" t="s">
        <v>5620</v>
      </c>
      <c r="G851" t="s">
        <v>5622</v>
      </c>
      <c r="H851">
        <v>7.0000000000000007E-2</v>
      </c>
      <c r="I851">
        <v>2.41</v>
      </c>
      <c r="J851">
        <v>2.83</v>
      </c>
      <c r="K851" t="s">
        <v>2444</v>
      </c>
      <c r="L851">
        <v>26.44</v>
      </c>
      <c r="M851" t="s">
        <v>5623</v>
      </c>
      <c r="N851" t="s">
        <v>3751</v>
      </c>
      <c r="O851" t="s">
        <v>5623</v>
      </c>
      <c r="P851" t="s">
        <v>3142</v>
      </c>
      <c r="Q851">
        <v>3.67</v>
      </c>
      <c r="R851" t="s">
        <v>2697</v>
      </c>
      <c r="S851">
        <v>0.52</v>
      </c>
      <c r="T851">
        <v>21.27</v>
      </c>
      <c r="U851" t="s">
        <v>2005</v>
      </c>
      <c r="V851" t="s">
        <v>418</v>
      </c>
      <c r="W851" t="s">
        <v>76</v>
      </c>
      <c r="X851">
        <v>2.83</v>
      </c>
      <c r="Y851" t="s">
        <v>1062</v>
      </c>
      <c r="Z851" t="s">
        <v>1367</v>
      </c>
      <c r="AA851" t="s">
        <v>5624</v>
      </c>
      <c r="AB851">
        <v>1.97</v>
      </c>
      <c r="AC851" t="s">
        <v>1242</v>
      </c>
      <c r="AD851">
        <v>64.23</v>
      </c>
      <c r="AE851" t="s">
        <v>1780</v>
      </c>
      <c r="AF851">
        <v>0.72</v>
      </c>
      <c r="AG851">
        <v>0</v>
      </c>
      <c r="AH851">
        <v>0</v>
      </c>
      <c r="AI851" s="4">
        <v>39470</v>
      </c>
    </row>
    <row r="852" spans="1:35">
      <c r="A852">
        <v>851</v>
      </c>
      <c r="B852" t="str">
        <f>"603311"</f>
        <v>603311</v>
      </c>
      <c r="C852" t="s">
        <v>5625</v>
      </c>
      <c r="D852" s="4">
        <v>43190</v>
      </c>
      <c r="E852" t="s">
        <v>118</v>
      </c>
      <c r="F852" t="s">
        <v>118</v>
      </c>
      <c r="G852">
        <v>4287</v>
      </c>
      <c r="H852">
        <v>0.1</v>
      </c>
      <c r="I852">
        <v>3.34</v>
      </c>
      <c r="J852">
        <v>2.82</v>
      </c>
      <c r="K852" t="s">
        <v>1724</v>
      </c>
      <c r="L852">
        <v>9.48</v>
      </c>
      <c r="M852" t="s">
        <v>5626</v>
      </c>
      <c r="N852" t="s">
        <v>5627</v>
      </c>
      <c r="O852" t="s">
        <v>5628</v>
      </c>
      <c r="P852" t="s">
        <v>5629</v>
      </c>
      <c r="Q852">
        <v>-9.68</v>
      </c>
      <c r="R852" t="s">
        <v>1402</v>
      </c>
      <c r="S852">
        <v>1.21</v>
      </c>
      <c r="T852">
        <v>33.479999999999997</v>
      </c>
      <c r="U852" t="s">
        <v>4568</v>
      </c>
      <c r="V852" t="s">
        <v>2580</v>
      </c>
      <c r="W852" t="s">
        <v>845</v>
      </c>
      <c r="X852">
        <v>2.82</v>
      </c>
      <c r="Y852" t="s">
        <v>2769</v>
      </c>
      <c r="Z852" t="s">
        <v>1839</v>
      </c>
      <c r="AA852" t="s">
        <v>5630</v>
      </c>
      <c r="AB852">
        <v>3.29</v>
      </c>
      <c r="AC852" t="s">
        <v>2913</v>
      </c>
      <c r="AD852">
        <v>79.73</v>
      </c>
      <c r="AE852" t="s">
        <v>415</v>
      </c>
      <c r="AF852">
        <v>0.99</v>
      </c>
      <c r="AG852">
        <v>0</v>
      </c>
      <c r="AH852">
        <v>0</v>
      </c>
      <c r="AI852" s="4">
        <v>42142</v>
      </c>
    </row>
    <row r="853" spans="1:35">
      <c r="A853">
        <v>852</v>
      </c>
      <c r="B853" t="str">
        <f>"601607"</f>
        <v>601607</v>
      </c>
      <c r="C853" t="s">
        <v>5631</v>
      </c>
      <c r="D853" s="4">
        <v>43190</v>
      </c>
      <c r="E853" t="s">
        <v>1329</v>
      </c>
      <c r="F853" t="s">
        <v>702</v>
      </c>
      <c r="G853" t="s">
        <v>3854</v>
      </c>
      <c r="H853">
        <v>0.36</v>
      </c>
      <c r="I853">
        <v>13.21</v>
      </c>
      <c r="J853">
        <v>2.82</v>
      </c>
      <c r="K853" t="s">
        <v>5632</v>
      </c>
      <c r="L853">
        <v>9.83</v>
      </c>
      <c r="M853" t="s">
        <v>391</v>
      </c>
      <c r="N853" t="s">
        <v>985</v>
      </c>
      <c r="O853" t="s">
        <v>908</v>
      </c>
      <c r="P853" t="s">
        <v>1496</v>
      </c>
      <c r="Q853">
        <v>2.0699999999999998</v>
      </c>
      <c r="R853" t="s">
        <v>5633</v>
      </c>
      <c r="S853">
        <v>6.19</v>
      </c>
      <c r="T853">
        <v>15</v>
      </c>
      <c r="U853" t="s">
        <v>5634</v>
      </c>
      <c r="V853" t="s">
        <v>5635</v>
      </c>
      <c r="W853" t="s">
        <v>2832</v>
      </c>
      <c r="X853">
        <v>2.82</v>
      </c>
      <c r="Y853" t="s">
        <v>3205</v>
      </c>
      <c r="Z853" t="s">
        <v>5636</v>
      </c>
      <c r="AA853" t="s">
        <v>1380</v>
      </c>
      <c r="AB853">
        <v>1.81</v>
      </c>
      <c r="AC853" t="s">
        <v>3499</v>
      </c>
      <c r="AD853">
        <v>32.92</v>
      </c>
      <c r="AE853" t="s">
        <v>3912</v>
      </c>
      <c r="AF853">
        <v>5.59</v>
      </c>
      <c r="AG853">
        <v>0</v>
      </c>
      <c r="AH853" t="s">
        <v>2073</v>
      </c>
      <c r="AI853" s="4">
        <v>34417</v>
      </c>
    </row>
    <row r="854" spans="1:35">
      <c r="A854">
        <v>853</v>
      </c>
      <c r="B854" t="str">
        <f>"601107"</f>
        <v>601107</v>
      </c>
      <c r="C854" t="s">
        <v>5637</v>
      </c>
      <c r="D854" s="4">
        <v>43190</v>
      </c>
      <c r="E854" t="s">
        <v>1515</v>
      </c>
      <c r="F854" t="s">
        <v>114</v>
      </c>
      <c r="G854" t="s">
        <v>5638</v>
      </c>
      <c r="H854">
        <v>0.13</v>
      </c>
      <c r="I854">
        <v>4.67</v>
      </c>
      <c r="J854">
        <v>2.82</v>
      </c>
      <c r="K854" t="s">
        <v>141</v>
      </c>
      <c r="L854">
        <v>-3.83</v>
      </c>
      <c r="M854" t="s">
        <v>2563</v>
      </c>
      <c r="N854" t="s">
        <v>5639</v>
      </c>
      <c r="O854" t="s">
        <v>1128</v>
      </c>
      <c r="P854" t="s">
        <v>2915</v>
      </c>
      <c r="Q854">
        <v>42.66</v>
      </c>
      <c r="R854" t="s">
        <v>2245</v>
      </c>
      <c r="S854">
        <v>1.47</v>
      </c>
      <c r="T854">
        <v>49.77</v>
      </c>
      <c r="U854" t="s">
        <v>5040</v>
      </c>
      <c r="V854" t="s">
        <v>1592</v>
      </c>
      <c r="W854" t="s">
        <v>1358</v>
      </c>
      <c r="X854">
        <v>2.82</v>
      </c>
      <c r="Y854" t="s">
        <v>1221</v>
      </c>
      <c r="Z854" t="s">
        <v>2452</v>
      </c>
      <c r="AA854" t="s">
        <v>3129</v>
      </c>
      <c r="AB854">
        <v>0.75</v>
      </c>
      <c r="AC854" t="s">
        <v>412</v>
      </c>
      <c r="AD854">
        <v>40.99</v>
      </c>
      <c r="AE854" t="s">
        <v>510</v>
      </c>
      <c r="AF854">
        <v>0.61</v>
      </c>
      <c r="AG854">
        <v>0</v>
      </c>
      <c r="AH854" t="s">
        <v>2593</v>
      </c>
      <c r="AI854" s="4">
        <v>40021</v>
      </c>
    </row>
    <row r="855" spans="1:35">
      <c r="A855">
        <v>854</v>
      </c>
      <c r="B855" t="str">
        <f>"600012"</f>
        <v>600012</v>
      </c>
      <c r="C855" t="s">
        <v>5640</v>
      </c>
      <c r="D855" s="4">
        <v>43190</v>
      </c>
      <c r="E855" t="s">
        <v>298</v>
      </c>
      <c r="F855" t="s">
        <v>192</v>
      </c>
      <c r="G855" t="s">
        <v>5641</v>
      </c>
      <c r="H855">
        <v>0.16</v>
      </c>
      <c r="I855">
        <v>5.82</v>
      </c>
      <c r="J855">
        <v>2.82</v>
      </c>
      <c r="K855" t="s">
        <v>1837</v>
      </c>
      <c r="L855">
        <v>1.64</v>
      </c>
      <c r="M855" t="s">
        <v>3197</v>
      </c>
      <c r="N855" t="s">
        <v>5642</v>
      </c>
      <c r="O855" t="s">
        <v>2751</v>
      </c>
      <c r="P855" t="s">
        <v>1666</v>
      </c>
      <c r="Q855">
        <v>-8.68</v>
      </c>
      <c r="R855" t="s">
        <v>1281</v>
      </c>
      <c r="S855">
        <v>4.09</v>
      </c>
      <c r="T855">
        <v>55.57</v>
      </c>
      <c r="U855" t="s">
        <v>929</v>
      </c>
      <c r="V855" t="s">
        <v>512</v>
      </c>
      <c r="W855" t="s">
        <v>5537</v>
      </c>
      <c r="X855">
        <v>2.82</v>
      </c>
      <c r="Y855" t="s">
        <v>2513</v>
      </c>
      <c r="Z855" t="s">
        <v>978</v>
      </c>
      <c r="AA855" t="s">
        <v>570</v>
      </c>
      <c r="AB855">
        <v>1.1299999999999999</v>
      </c>
      <c r="AC855" t="s">
        <v>3166</v>
      </c>
      <c r="AD855">
        <v>67.14</v>
      </c>
      <c r="AE855" t="s">
        <v>1609</v>
      </c>
      <c r="AF855">
        <v>0.17</v>
      </c>
      <c r="AG855">
        <v>0</v>
      </c>
      <c r="AH855" t="s">
        <v>1483</v>
      </c>
      <c r="AI855" s="4">
        <v>37628</v>
      </c>
    </row>
    <row r="856" spans="1:35">
      <c r="A856">
        <v>855</v>
      </c>
      <c r="B856" t="str">
        <f>"600004"</f>
        <v>600004</v>
      </c>
      <c r="C856" t="s">
        <v>5643</v>
      </c>
      <c r="D856" s="4">
        <v>43190</v>
      </c>
      <c r="E856" t="s">
        <v>3356</v>
      </c>
      <c r="F856" t="s">
        <v>3356</v>
      </c>
      <c r="G856" t="s">
        <v>5644</v>
      </c>
      <c r="H856">
        <v>0.21</v>
      </c>
      <c r="I856">
        <v>7.46</v>
      </c>
      <c r="J856">
        <v>2.82</v>
      </c>
      <c r="K856" t="s">
        <v>304</v>
      </c>
      <c r="L856">
        <v>8.84</v>
      </c>
      <c r="M856" t="s">
        <v>1157</v>
      </c>
      <c r="N856" t="s">
        <v>5645</v>
      </c>
      <c r="O856" t="s">
        <v>1056</v>
      </c>
      <c r="P856" t="s">
        <v>704</v>
      </c>
      <c r="Q856">
        <v>6.12</v>
      </c>
      <c r="R856" t="s">
        <v>5646</v>
      </c>
      <c r="S856">
        <v>2.85</v>
      </c>
      <c r="T856">
        <v>39.71</v>
      </c>
      <c r="U856" t="s">
        <v>1468</v>
      </c>
      <c r="V856" t="s">
        <v>2917</v>
      </c>
      <c r="W856" t="s">
        <v>5647</v>
      </c>
      <c r="X856">
        <v>2.82</v>
      </c>
      <c r="Y856" t="s">
        <v>2627</v>
      </c>
      <c r="Z856" t="s">
        <v>5648</v>
      </c>
      <c r="AA856" t="s">
        <v>712</v>
      </c>
      <c r="AB856">
        <v>2.23</v>
      </c>
      <c r="AC856" t="s">
        <v>764</v>
      </c>
      <c r="AD856">
        <v>65.77</v>
      </c>
      <c r="AE856" t="s">
        <v>5286</v>
      </c>
      <c r="AF856">
        <v>3.23</v>
      </c>
      <c r="AG856">
        <v>0</v>
      </c>
      <c r="AH856">
        <v>0</v>
      </c>
      <c r="AI856" s="4">
        <v>37739</v>
      </c>
    </row>
    <row r="857" spans="1:35">
      <c r="A857">
        <v>856</v>
      </c>
      <c r="B857" t="str">
        <f>"603603"</f>
        <v>603603</v>
      </c>
      <c r="C857" t="s">
        <v>5649</v>
      </c>
      <c r="D857" s="4">
        <v>43190</v>
      </c>
      <c r="E857" t="s">
        <v>150</v>
      </c>
      <c r="F857" t="s">
        <v>1999</v>
      </c>
      <c r="G857" t="s">
        <v>5650</v>
      </c>
      <c r="H857">
        <v>0.1</v>
      </c>
      <c r="I857">
        <v>3.37</v>
      </c>
      <c r="J857">
        <v>2.81</v>
      </c>
      <c r="K857" t="s">
        <v>852</v>
      </c>
      <c r="L857">
        <v>51.19</v>
      </c>
      <c r="M857" t="s">
        <v>5651</v>
      </c>
      <c r="N857" t="s">
        <v>5652</v>
      </c>
      <c r="O857" t="s">
        <v>5653</v>
      </c>
      <c r="P857" t="s">
        <v>5654</v>
      </c>
      <c r="Q857">
        <v>53</v>
      </c>
      <c r="R857" t="s">
        <v>2580</v>
      </c>
      <c r="S857">
        <v>1.5</v>
      </c>
      <c r="T857">
        <v>25.11</v>
      </c>
      <c r="U857" t="s">
        <v>5034</v>
      </c>
      <c r="V857" t="s">
        <v>2694</v>
      </c>
      <c r="W857" t="s">
        <v>5655</v>
      </c>
      <c r="X857">
        <v>2.81</v>
      </c>
      <c r="Y857" t="s">
        <v>2797</v>
      </c>
      <c r="Z857" t="s">
        <v>245</v>
      </c>
      <c r="AA857" t="s">
        <v>1313</v>
      </c>
      <c r="AB857">
        <v>6.1</v>
      </c>
      <c r="AC857" t="s">
        <v>1214</v>
      </c>
      <c r="AD857">
        <v>14.69</v>
      </c>
      <c r="AE857" t="s">
        <v>1810</v>
      </c>
      <c r="AF857">
        <v>0.74</v>
      </c>
      <c r="AG857">
        <v>0</v>
      </c>
      <c r="AH857">
        <v>0</v>
      </c>
      <c r="AI857" s="4">
        <v>42783</v>
      </c>
    </row>
    <row r="858" spans="1:35">
      <c r="A858">
        <v>857</v>
      </c>
      <c r="B858" t="str">
        <f>"300274"</f>
        <v>300274</v>
      </c>
      <c r="C858" t="s">
        <v>5656</v>
      </c>
      <c r="D858" s="4">
        <v>43190</v>
      </c>
      <c r="E858" t="s">
        <v>263</v>
      </c>
      <c r="F858" t="s">
        <v>295</v>
      </c>
      <c r="G858" t="s">
        <v>5442</v>
      </c>
      <c r="H858">
        <v>0.14000000000000001</v>
      </c>
      <c r="I858">
        <v>4.87</v>
      </c>
      <c r="J858">
        <v>2.81</v>
      </c>
      <c r="K858" t="s">
        <v>646</v>
      </c>
      <c r="L858">
        <v>36.76</v>
      </c>
      <c r="M858" t="s">
        <v>1435</v>
      </c>
      <c r="N858" t="s">
        <v>5657</v>
      </c>
      <c r="O858" t="s">
        <v>509</v>
      </c>
      <c r="P858" t="s">
        <v>975</v>
      </c>
      <c r="Q858">
        <v>57.02</v>
      </c>
      <c r="R858" t="s">
        <v>1687</v>
      </c>
      <c r="S858">
        <v>1.62</v>
      </c>
      <c r="T858">
        <v>30.79</v>
      </c>
      <c r="U858" t="s">
        <v>1894</v>
      </c>
      <c r="V858" t="s">
        <v>1465</v>
      </c>
      <c r="W858" t="s">
        <v>79</v>
      </c>
      <c r="X858">
        <v>2.81</v>
      </c>
      <c r="Y858" t="s">
        <v>5658</v>
      </c>
      <c r="Z858" t="s">
        <v>5286</v>
      </c>
      <c r="AA858" t="s">
        <v>971</v>
      </c>
      <c r="AB858">
        <v>1.74</v>
      </c>
      <c r="AC858" t="s">
        <v>5659</v>
      </c>
      <c r="AD858">
        <v>46.82</v>
      </c>
      <c r="AE858" t="s">
        <v>1380</v>
      </c>
      <c r="AF858">
        <v>2.19</v>
      </c>
      <c r="AG858">
        <v>0</v>
      </c>
      <c r="AH858">
        <v>0</v>
      </c>
      <c r="AI858" s="4">
        <v>40849</v>
      </c>
    </row>
    <row r="859" spans="1:35">
      <c r="A859">
        <v>858</v>
      </c>
      <c r="B859" t="str">
        <f>"002043"</f>
        <v>002043</v>
      </c>
      <c r="C859" t="s">
        <v>5660</v>
      </c>
      <c r="D859" s="4">
        <v>43190</v>
      </c>
      <c r="E859" t="s">
        <v>1341</v>
      </c>
      <c r="F859" t="s">
        <v>500</v>
      </c>
      <c r="G859" t="s">
        <v>2349</v>
      </c>
      <c r="H859">
        <v>0.06</v>
      </c>
      <c r="I859">
        <v>2.14</v>
      </c>
      <c r="J859">
        <v>2.81</v>
      </c>
      <c r="K859" t="s">
        <v>846</v>
      </c>
      <c r="L859">
        <v>-3.3</v>
      </c>
      <c r="M859" t="s">
        <v>5661</v>
      </c>
      <c r="N859" t="s">
        <v>5662</v>
      </c>
      <c r="O859" t="s">
        <v>5663</v>
      </c>
      <c r="P859" t="s">
        <v>3454</v>
      </c>
      <c r="Q859">
        <v>15.35</v>
      </c>
      <c r="R859" t="s">
        <v>792</v>
      </c>
      <c r="S859">
        <v>0.72</v>
      </c>
      <c r="T859">
        <v>19.96</v>
      </c>
      <c r="U859" t="s">
        <v>2100</v>
      </c>
      <c r="V859" t="s">
        <v>1455</v>
      </c>
      <c r="W859" t="s">
        <v>81</v>
      </c>
      <c r="X859">
        <v>2.81</v>
      </c>
      <c r="Y859" t="s">
        <v>619</v>
      </c>
      <c r="Z859" t="s">
        <v>4000</v>
      </c>
      <c r="AA859" t="s">
        <v>5664</v>
      </c>
      <c r="AB859">
        <v>3.87</v>
      </c>
      <c r="AC859" t="s">
        <v>510</v>
      </c>
      <c r="AD859">
        <v>68.930000000000007</v>
      </c>
      <c r="AE859" t="s">
        <v>3368</v>
      </c>
      <c r="AF859">
        <v>0.7</v>
      </c>
      <c r="AG859">
        <v>0</v>
      </c>
      <c r="AH859">
        <v>0</v>
      </c>
      <c r="AI859" s="4">
        <v>38482</v>
      </c>
    </row>
    <row r="860" spans="1:35">
      <c r="A860">
        <v>859</v>
      </c>
      <c r="B860" t="str">
        <f>"000983"</f>
        <v>000983</v>
      </c>
      <c r="C860" t="s">
        <v>5665</v>
      </c>
      <c r="D860" s="4">
        <v>43190</v>
      </c>
      <c r="E860" t="s">
        <v>423</v>
      </c>
      <c r="F860" t="s">
        <v>423</v>
      </c>
      <c r="G860" t="s">
        <v>5666</v>
      </c>
      <c r="H860">
        <v>0.16</v>
      </c>
      <c r="I860">
        <v>5.9</v>
      </c>
      <c r="J860">
        <v>2.81</v>
      </c>
      <c r="K860" t="s">
        <v>3147</v>
      </c>
      <c r="L860">
        <v>5.6</v>
      </c>
      <c r="M860" t="s">
        <v>1274</v>
      </c>
      <c r="N860" t="s">
        <v>5667</v>
      </c>
      <c r="O860" t="s">
        <v>652</v>
      </c>
      <c r="P860" t="s">
        <v>647</v>
      </c>
      <c r="Q860">
        <v>10.42</v>
      </c>
      <c r="R860" t="s">
        <v>315</v>
      </c>
      <c r="S860">
        <v>3.72</v>
      </c>
      <c r="T860">
        <v>31.23</v>
      </c>
      <c r="U860" t="s">
        <v>3351</v>
      </c>
      <c r="V860" t="s">
        <v>2271</v>
      </c>
      <c r="W860" t="s">
        <v>2270</v>
      </c>
      <c r="X860">
        <v>2.81</v>
      </c>
      <c r="Y860" t="s">
        <v>5668</v>
      </c>
      <c r="Z860" t="s">
        <v>2270</v>
      </c>
      <c r="AA860" t="s">
        <v>1524</v>
      </c>
      <c r="AB860">
        <v>1.28</v>
      </c>
      <c r="AC860" t="s">
        <v>4910</v>
      </c>
      <c r="AD860">
        <v>31.56</v>
      </c>
      <c r="AE860" t="s">
        <v>62</v>
      </c>
      <c r="AF860">
        <v>0.3</v>
      </c>
      <c r="AG860">
        <v>0</v>
      </c>
      <c r="AH860">
        <v>0</v>
      </c>
      <c r="AI860" s="4">
        <v>36733</v>
      </c>
    </row>
    <row r="861" spans="1:35">
      <c r="A861">
        <v>860</v>
      </c>
      <c r="B861" t="str">
        <f>"603331"</f>
        <v>603331</v>
      </c>
      <c r="C861" t="s">
        <v>5669</v>
      </c>
      <c r="D861" s="4">
        <v>43190</v>
      </c>
      <c r="E861" t="s">
        <v>2115</v>
      </c>
      <c r="F861" t="s">
        <v>5670</v>
      </c>
      <c r="G861">
        <v>2813</v>
      </c>
      <c r="H861">
        <v>0.15</v>
      </c>
      <c r="I861">
        <v>5.28</v>
      </c>
      <c r="J861">
        <v>2.8</v>
      </c>
      <c r="K861" t="s">
        <v>95</v>
      </c>
      <c r="L861">
        <v>17.23</v>
      </c>
      <c r="M861" t="s">
        <v>5671</v>
      </c>
      <c r="N861" t="s">
        <v>992</v>
      </c>
      <c r="O861" t="s">
        <v>5672</v>
      </c>
      <c r="P861" t="s">
        <v>5673</v>
      </c>
      <c r="Q861">
        <v>-1.06</v>
      </c>
      <c r="R861" t="s">
        <v>2733</v>
      </c>
      <c r="S861">
        <v>1.58</v>
      </c>
      <c r="T861">
        <v>26.2</v>
      </c>
      <c r="U861" t="s">
        <v>407</v>
      </c>
      <c r="V861" t="s">
        <v>1408</v>
      </c>
      <c r="W861" t="s">
        <v>205</v>
      </c>
      <c r="X861">
        <v>2.8</v>
      </c>
      <c r="Y861" t="s">
        <v>1918</v>
      </c>
      <c r="Z861" t="s">
        <v>1594</v>
      </c>
      <c r="AA861" t="s">
        <v>5674</v>
      </c>
      <c r="AB861">
        <v>3.09</v>
      </c>
      <c r="AC861" t="s">
        <v>259</v>
      </c>
      <c r="AD861">
        <v>66.14</v>
      </c>
      <c r="AE861" t="s">
        <v>167</v>
      </c>
      <c r="AF861">
        <v>2.48</v>
      </c>
      <c r="AG861">
        <v>0</v>
      </c>
      <c r="AH861">
        <v>0</v>
      </c>
      <c r="AI861" s="4">
        <v>42921</v>
      </c>
    </row>
    <row r="862" spans="1:35">
      <c r="A862">
        <v>861</v>
      </c>
      <c r="B862" t="str">
        <f>"002617"</f>
        <v>002617</v>
      </c>
      <c r="C862" t="s">
        <v>5675</v>
      </c>
      <c r="D862" s="4">
        <v>43190</v>
      </c>
      <c r="E862" t="s">
        <v>602</v>
      </c>
      <c r="F862" t="s">
        <v>407</v>
      </c>
      <c r="G862" t="s">
        <v>5676</v>
      </c>
      <c r="H862">
        <v>7.0000000000000007E-2</v>
      </c>
      <c r="I862">
        <v>2.38</v>
      </c>
      <c r="J862">
        <v>2.8</v>
      </c>
      <c r="K862" t="s">
        <v>1013</v>
      </c>
      <c r="L862">
        <v>70.12</v>
      </c>
      <c r="M862" t="s">
        <v>5677</v>
      </c>
      <c r="N862" t="s">
        <v>5678</v>
      </c>
      <c r="O862" t="s">
        <v>1726</v>
      </c>
      <c r="P862" t="s">
        <v>5679</v>
      </c>
      <c r="Q862">
        <v>45.58</v>
      </c>
      <c r="R862" t="s">
        <v>1157</v>
      </c>
      <c r="S862">
        <v>0.53</v>
      </c>
      <c r="T862">
        <v>20.239999999999998</v>
      </c>
      <c r="U862" t="s">
        <v>4014</v>
      </c>
      <c r="V862" t="s">
        <v>464</v>
      </c>
      <c r="W862" t="s">
        <v>941</v>
      </c>
      <c r="X862">
        <v>2.8</v>
      </c>
      <c r="Y862" t="s">
        <v>1486</v>
      </c>
      <c r="Z862" t="s">
        <v>1248</v>
      </c>
      <c r="AA862" t="s">
        <v>1048</v>
      </c>
      <c r="AB862">
        <v>3.43</v>
      </c>
      <c r="AC862" t="s">
        <v>1785</v>
      </c>
      <c r="AD862">
        <v>41.27</v>
      </c>
      <c r="AE862" t="s">
        <v>164</v>
      </c>
      <c r="AF862">
        <v>0.81</v>
      </c>
      <c r="AG862">
        <v>0</v>
      </c>
      <c r="AH862">
        <v>0</v>
      </c>
      <c r="AI862" s="4">
        <v>40806</v>
      </c>
    </row>
    <row r="863" spans="1:35">
      <c r="A863">
        <v>862</v>
      </c>
      <c r="B863" t="str">
        <f>"002195"</f>
        <v>002195</v>
      </c>
      <c r="C863" t="s">
        <v>5680</v>
      </c>
      <c r="D863" s="4">
        <v>43190</v>
      </c>
      <c r="E863" t="s">
        <v>817</v>
      </c>
      <c r="F863" t="s">
        <v>1396</v>
      </c>
      <c r="G863" t="s">
        <v>3138</v>
      </c>
      <c r="H863">
        <v>0.06</v>
      </c>
      <c r="I863">
        <v>2.31</v>
      </c>
      <c r="J863">
        <v>2.8</v>
      </c>
      <c r="K863" t="s">
        <v>142</v>
      </c>
      <c r="L863">
        <v>4.4400000000000004</v>
      </c>
      <c r="M863" t="s">
        <v>916</v>
      </c>
      <c r="N863" t="s">
        <v>5681</v>
      </c>
      <c r="O863" t="s">
        <v>916</v>
      </c>
      <c r="P863" t="s">
        <v>912</v>
      </c>
      <c r="Q863">
        <v>3.36</v>
      </c>
      <c r="R863" t="s">
        <v>2291</v>
      </c>
      <c r="S863">
        <v>0.67</v>
      </c>
      <c r="T863">
        <v>87.87</v>
      </c>
      <c r="U863" t="s">
        <v>2900</v>
      </c>
      <c r="V863" t="s">
        <v>2167</v>
      </c>
      <c r="W863" t="s">
        <v>5682</v>
      </c>
      <c r="X863">
        <v>2.8</v>
      </c>
      <c r="Y863" t="s">
        <v>833</v>
      </c>
      <c r="Z863" t="s">
        <v>405</v>
      </c>
      <c r="AA863" t="s">
        <v>1152</v>
      </c>
      <c r="AB863">
        <v>2.19</v>
      </c>
      <c r="AC863" t="s">
        <v>5683</v>
      </c>
      <c r="AD863">
        <v>82.3</v>
      </c>
      <c r="AE863" t="s">
        <v>426</v>
      </c>
      <c r="AF863">
        <v>0.8</v>
      </c>
      <c r="AG863">
        <v>0</v>
      </c>
      <c r="AH863">
        <v>0</v>
      </c>
      <c r="AI863" s="4">
        <v>39428</v>
      </c>
    </row>
    <row r="864" spans="1:35">
      <c r="A864">
        <v>863</v>
      </c>
      <c r="B864" t="str">
        <f>"002088"</f>
        <v>002088</v>
      </c>
      <c r="C864" t="s">
        <v>5684</v>
      </c>
      <c r="D864" s="4">
        <v>43190</v>
      </c>
      <c r="E864" t="s">
        <v>1712</v>
      </c>
      <c r="F864" t="s">
        <v>415</v>
      </c>
      <c r="G864" t="s">
        <v>1448</v>
      </c>
      <c r="H864">
        <v>0.15</v>
      </c>
      <c r="I864">
        <v>4.99</v>
      </c>
      <c r="J864">
        <v>2.8</v>
      </c>
      <c r="K864" t="s">
        <v>325</v>
      </c>
      <c r="L864">
        <v>15.24</v>
      </c>
      <c r="M864" t="s">
        <v>5509</v>
      </c>
      <c r="N864" t="s">
        <v>5685</v>
      </c>
      <c r="O864" t="s">
        <v>5686</v>
      </c>
      <c r="P864" t="s">
        <v>5687</v>
      </c>
      <c r="Q864">
        <v>212.69</v>
      </c>
      <c r="R864" t="s">
        <v>3489</v>
      </c>
      <c r="S864">
        <v>2.34</v>
      </c>
      <c r="T864">
        <v>40.19</v>
      </c>
      <c r="U864" t="s">
        <v>440</v>
      </c>
      <c r="V864" t="s">
        <v>584</v>
      </c>
      <c r="W864" t="s">
        <v>3900</v>
      </c>
      <c r="X864">
        <v>2.8</v>
      </c>
      <c r="Y864" t="s">
        <v>157</v>
      </c>
      <c r="Z864" t="s">
        <v>540</v>
      </c>
      <c r="AA864" t="s">
        <v>5688</v>
      </c>
      <c r="AB864">
        <v>3.02</v>
      </c>
      <c r="AC864" t="s">
        <v>1752</v>
      </c>
      <c r="AD864">
        <v>80.73</v>
      </c>
      <c r="AE864" t="s">
        <v>202</v>
      </c>
      <c r="AF864">
        <v>1.2</v>
      </c>
      <c r="AG864">
        <v>0</v>
      </c>
      <c r="AH864">
        <v>0</v>
      </c>
      <c r="AI864" s="4">
        <v>39051</v>
      </c>
    </row>
    <row r="865" spans="1:35">
      <c r="A865">
        <v>864</v>
      </c>
      <c r="B865" t="str">
        <f>"600917"</f>
        <v>600917</v>
      </c>
      <c r="C865" t="s">
        <v>5689</v>
      </c>
      <c r="D865" s="4">
        <v>43190</v>
      </c>
      <c r="E865" t="s">
        <v>1792</v>
      </c>
      <c r="F865" t="s">
        <v>1792</v>
      </c>
      <c r="G865" t="s">
        <v>5690</v>
      </c>
      <c r="H865">
        <v>7.0000000000000007E-2</v>
      </c>
      <c r="I865">
        <v>2.38</v>
      </c>
      <c r="J865">
        <v>2.79</v>
      </c>
      <c r="K865" t="s">
        <v>1062</v>
      </c>
      <c r="L865">
        <v>14.51</v>
      </c>
      <c r="M865" t="s">
        <v>2115</v>
      </c>
      <c r="N865" t="s">
        <v>5691</v>
      </c>
      <c r="O865" t="s">
        <v>2115</v>
      </c>
      <c r="P865" t="s">
        <v>1459</v>
      </c>
      <c r="Q865">
        <v>12.73</v>
      </c>
      <c r="R865" t="s">
        <v>919</v>
      </c>
      <c r="S865">
        <v>0.54</v>
      </c>
      <c r="T865">
        <v>14.13</v>
      </c>
      <c r="U865" t="s">
        <v>2641</v>
      </c>
      <c r="V865" t="s">
        <v>253</v>
      </c>
      <c r="W865" t="s">
        <v>1380</v>
      </c>
      <c r="X865">
        <v>2.79</v>
      </c>
      <c r="Y865" t="s">
        <v>1312</v>
      </c>
      <c r="Z865" t="s">
        <v>1875</v>
      </c>
      <c r="AA865" t="s">
        <v>418</v>
      </c>
      <c r="AB865">
        <v>2.85</v>
      </c>
      <c r="AC865" t="s">
        <v>3122</v>
      </c>
      <c r="AD865">
        <v>45.91</v>
      </c>
      <c r="AE865" t="s">
        <v>1094</v>
      </c>
      <c r="AF865">
        <v>0.65</v>
      </c>
      <c r="AG865">
        <v>0</v>
      </c>
      <c r="AH865">
        <v>0</v>
      </c>
      <c r="AI865" s="4">
        <v>41912</v>
      </c>
    </row>
    <row r="866" spans="1:35">
      <c r="A866">
        <v>865</v>
      </c>
      <c r="B866" t="str">
        <f>"600705"</f>
        <v>600705</v>
      </c>
      <c r="C866" t="s">
        <v>5692</v>
      </c>
      <c r="D866" s="4">
        <v>43190</v>
      </c>
      <c r="E866" t="s">
        <v>5693</v>
      </c>
      <c r="F866" t="s">
        <v>3167</v>
      </c>
      <c r="G866" t="s">
        <v>5694</v>
      </c>
      <c r="H866">
        <v>0.09</v>
      </c>
      <c r="I866">
        <v>2.69</v>
      </c>
      <c r="J866">
        <v>2.79</v>
      </c>
      <c r="K866" t="s">
        <v>313</v>
      </c>
      <c r="L866">
        <v>40.94</v>
      </c>
      <c r="M866" t="s">
        <v>350</v>
      </c>
      <c r="N866" t="s">
        <v>345</v>
      </c>
      <c r="O866" t="s">
        <v>350</v>
      </c>
      <c r="P866" t="s">
        <v>2621</v>
      </c>
      <c r="Q866">
        <v>49.06</v>
      </c>
      <c r="R866" t="s">
        <v>5695</v>
      </c>
      <c r="S866">
        <v>0.85</v>
      </c>
      <c r="T866">
        <v>43.9</v>
      </c>
      <c r="U866" t="s">
        <v>5696</v>
      </c>
      <c r="V866" t="s">
        <v>5697</v>
      </c>
      <c r="W866" t="s">
        <v>5698</v>
      </c>
      <c r="X866">
        <v>2.79</v>
      </c>
      <c r="Y866" t="s">
        <v>5699</v>
      </c>
      <c r="Z866" t="s">
        <v>5700</v>
      </c>
      <c r="AA866" t="s">
        <v>5701</v>
      </c>
      <c r="AB866">
        <v>1.66</v>
      </c>
      <c r="AC866" t="s">
        <v>3242</v>
      </c>
      <c r="AD866">
        <v>10.59</v>
      </c>
      <c r="AE866" t="s">
        <v>588</v>
      </c>
      <c r="AF866">
        <v>0.44</v>
      </c>
      <c r="AG866">
        <v>0</v>
      </c>
      <c r="AH866">
        <v>0</v>
      </c>
      <c r="AI866" s="4">
        <v>35201</v>
      </c>
    </row>
    <row r="867" spans="1:35">
      <c r="A867">
        <v>866</v>
      </c>
      <c r="B867" t="str">
        <f>"600665"</f>
        <v>600665</v>
      </c>
      <c r="C867" t="s">
        <v>5702</v>
      </c>
      <c r="D867" s="4">
        <v>43190</v>
      </c>
      <c r="E867" t="s">
        <v>5703</v>
      </c>
      <c r="F867" t="s">
        <v>5703</v>
      </c>
      <c r="G867" t="s">
        <v>3761</v>
      </c>
      <c r="H867">
        <v>0.1</v>
      </c>
      <c r="I867">
        <v>3.62</v>
      </c>
      <c r="J867">
        <v>2.79</v>
      </c>
      <c r="K867" t="s">
        <v>1025</v>
      </c>
      <c r="L867">
        <v>36.020000000000003</v>
      </c>
      <c r="M867" t="s">
        <v>256</v>
      </c>
      <c r="N867" t="s">
        <v>3048</v>
      </c>
      <c r="O867" t="s">
        <v>256</v>
      </c>
      <c r="P867" t="s">
        <v>5704</v>
      </c>
      <c r="Q867">
        <v>898.41</v>
      </c>
      <c r="R867" t="s">
        <v>1343</v>
      </c>
      <c r="S867">
        <v>2.02</v>
      </c>
      <c r="T867">
        <v>18.72</v>
      </c>
      <c r="U867" t="s">
        <v>2766</v>
      </c>
      <c r="V867" t="s">
        <v>2617</v>
      </c>
      <c r="W867" t="s">
        <v>993</v>
      </c>
      <c r="X867">
        <v>2.79</v>
      </c>
      <c r="Y867" t="s">
        <v>4910</v>
      </c>
      <c r="Z867" t="s">
        <v>3449</v>
      </c>
      <c r="AA867" t="s">
        <v>797</v>
      </c>
      <c r="AB867">
        <v>0.97</v>
      </c>
      <c r="AC867" t="s">
        <v>1285</v>
      </c>
      <c r="AD867">
        <v>14.4</v>
      </c>
      <c r="AE867" t="s">
        <v>3768</v>
      </c>
      <c r="AF867">
        <v>0.23</v>
      </c>
      <c r="AG867">
        <v>0</v>
      </c>
      <c r="AH867">
        <v>0</v>
      </c>
      <c r="AI867" s="4">
        <v>34159</v>
      </c>
    </row>
    <row r="868" spans="1:35">
      <c r="A868">
        <v>867</v>
      </c>
      <c r="B868" t="str">
        <f>"600293"</f>
        <v>600293</v>
      </c>
      <c r="C868" t="s">
        <v>5705</v>
      </c>
      <c r="D868" s="4">
        <v>43190</v>
      </c>
      <c r="E868" t="s">
        <v>613</v>
      </c>
      <c r="F868" t="s">
        <v>1243</v>
      </c>
      <c r="G868" t="s">
        <v>5706</v>
      </c>
      <c r="H868">
        <v>0.09</v>
      </c>
      <c r="I868">
        <v>3.22</v>
      </c>
      <c r="J868">
        <v>2.79</v>
      </c>
      <c r="K868" t="s">
        <v>946</v>
      </c>
      <c r="L868">
        <v>5.5</v>
      </c>
      <c r="M868" t="s">
        <v>86</v>
      </c>
      <c r="N868">
        <v>0</v>
      </c>
      <c r="O868" t="s">
        <v>1038</v>
      </c>
      <c r="P868" t="s">
        <v>1475</v>
      </c>
      <c r="Q868">
        <v>62.25</v>
      </c>
      <c r="R868" t="s">
        <v>2580</v>
      </c>
      <c r="S868">
        <v>0.41</v>
      </c>
      <c r="T868">
        <v>8.49</v>
      </c>
      <c r="U868" t="s">
        <v>1986</v>
      </c>
      <c r="V868" t="s">
        <v>1031</v>
      </c>
      <c r="W868" t="s">
        <v>192</v>
      </c>
      <c r="X868">
        <v>2.79</v>
      </c>
      <c r="Y868" t="s">
        <v>2093</v>
      </c>
      <c r="Z868" t="s">
        <v>2283</v>
      </c>
      <c r="AA868" t="s">
        <v>1011</v>
      </c>
      <c r="AB868">
        <v>1.76</v>
      </c>
      <c r="AC868" t="s">
        <v>4052</v>
      </c>
      <c r="AD868">
        <v>51.83</v>
      </c>
      <c r="AE868" t="s">
        <v>1843</v>
      </c>
      <c r="AF868">
        <v>1.76</v>
      </c>
      <c r="AG868">
        <v>0</v>
      </c>
      <c r="AH868">
        <v>0</v>
      </c>
      <c r="AI868" s="4">
        <v>36788</v>
      </c>
    </row>
    <row r="869" spans="1:35">
      <c r="A869">
        <v>868</v>
      </c>
      <c r="B869" t="str">
        <f>"002652"</f>
        <v>002652</v>
      </c>
      <c r="C869" t="s">
        <v>5707</v>
      </c>
      <c r="D869" s="4">
        <v>43190</v>
      </c>
      <c r="E869" t="s">
        <v>2255</v>
      </c>
      <c r="F869" t="s">
        <v>1295</v>
      </c>
      <c r="G869" t="s">
        <v>1422</v>
      </c>
      <c r="H869">
        <v>0.04</v>
      </c>
      <c r="I869">
        <v>1.44</v>
      </c>
      <c r="J869">
        <v>2.79</v>
      </c>
      <c r="K869" t="s">
        <v>2392</v>
      </c>
      <c r="L869">
        <v>3.84</v>
      </c>
      <c r="M869" t="s">
        <v>5708</v>
      </c>
      <c r="N869">
        <v>0</v>
      </c>
      <c r="O869" t="s">
        <v>5709</v>
      </c>
      <c r="P869" t="s">
        <v>5710</v>
      </c>
      <c r="Q869">
        <v>-29.73</v>
      </c>
      <c r="R869" t="s">
        <v>862</v>
      </c>
      <c r="S869">
        <v>0.36</v>
      </c>
      <c r="T869">
        <v>17.690000000000001</v>
      </c>
      <c r="U869" t="s">
        <v>1515</v>
      </c>
      <c r="V869" t="s">
        <v>876</v>
      </c>
      <c r="W869" t="s">
        <v>1408</v>
      </c>
      <c r="X869">
        <v>2.79</v>
      </c>
      <c r="Y869" t="s">
        <v>3356</v>
      </c>
      <c r="Z869" t="s">
        <v>76</v>
      </c>
      <c r="AA869" t="s">
        <v>1295</v>
      </c>
      <c r="AB869">
        <v>4.53</v>
      </c>
      <c r="AC869" t="s">
        <v>3741</v>
      </c>
      <c r="AD869">
        <v>24.86</v>
      </c>
      <c r="AE869" t="s">
        <v>5711</v>
      </c>
      <c r="AF869">
        <v>0.02</v>
      </c>
      <c r="AG869">
        <v>0</v>
      </c>
      <c r="AH869">
        <v>0</v>
      </c>
      <c r="AI869" s="4">
        <v>40927</v>
      </c>
    </row>
    <row r="870" spans="1:35">
      <c r="A870">
        <v>869</v>
      </c>
      <c r="B870" t="str">
        <f>"000001"</f>
        <v>000001</v>
      </c>
      <c r="C870" t="s">
        <v>5712</v>
      </c>
      <c r="D870" s="4">
        <v>43190</v>
      </c>
      <c r="E870" t="s">
        <v>2545</v>
      </c>
      <c r="F870" t="s">
        <v>2545</v>
      </c>
      <c r="G870" t="s">
        <v>5713</v>
      </c>
      <c r="H870">
        <v>0.38</v>
      </c>
      <c r="I870">
        <v>11.85</v>
      </c>
      <c r="J870">
        <v>2.79</v>
      </c>
      <c r="K870" t="s">
        <v>5714</v>
      </c>
      <c r="L870">
        <v>1.08</v>
      </c>
      <c r="M870" t="s">
        <v>2354</v>
      </c>
      <c r="N870" t="s">
        <v>104</v>
      </c>
      <c r="O870" t="s">
        <v>2726</v>
      </c>
      <c r="P870" t="s">
        <v>1196</v>
      </c>
      <c r="Q870">
        <v>6.13</v>
      </c>
      <c r="R870" t="s">
        <v>1887</v>
      </c>
      <c r="S870">
        <v>4.6900000000000004</v>
      </c>
      <c r="T870">
        <v>0</v>
      </c>
      <c r="U870" t="s">
        <v>5715</v>
      </c>
      <c r="V870">
        <v>0</v>
      </c>
      <c r="W870" t="s">
        <v>5177</v>
      </c>
      <c r="X870">
        <v>2.79</v>
      </c>
      <c r="Y870" t="s">
        <v>5716</v>
      </c>
      <c r="Z870">
        <v>0</v>
      </c>
      <c r="AA870">
        <v>0</v>
      </c>
      <c r="AB870">
        <v>0.83</v>
      </c>
      <c r="AC870" t="s">
        <v>5717</v>
      </c>
      <c r="AD870">
        <v>6.69</v>
      </c>
      <c r="AE870" t="s">
        <v>5718</v>
      </c>
      <c r="AF870">
        <v>3.29</v>
      </c>
      <c r="AG870">
        <v>0</v>
      </c>
      <c r="AH870">
        <v>0</v>
      </c>
      <c r="AI870" s="4">
        <v>33331</v>
      </c>
    </row>
    <row r="871" spans="1:35">
      <c r="A871">
        <v>870</v>
      </c>
      <c r="B871" t="str">
        <f>"600020"</f>
        <v>600020</v>
      </c>
      <c r="C871" t="s">
        <v>5719</v>
      </c>
      <c r="D871" s="4">
        <v>43190</v>
      </c>
      <c r="E871" t="s">
        <v>565</v>
      </c>
      <c r="F871" t="s">
        <v>565</v>
      </c>
      <c r="G871" t="s">
        <v>5500</v>
      </c>
      <c r="H871">
        <v>0.12</v>
      </c>
      <c r="I871">
        <v>4.53</v>
      </c>
      <c r="J871">
        <v>2.78</v>
      </c>
      <c r="K871" t="s">
        <v>1082</v>
      </c>
      <c r="L871">
        <v>-40.18</v>
      </c>
      <c r="M871" t="s">
        <v>1712</v>
      </c>
      <c r="N871" t="s">
        <v>1119</v>
      </c>
      <c r="O871" t="s">
        <v>1378</v>
      </c>
      <c r="P871" t="s">
        <v>958</v>
      </c>
      <c r="Q871">
        <v>-38.49</v>
      </c>
      <c r="R871" t="s">
        <v>3422</v>
      </c>
      <c r="S871">
        <v>1.98</v>
      </c>
      <c r="T871">
        <v>53.33</v>
      </c>
      <c r="U871" t="s">
        <v>3353</v>
      </c>
      <c r="V871" t="s">
        <v>5720</v>
      </c>
      <c r="W871" t="s">
        <v>1114</v>
      </c>
      <c r="X871">
        <v>2.78</v>
      </c>
      <c r="Y871" t="s">
        <v>5721</v>
      </c>
      <c r="Z871" t="s">
        <v>412</v>
      </c>
      <c r="AA871" t="s">
        <v>4461</v>
      </c>
      <c r="AB871">
        <v>0.82</v>
      </c>
      <c r="AC871" t="s">
        <v>463</v>
      </c>
      <c r="AD871">
        <v>24.74</v>
      </c>
      <c r="AE871" t="s">
        <v>1126</v>
      </c>
      <c r="AF871">
        <v>0.79</v>
      </c>
      <c r="AG871">
        <v>0</v>
      </c>
      <c r="AH871">
        <v>0</v>
      </c>
      <c r="AI871" s="4">
        <v>37841</v>
      </c>
    </row>
    <row r="872" spans="1:35">
      <c r="A872">
        <v>871</v>
      </c>
      <c r="B872" t="str">
        <f>"002745"</f>
        <v>002745</v>
      </c>
      <c r="C872" t="s">
        <v>5722</v>
      </c>
      <c r="D872" s="4">
        <v>43190</v>
      </c>
      <c r="E872" t="s">
        <v>300</v>
      </c>
      <c r="F872" t="s">
        <v>2479</v>
      </c>
      <c r="G872" t="s">
        <v>5706</v>
      </c>
      <c r="H872">
        <v>0.13</v>
      </c>
      <c r="I872">
        <v>6.81</v>
      </c>
      <c r="J872">
        <v>2.78</v>
      </c>
      <c r="K872" t="s">
        <v>418</v>
      </c>
      <c r="L872">
        <v>31.7</v>
      </c>
      <c r="M872" t="s">
        <v>1004</v>
      </c>
      <c r="N872" t="s">
        <v>5723</v>
      </c>
      <c r="O872" t="s">
        <v>66</v>
      </c>
      <c r="P872" t="s">
        <v>1360</v>
      </c>
      <c r="Q872">
        <v>24.94</v>
      </c>
      <c r="R872" t="s">
        <v>119</v>
      </c>
      <c r="S872">
        <v>1.49</v>
      </c>
      <c r="T872">
        <v>13.69</v>
      </c>
      <c r="U872" t="s">
        <v>3952</v>
      </c>
      <c r="V872" t="s">
        <v>900</v>
      </c>
      <c r="W872" t="s">
        <v>4186</v>
      </c>
      <c r="X872">
        <v>2.78</v>
      </c>
      <c r="Y872" t="s">
        <v>1149</v>
      </c>
      <c r="Z872" t="s">
        <v>1745</v>
      </c>
      <c r="AA872" t="s">
        <v>141</v>
      </c>
      <c r="AB872">
        <v>2.2000000000000002</v>
      </c>
      <c r="AC872" t="s">
        <v>5646</v>
      </c>
      <c r="AD872">
        <v>29.64</v>
      </c>
      <c r="AE872" t="s">
        <v>907</v>
      </c>
      <c r="AF872">
        <v>4.1399999999999997</v>
      </c>
      <c r="AG872">
        <v>0</v>
      </c>
      <c r="AH872">
        <v>0</v>
      </c>
      <c r="AI872" s="4">
        <v>42052</v>
      </c>
    </row>
    <row r="873" spans="1:35">
      <c r="A873">
        <v>872</v>
      </c>
      <c r="B873" t="str">
        <f>"002503"</f>
        <v>002503</v>
      </c>
      <c r="C873" t="s">
        <v>5724</v>
      </c>
      <c r="D873" s="4">
        <v>43190</v>
      </c>
      <c r="E873" t="s">
        <v>313</v>
      </c>
      <c r="F873" t="s">
        <v>275</v>
      </c>
      <c r="G873" t="s">
        <v>5725</v>
      </c>
      <c r="H873">
        <v>0.05</v>
      </c>
      <c r="I873">
        <v>1.65</v>
      </c>
      <c r="J873">
        <v>2.78</v>
      </c>
      <c r="K873" t="s">
        <v>572</v>
      </c>
      <c r="L873">
        <v>101.39</v>
      </c>
      <c r="M873" t="s">
        <v>1049</v>
      </c>
      <c r="N873" t="s">
        <v>5726</v>
      </c>
      <c r="O873" t="s">
        <v>726</v>
      </c>
      <c r="P873" t="s">
        <v>505</v>
      </c>
      <c r="Q873">
        <v>11.17</v>
      </c>
      <c r="R873" t="s">
        <v>304</v>
      </c>
      <c r="S873">
        <v>0.35</v>
      </c>
      <c r="T873">
        <v>7.28</v>
      </c>
      <c r="U873" t="s">
        <v>558</v>
      </c>
      <c r="V873" t="s">
        <v>1952</v>
      </c>
      <c r="W873" t="s">
        <v>675</v>
      </c>
      <c r="X873">
        <v>2.78</v>
      </c>
      <c r="Y873" t="s">
        <v>780</v>
      </c>
      <c r="Z873" t="s">
        <v>527</v>
      </c>
      <c r="AA873" t="s">
        <v>2922</v>
      </c>
      <c r="AB873">
        <v>2.1</v>
      </c>
      <c r="AC873" t="s">
        <v>888</v>
      </c>
      <c r="AD873">
        <v>52.11</v>
      </c>
      <c r="AE873" t="s">
        <v>4877</v>
      </c>
      <c r="AF873">
        <v>0.28000000000000003</v>
      </c>
      <c r="AG873">
        <v>0</v>
      </c>
      <c r="AH873">
        <v>0</v>
      </c>
      <c r="AI873" s="4">
        <v>40499</v>
      </c>
    </row>
    <row r="874" spans="1:35">
      <c r="A874">
        <v>873</v>
      </c>
      <c r="B874" t="str">
        <f>"002236"</f>
        <v>002236</v>
      </c>
      <c r="C874" t="s">
        <v>5727</v>
      </c>
      <c r="D874" s="4">
        <v>43190</v>
      </c>
      <c r="E874" t="s">
        <v>589</v>
      </c>
      <c r="F874" t="s">
        <v>820</v>
      </c>
      <c r="G874" t="s">
        <v>2854</v>
      </c>
      <c r="H874">
        <v>0.1</v>
      </c>
      <c r="I874">
        <v>3.51</v>
      </c>
      <c r="J874">
        <v>2.78</v>
      </c>
      <c r="K874" t="s">
        <v>3562</v>
      </c>
      <c r="L874">
        <v>36.590000000000003</v>
      </c>
      <c r="M874" t="s">
        <v>47</v>
      </c>
      <c r="N874" t="s">
        <v>5728</v>
      </c>
      <c r="O874" t="s">
        <v>977</v>
      </c>
      <c r="P874" t="s">
        <v>36</v>
      </c>
      <c r="Q874">
        <v>3.03</v>
      </c>
      <c r="R874" t="s">
        <v>2044</v>
      </c>
      <c r="S874">
        <v>1.97</v>
      </c>
      <c r="T874">
        <v>38.97</v>
      </c>
      <c r="U874" t="s">
        <v>2617</v>
      </c>
      <c r="V874" t="s">
        <v>4411</v>
      </c>
      <c r="W874" t="s">
        <v>405</v>
      </c>
      <c r="X874">
        <v>2.78</v>
      </c>
      <c r="Y874" t="s">
        <v>5729</v>
      </c>
      <c r="Z874" t="s">
        <v>5730</v>
      </c>
      <c r="AA874" t="s">
        <v>2486</v>
      </c>
      <c r="AB874">
        <v>6.15</v>
      </c>
      <c r="AC874" t="s">
        <v>1159</v>
      </c>
      <c r="AD874">
        <v>51.56</v>
      </c>
      <c r="AE874" t="s">
        <v>456</v>
      </c>
      <c r="AF874">
        <v>0.2</v>
      </c>
      <c r="AG874">
        <v>0</v>
      </c>
      <c r="AH874">
        <v>0</v>
      </c>
      <c r="AI874" s="4">
        <v>39588</v>
      </c>
    </row>
    <row r="875" spans="1:35">
      <c r="A875">
        <v>874</v>
      </c>
      <c r="B875" t="str">
        <f>"002057"</f>
        <v>002057</v>
      </c>
      <c r="C875" t="s">
        <v>5731</v>
      </c>
      <c r="D875" s="4">
        <v>43190</v>
      </c>
      <c r="E875" t="s">
        <v>479</v>
      </c>
      <c r="F875" t="s">
        <v>1621</v>
      </c>
      <c r="G875">
        <v>9980</v>
      </c>
      <c r="H875">
        <v>0.09</v>
      </c>
      <c r="I875">
        <v>3.23</v>
      </c>
      <c r="J875">
        <v>2.78</v>
      </c>
      <c r="K875" t="s">
        <v>1810</v>
      </c>
      <c r="L875">
        <v>2.95</v>
      </c>
      <c r="M875" t="s">
        <v>5732</v>
      </c>
      <c r="N875" t="s">
        <v>4467</v>
      </c>
      <c r="O875" t="s">
        <v>5733</v>
      </c>
      <c r="P875" t="s">
        <v>4834</v>
      </c>
      <c r="Q875">
        <v>-8.64</v>
      </c>
      <c r="R875" t="s">
        <v>90</v>
      </c>
      <c r="S875">
        <v>0.74</v>
      </c>
      <c r="T875">
        <v>25.3</v>
      </c>
      <c r="U875" t="s">
        <v>1190</v>
      </c>
      <c r="V875" t="s">
        <v>147</v>
      </c>
      <c r="W875" t="s">
        <v>330</v>
      </c>
      <c r="X875">
        <v>2.78</v>
      </c>
      <c r="Y875" t="s">
        <v>479</v>
      </c>
      <c r="Z875" t="s">
        <v>668</v>
      </c>
      <c r="AA875" t="s">
        <v>93</v>
      </c>
      <c r="AB875">
        <v>2.0099999999999998</v>
      </c>
      <c r="AC875" t="s">
        <v>101</v>
      </c>
      <c r="AD875">
        <v>76.97</v>
      </c>
      <c r="AE875" t="s">
        <v>2110</v>
      </c>
      <c r="AF875">
        <v>1.39</v>
      </c>
      <c r="AG875">
        <v>0</v>
      </c>
      <c r="AH875">
        <v>0</v>
      </c>
      <c r="AI875" s="4">
        <v>38931</v>
      </c>
    </row>
    <row r="876" spans="1:35">
      <c r="A876">
        <v>875</v>
      </c>
      <c r="B876" t="str">
        <f>"603660"</f>
        <v>603660</v>
      </c>
      <c r="C876" t="s">
        <v>5734</v>
      </c>
      <c r="D876" s="4">
        <v>43190</v>
      </c>
      <c r="E876" t="s">
        <v>217</v>
      </c>
      <c r="F876" t="s">
        <v>2069</v>
      </c>
      <c r="G876" t="s">
        <v>2589</v>
      </c>
      <c r="H876">
        <v>0.15</v>
      </c>
      <c r="I876">
        <v>5.6</v>
      </c>
      <c r="J876">
        <v>2.77</v>
      </c>
      <c r="K876" t="s">
        <v>2686</v>
      </c>
      <c r="L876">
        <v>42.72</v>
      </c>
      <c r="M876" t="s">
        <v>5735</v>
      </c>
      <c r="N876" t="s">
        <v>5736</v>
      </c>
      <c r="O876" t="s">
        <v>3523</v>
      </c>
      <c r="P876" t="s">
        <v>5435</v>
      </c>
      <c r="Q876">
        <v>26.23</v>
      </c>
      <c r="R876" t="s">
        <v>2595</v>
      </c>
      <c r="S876">
        <v>3.21</v>
      </c>
      <c r="T876">
        <v>60.46</v>
      </c>
      <c r="U876" t="s">
        <v>1920</v>
      </c>
      <c r="V876" t="s">
        <v>303</v>
      </c>
      <c r="W876" t="s">
        <v>5737</v>
      </c>
      <c r="X876">
        <v>2.77</v>
      </c>
      <c r="Y876" t="s">
        <v>4279</v>
      </c>
      <c r="Z876" t="s">
        <v>2580</v>
      </c>
      <c r="AA876" t="s">
        <v>5738</v>
      </c>
      <c r="AB876">
        <v>5.36</v>
      </c>
      <c r="AC876" t="s">
        <v>161</v>
      </c>
      <c r="AD876">
        <v>70.28</v>
      </c>
      <c r="AE876" t="s">
        <v>735</v>
      </c>
      <c r="AF876">
        <v>1.82</v>
      </c>
      <c r="AG876">
        <v>0</v>
      </c>
      <c r="AH876">
        <v>0</v>
      </c>
      <c r="AI876" s="4">
        <v>42705</v>
      </c>
    </row>
    <row r="877" spans="1:35">
      <c r="A877">
        <v>876</v>
      </c>
      <c r="B877" t="str">
        <f>"603505"</f>
        <v>603505</v>
      </c>
      <c r="C877" t="s">
        <v>5739</v>
      </c>
      <c r="D877" s="4">
        <v>43190</v>
      </c>
      <c r="E877" t="s">
        <v>94</v>
      </c>
      <c r="F877" t="s">
        <v>355</v>
      </c>
      <c r="G877">
        <v>2858</v>
      </c>
      <c r="H877">
        <v>0.09</v>
      </c>
      <c r="I877">
        <v>3.11</v>
      </c>
      <c r="J877">
        <v>2.77</v>
      </c>
      <c r="K877" t="s">
        <v>1726</v>
      </c>
      <c r="L877">
        <v>83.05</v>
      </c>
      <c r="M877" t="s">
        <v>5740</v>
      </c>
      <c r="N877">
        <v>0</v>
      </c>
      <c r="O877" t="s">
        <v>5741</v>
      </c>
      <c r="P877" t="s">
        <v>5742</v>
      </c>
      <c r="Q877">
        <v>207.94</v>
      </c>
      <c r="R877" t="s">
        <v>3441</v>
      </c>
      <c r="S877">
        <v>1.29</v>
      </c>
      <c r="T877">
        <v>51.35</v>
      </c>
      <c r="U877" t="s">
        <v>124</v>
      </c>
      <c r="V877" t="s">
        <v>1511</v>
      </c>
      <c r="W877" t="s">
        <v>1652</v>
      </c>
      <c r="X877">
        <v>2.77</v>
      </c>
      <c r="Y877" t="s">
        <v>2094</v>
      </c>
      <c r="Z877" t="s">
        <v>442</v>
      </c>
      <c r="AA877" t="s">
        <v>5743</v>
      </c>
      <c r="AB877">
        <v>4.66</v>
      </c>
      <c r="AC877" t="s">
        <v>3632</v>
      </c>
      <c r="AD877">
        <v>55.99</v>
      </c>
      <c r="AE877" t="s">
        <v>603</v>
      </c>
      <c r="AF877">
        <v>0.73</v>
      </c>
      <c r="AG877">
        <v>0</v>
      </c>
      <c r="AH877">
        <v>0</v>
      </c>
      <c r="AI877" s="4">
        <v>42858</v>
      </c>
    </row>
    <row r="878" spans="1:35">
      <c r="A878">
        <v>877</v>
      </c>
      <c r="B878" t="str">
        <f>"603278"</f>
        <v>603278</v>
      </c>
      <c r="C878" t="s">
        <v>5744</v>
      </c>
      <c r="D878" s="4">
        <v>43190</v>
      </c>
      <c r="E878" t="s">
        <v>415</v>
      </c>
      <c r="F878" t="s">
        <v>5745</v>
      </c>
      <c r="G878">
        <v>1954</v>
      </c>
      <c r="H878">
        <v>0.18</v>
      </c>
      <c r="I878">
        <v>6.54</v>
      </c>
      <c r="J878">
        <v>2.77</v>
      </c>
      <c r="K878" t="s">
        <v>1731</v>
      </c>
      <c r="L878">
        <v>43.28</v>
      </c>
      <c r="M878" t="s">
        <v>5746</v>
      </c>
      <c r="N878" t="s">
        <v>1482</v>
      </c>
      <c r="O878" t="s">
        <v>2261</v>
      </c>
      <c r="P878" t="s">
        <v>5747</v>
      </c>
      <c r="Q878">
        <v>18.809999999999999</v>
      </c>
      <c r="R878" t="s">
        <v>2112</v>
      </c>
      <c r="S878">
        <v>2.02</v>
      </c>
      <c r="T878">
        <v>15.45</v>
      </c>
      <c r="U878" t="s">
        <v>1881</v>
      </c>
      <c r="V878" t="s">
        <v>3356</v>
      </c>
      <c r="W878" t="s">
        <v>1330</v>
      </c>
      <c r="X878">
        <v>2.77</v>
      </c>
      <c r="Y878" t="s">
        <v>173</v>
      </c>
      <c r="Z878" t="s">
        <v>300</v>
      </c>
      <c r="AA878" t="s">
        <v>2069</v>
      </c>
      <c r="AB878">
        <v>2.4500000000000002</v>
      </c>
      <c r="AC878" t="s">
        <v>538</v>
      </c>
      <c r="AD878">
        <v>49.72</v>
      </c>
      <c r="AE878" t="s">
        <v>453</v>
      </c>
      <c r="AF878">
        <v>3.28</v>
      </c>
      <c r="AG878">
        <v>0</v>
      </c>
      <c r="AH878">
        <v>0</v>
      </c>
      <c r="AI878" s="4">
        <v>43052</v>
      </c>
    </row>
    <row r="879" spans="1:35">
      <c r="A879">
        <v>878</v>
      </c>
      <c r="B879" t="str">
        <f>"600420"</f>
        <v>600420</v>
      </c>
      <c r="C879" t="s">
        <v>5748</v>
      </c>
      <c r="D879" s="4">
        <v>43190</v>
      </c>
      <c r="E879" t="s">
        <v>323</v>
      </c>
      <c r="F879" t="s">
        <v>2450</v>
      </c>
      <c r="G879" t="s">
        <v>1080</v>
      </c>
      <c r="H879">
        <v>0.16</v>
      </c>
      <c r="I879">
        <v>5.67</v>
      </c>
      <c r="J879">
        <v>2.77</v>
      </c>
      <c r="K879" t="s">
        <v>2064</v>
      </c>
      <c r="L879">
        <v>31.36</v>
      </c>
      <c r="M879" t="s">
        <v>2185</v>
      </c>
      <c r="N879" t="s">
        <v>5749</v>
      </c>
      <c r="O879" t="s">
        <v>121</v>
      </c>
      <c r="P879" t="s">
        <v>1855</v>
      </c>
      <c r="Q879">
        <v>8.64</v>
      </c>
      <c r="R879" t="s">
        <v>2280</v>
      </c>
      <c r="S879">
        <v>2.21</v>
      </c>
      <c r="T879">
        <v>48.19</v>
      </c>
      <c r="U879" t="s">
        <v>3129</v>
      </c>
      <c r="V879" t="s">
        <v>3458</v>
      </c>
      <c r="W879" t="s">
        <v>1109</v>
      </c>
      <c r="X879">
        <v>2.77</v>
      </c>
      <c r="Y879" t="s">
        <v>4487</v>
      </c>
      <c r="Z879" t="s">
        <v>1160</v>
      </c>
      <c r="AA879" t="s">
        <v>1920</v>
      </c>
      <c r="AB879">
        <v>1.83</v>
      </c>
      <c r="AC879" t="s">
        <v>5750</v>
      </c>
      <c r="AD879">
        <v>39.729999999999997</v>
      </c>
      <c r="AE879" t="s">
        <v>402</v>
      </c>
      <c r="AF879">
        <v>2.31</v>
      </c>
      <c r="AG879">
        <v>0</v>
      </c>
      <c r="AH879">
        <v>0</v>
      </c>
      <c r="AI879" s="4">
        <v>38154</v>
      </c>
    </row>
    <row r="880" spans="1:35">
      <c r="A880">
        <v>879</v>
      </c>
      <c r="B880" t="str">
        <f>"300373"</f>
        <v>300373</v>
      </c>
      <c r="C880" t="s">
        <v>5751</v>
      </c>
      <c r="D880" s="4">
        <v>43190</v>
      </c>
      <c r="E880" t="s">
        <v>1695</v>
      </c>
      <c r="F880" t="s">
        <v>1245</v>
      </c>
      <c r="G880" t="s">
        <v>135</v>
      </c>
      <c r="H880">
        <v>0.13</v>
      </c>
      <c r="I880">
        <v>4.82</v>
      </c>
      <c r="J880">
        <v>2.77</v>
      </c>
      <c r="K880" t="s">
        <v>2953</v>
      </c>
      <c r="L880">
        <v>31.05</v>
      </c>
      <c r="M880" t="s">
        <v>5752</v>
      </c>
      <c r="N880" t="s">
        <v>5753</v>
      </c>
      <c r="O880" t="s">
        <v>5754</v>
      </c>
      <c r="P880" t="s">
        <v>4062</v>
      </c>
      <c r="Q880">
        <v>16.7</v>
      </c>
      <c r="R880" t="s">
        <v>358</v>
      </c>
      <c r="S880">
        <v>1.59</v>
      </c>
      <c r="T880">
        <v>34.520000000000003</v>
      </c>
      <c r="U880" t="s">
        <v>817</v>
      </c>
      <c r="V880" t="s">
        <v>3356</v>
      </c>
      <c r="W880" t="s">
        <v>1405</v>
      </c>
      <c r="X880">
        <v>2.77</v>
      </c>
      <c r="Y880" t="s">
        <v>407</v>
      </c>
      <c r="Z880" t="s">
        <v>1094</v>
      </c>
      <c r="AA880" t="s">
        <v>1798</v>
      </c>
      <c r="AB880">
        <v>5.39</v>
      </c>
      <c r="AC880" t="s">
        <v>1039</v>
      </c>
      <c r="AD880">
        <v>68.400000000000006</v>
      </c>
      <c r="AE880" t="s">
        <v>1094</v>
      </c>
      <c r="AF880">
        <v>2.14</v>
      </c>
      <c r="AG880">
        <v>0</v>
      </c>
      <c r="AH880">
        <v>0</v>
      </c>
      <c r="AI880" s="4">
        <v>41662</v>
      </c>
    </row>
    <row r="881" spans="1:35">
      <c r="A881">
        <v>880</v>
      </c>
      <c r="B881" t="str">
        <f>"002820"</f>
        <v>002820</v>
      </c>
      <c r="C881" t="s">
        <v>5755</v>
      </c>
      <c r="D881" s="4">
        <v>43190</v>
      </c>
      <c r="E881" t="s">
        <v>844</v>
      </c>
      <c r="F881" t="s">
        <v>1525</v>
      </c>
      <c r="G881">
        <v>4166</v>
      </c>
      <c r="H881">
        <v>0.14000000000000001</v>
      </c>
      <c r="I881">
        <v>5.03</v>
      </c>
      <c r="J881">
        <v>2.77</v>
      </c>
      <c r="K881" t="s">
        <v>863</v>
      </c>
      <c r="L881">
        <v>2.66</v>
      </c>
      <c r="M881" t="s">
        <v>5756</v>
      </c>
      <c r="N881" t="s">
        <v>5757</v>
      </c>
      <c r="O881" t="s">
        <v>5758</v>
      </c>
      <c r="P881" t="s">
        <v>5759</v>
      </c>
      <c r="Q881">
        <v>-6.06</v>
      </c>
      <c r="R881" t="s">
        <v>1967</v>
      </c>
      <c r="S881">
        <v>1.44</v>
      </c>
      <c r="T881">
        <v>47.5</v>
      </c>
      <c r="U881" t="s">
        <v>147</v>
      </c>
      <c r="V881" t="s">
        <v>1664</v>
      </c>
      <c r="W881" t="s">
        <v>1203</v>
      </c>
      <c r="X881">
        <v>2.77</v>
      </c>
      <c r="Y881" t="s">
        <v>5760</v>
      </c>
      <c r="Z881" t="s">
        <v>5761</v>
      </c>
      <c r="AA881" t="s">
        <v>5762</v>
      </c>
      <c r="AB881">
        <v>2.82</v>
      </c>
      <c r="AC881" t="s">
        <v>295</v>
      </c>
      <c r="AD881">
        <v>95.68</v>
      </c>
      <c r="AE881" t="s">
        <v>1088</v>
      </c>
      <c r="AF881">
        <v>2.37</v>
      </c>
      <c r="AG881">
        <v>0</v>
      </c>
      <c r="AH881">
        <v>0</v>
      </c>
      <c r="AI881" s="4">
        <v>42692</v>
      </c>
    </row>
    <row r="882" spans="1:35">
      <c r="A882">
        <v>881</v>
      </c>
      <c r="B882" t="str">
        <f>"002442"</f>
        <v>002442</v>
      </c>
      <c r="C882" t="s">
        <v>5763</v>
      </c>
      <c r="D882" s="4">
        <v>43190</v>
      </c>
      <c r="E882" t="s">
        <v>988</v>
      </c>
      <c r="F882" t="s">
        <v>2665</v>
      </c>
      <c r="G882" t="s">
        <v>5764</v>
      </c>
      <c r="H882">
        <v>7.0000000000000007E-2</v>
      </c>
      <c r="I882">
        <v>2.4300000000000002</v>
      </c>
      <c r="J882">
        <v>2.77</v>
      </c>
      <c r="K882" t="s">
        <v>3293</v>
      </c>
      <c r="L882">
        <v>25.47</v>
      </c>
      <c r="M882" t="s">
        <v>2905</v>
      </c>
      <c r="N882">
        <v>0</v>
      </c>
      <c r="O882" t="s">
        <v>5765</v>
      </c>
      <c r="P882" t="s">
        <v>4465</v>
      </c>
      <c r="Q882">
        <v>83.72</v>
      </c>
      <c r="R882" t="s">
        <v>676</v>
      </c>
      <c r="S882">
        <v>0.5</v>
      </c>
      <c r="T882">
        <v>19.39</v>
      </c>
      <c r="U882" t="s">
        <v>426</v>
      </c>
      <c r="V882" t="s">
        <v>263</v>
      </c>
      <c r="W882" t="s">
        <v>1223</v>
      </c>
      <c r="X882">
        <v>2.77</v>
      </c>
      <c r="Y882" t="s">
        <v>1792</v>
      </c>
      <c r="Z882" t="s">
        <v>833</v>
      </c>
      <c r="AA882" t="s">
        <v>5766</v>
      </c>
      <c r="AB882">
        <v>4.32</v>
      </c>
      <c r="AC882" t="s">
        <v>192</v>
      </c>
      <c r="AD882">
        <v>42.7</v>
      </c>
      <c r="AE882" t="s">
        <v>349</v>
      </c>
      <c r="AF882">
        <v>0.86</v>
      </c>
      <c r="AG882">
        <v>0</v>
      </c>
      <c r="AH882">
        <v>0</v>
      </c>
      <c r="AI882" s="4">
        <v>40365</v>
      </c>
    </row>
    <row r="883" spans="1:35">
      <c r="A883">
        <v>882</v>
      </c>
      <c r="B883" t="str">
        <f>"000930"</f>
        <v>000930</v>
      </c>
      <c r="C883" t="s">
        <v>5767</v>
      </c>
      <c r="D883" s="4">
        <v>43190</v>
      </c>
      <c r="E883" t="s">
        <v>1976</v>
      </c>
      <c r="F883" t="s">
        <v>1976</v>
      </c>
      <c r="G883">
        <v>6029</v>
      </c>
      <c r="H883">
        <v>0.05</v>
      </c>
      <c r="I883">
        <v>1.93</v>
      </c>
      <c r="J883">
        <v>2.77</v>
      </c>
      <c r="K883" t="s">
        <v>183</v>
      </c>
      <c r="L883">
        <v>23.94</v>
      </c>
      <c r="M883" t="s">
        <v>5768</v>
      </c>
      <c r="N883">
        <v>0</v>
      </c>
      <c r="O883" t="s">
        <v>1991</v>
      </c>
      <c r="P883" t="s">
        <v>3256</v>
      </c>
      <c r="Q883">
        <v>-30.97</v>
      </c>
      <c r="R883" t="s">
        <v>5769</v>
      </c>
      <c r="S883">
        <v>-0.24</v>
      </c>
      <c r="T883">
        <v>14.2</v>
      </c>
      <c r="U883" t="s">
        <v>4158</v>
      </c>
      <c r="V883" t="s">
        <v>2568</v>
      </c>
      <c r="W883" t="s">
        <v>449</v>
      </c>
      <c r="X883">
        <v>2.77</v>
      </c>
      <c r="Y883" t="s">
        <v>737</v>
      </c>
      <c r="Z883" t="s">
        <v>4697</v>
      </c>
      <c r="AA883" t="s">
        <v>297</v>
      </c>
      <c r="AB883">
        <v>5.91</v>
      </c>
      <c r="AC883" t="s">
        <v>891</v>
      </c>
      <c r="AD883">
        <v>29.78</v>
      </c>
      <c r="AE883" t="s">
        <v>1769</v>
      </c>
      <c r="AF883">
        <v>0.94</v>
      </c>
      <c r="AG883">
        <v>0</v>
      </c>
      <c r="AH883">
        <v>0</v>
      </c>
      <c r="AI883" s="4">
        <v>36353</v>
      </c>
    </row>
    <row r="884" spans="1:35">
      <c r="A884">
        <v>883</v>
      </c>
      <c r="B884" t="str">
        <f>"601985"</f>
        <v>601985</v>
      </c>
      <c r="C884" t="s">
        <v>5770</v>
      </c>
      <c r="D884" s="4">
        <v>43190</v>
      </c>
      <c r="E884" t="s">
        <v>1885</v>
      </c>
      <c r="F884" t="s">
        <v>1885</v>
      </c>
      <c r="G884">
        <v>8542</v>
      </c>
      <c r="H884">
        <v>0.08</v>
      </c>
      <c r="I884">
        <v>2.86</v>
      </c>
      <c r="J884">
        <v>2.76</v>
      </c>
      <c r="K884" t="s">
        <v>4188</v>
      </c>
      <c r="L884">
        <v>3.23</v>
      </c>
      <c r="M884" t="s">
        <v>1785</v>
      </c>
      <c r="N884" t="s">
        <v>5771</v>
      </c>
      <c r="O884" t="s">
        <v>2515</v>
      </c>
      <c r="P884" t="s">
        <v>982</v>
      </c>
      <c r="Q884">
        <v>-0.63</v>
      </c>
      <c r="R884" t="s">
        <v>1279</v>
      </c>
      <c r="S884">
        <v>0.89</v>
      </c>
      <c r="T884">
        <v>44.86</v>
      </c>
      <c r="U884" t="s">
        <v>2313</v>
      </c>
      <c r="V884" t="s">
        <v>2865</v>
      </c>
      <c r="W884" t="s">
        <v>4901</v>
      </c>
      <c r="X884">
        <v>2.76</v>
      </c>
      <c r="Y884" t="s">
        <v>5772</v>
      </c>
      <c r="Z884" t="s">
        <v>5773</v>
      </c>
      <c r="AA884" t="s">
        <v>5774</v>
      </c>
      <c r="AB884">
        <v>1.99</v>
      </c>
      <c r="AC884" t="s">
        <v>5775</v>
      </c>
      <c r="AD884">
        <v>14.32</v>
      </c>
      <c r="AE884" t="s">
        <v>932</v>
      </c>
      <c r="AF884">
        <v>0.81</v>
      </c>
      <c r="AG884">
        <v>0</v>
      </c>
      <c r="AH884">
        <v>0</v>
      </c>
      <c r="AI884" s="4">
        <v>42165</v>
      </c>
    </row>
    <row r="885" spans="1:35">
      <c r="A885">
        <v>884</v>
      </c>
      <c r="B885" t="str">
        <f>"601579"</f>
        <v>601579</v>
      </c>
      <c r="C885" t="s">
        <v>5776</v>
      </c>
      <c r="D885" s="4">
        <v>43190</v>
      </c>
      <c r="E885" t="s">
        <v>3374</v>
      </c>
      <c r="F885" t="s">
        <v>150</v>
      </c>
      <c r="G885" t="s">
        <v>1777</v>
      </c>
      <c r="H885">
        <v>0.17</v>
      </c>
      <c r="I885">
        <v>6.15</v>
      </c>
      <c r="J885">
        <v>2.76</v>
      </c>
      <c r="K885" t="s">
        <v>1934</v>
      </c>
      <c r="L885">
        <v>3.7</v>
      </c>
      <c r="M885" t="s">
        <v>280</v>
      </c>
      <c r="N885" t="s">
        <v>5777</v>
      </c>
      <c r="O885" t="s">
        <v>280</v>
      </c>
      <c r="P885" t="s">
        <v>5778</v>
      </c>
      <c r="Q885">
        <v>4.33</v>
      </c>
      <c r="R885" t="s">
        <v>805</v>
      </c>
      <c r="S885">
        <v>1.46</v>
      </c>
      <c r="T885">
        <v>50.42</v>
      </c>
      <c r="U885" t="s">
        <v>1031</v>
      </c>
      <c r="V885" t="s">
        <v>389</v>
      </c>
      <c r="W885" t="s">
        <v>3712</v>
      </c>
      <c r="X885">
        <v>2.76</v>
      </c>
      <c r="Y885" t="s">
        <v>3643</v>
      </c>
      <c r="Z885" t="s">
        <v>2001</v>
      </c>
      <c r="AA885" t="s">
        <v>845</v>
      </c>
      <c r="AB885">
        <v>1.63</v>
      </c>
      <c r="AC885" t="s">
        <v>2064</v>
      </c>
      <c r="AD885">
        <v>77.98</v>
      </c>
      <c r="AE885" t="s">
        <v>79</v>
      </c>
      <c r="AF885">
        <v>3.48</v>
      </c>
      <c r="AG885">
        <v>0</v>
      </c>
      <c r="AH885">
        <v>0</v>
      </c>
      <c r="AI885" s="4">
        <v>41876</v>
      </c>
    </row>
    <row r="886" spans="1:35">
      <c r="A886">
        <v>885</v>
      </c>
      <c r="B886" t="str">
        <f>"601139"</f>
        <v>601139</v>
      </c>
      <c r="C886" t="s">
        <v>5779</v>
      </c>
      <c r="D886" s="4">
        <v>43190</v>
      </c>
      <c r="E886" t="s">
        <v>1390</v>
      </c>
      <c r="F886" t="s">
        <v>789</v>
      </c>
      <c r="G886" t="s">
        <v>5780</v>
      </c>
      <c r="H886">
        <v>0.11</v>
      </c>
      <c r="I886">
        <v>3.91</v>
      </c>
      <c r="J886">
        <v>2.76</v>
      </c>
      <c r="K886" t="s">
        <v>946</v>
      </c>
      <c r="L886">
        <v>25.51</v>
      </c>
      <c r="M886" t="s">
        <v>2041</v>
      </c>
      <c r="N886" t="s">
        <v>5781</v>
      </c>
      <c r="O886" t="s">
        <v>1594</v>
      </c>
      <c r="P886" t="s">
        <v>2142</v>
      </c>
      <c r="Q886">
        <v>11.04</v>
      </c>
      <c r="R886" t="s">
        <v>817</v>
      </c>
      <c r="S886">
        <v>1.54</v>
      </c>
      <c r="T886">
        <v>20.07</v>
      </c>
      <c r="U886" t="s">
        <v>5782</v>
      </c>
      <c r="V886" t="s">
        <v>2105</v>
      </c>
      <c r="W886" t="s">
        <v>1821</v>
      </c>
      <c r="X886">
        <v>2.76</v>
      </c>
      <c r="Y886" t="s">
        <v>4718</v>
      </c>
      <c r="Z886" t="s">
        <v>1023</v>
      </c>
      <c r="AA886" t="s">
        <v>1126</v>
      </c>
      <c r="AB886">
        <v>1.82</v>
      </c>
      <c r="AC886" t="s">
        <v>3680</v>
      </c>
      <c r="AD886">
        <v>46.84</v>
      </c>
      <c r="AE886" t="s">
        <v>260</v>
      </c>
      <c r="AF886">
        <v>1.2</v>
      </c>
      <c r="AG886">
        <v>0</v>
      </c>
      <c r="AH886">
        <v>0</v>
      </c>
      <c r="AI886" s="4">
        <v>40172</v>
      </c>
    </row>
    <row r="887" spans="1:35">
      <c r="A887">
        <v>886</v>
      </c>
      <c r="B887" t="str">
        <f>"600622"</f>
        <v>600622</v>
      </c>
      <c r="C887" t="s">
        <v>5783</v>
      </c>
      <c r="D887" s="4">
        <v>43190</v>
      </c>
      <c r="E887" t="s">
        <v>973</v>
      </c>
      <c r="F887" t="s">
        <v>125</v>
      </c>
      <c r="G887" t="s">
        <v>5784</v>
      </c>
      <c r="H887">
        <v>0.13</v>
      </c>
      <c r="I887">
        <v>4.68</v>
      </c>
      <c r="J887">
        <v>2.76</v>
      </c>
      <c r="K887" t="s">
        <v>982</v>
      </c>
      <c r="L887">
        <v>94.66</v>
      </c>
      <c r="M887" t="s">
        <v>499</v>
      </c>
      <c r="N887" t="s">
        <v>5785</v>
      </c>
      <c r="O887" t="s">
        <v>1578</v>
      </c>
      <c r="P887" t="s">
        <v>1936</v>
      </c>
      <c r="Q887">
        <v>6.63</v>
      </c>
      <c r="R887" t="s">
        <v>316</v>
      </c>
      <c r="S887">
        <v>1.83</v>
      </c>
      <c r="T887">
        <v>56.74</v>
      </c>
      <c r="U887" t="s">
        <v>761</v>
      </c>
      <c r="V887" t="s">
        <v>246</v>
      </c>
      <c r="W887" t="s">
        <v>292</v>
      </c>
      <c r="X887">
        <v>2.76</v>
      </c>
      <c r="Y887" t="s">
        <v>580</v>
      </c>
      <c r="Z887" t="s">
        <v>5786</v>
      </c>
      <c r="AA887" t="s">
        <v>5126</v>
      </c>
      <c r="AB887">
        <v>1.65</v>
      </c>
      <c r="AC887" t="s">
        <v>1110</v>
      </c>
      <c r="AD887">
        <v>28.55</v>
      </c>
      <c r="AE887" t="s">
        <v>712</v>
      </c>
      <c r="AF887">
        <v>1.53</v>
      </c>
      <c r="AG887">
        <v>0</v>
      </c>
      <c r="AH887">
        <v>0</v>
      </c>
      <c r="AI887" s="4">
        <v>33941</v>
      </c>
    </row>
    <row r="888" spans="1:35">
      <c r="A888">
        <v>887</v>
      </c>
      <c r="B888" t="str">
        <f>"002852"</f>
        <v>002852</v>
      </c>
      <c r="C888" t="s">
        <v>5787</v>
      </c>
      <c r="D888" s="4">
        <v>43190</v>
      </c>
      <c r="E888" t="s">
        <v>486</v>
      </c>
      <c r="F888" t="s">
        <v>2603</v>
      </c>
      <c r="G888">
        <v>3138</v>
      </c>
      <c r="H888">
        <v>0.19</v>
      </c>
      <c r="I888">
        <v>6.69</v>
      </c>
      <c r="J888">
        <v>2.76</v>
      </c>
      <c r="K888" t="s">
        <v>1047</v>
      </c>
      <c r="L888">
        <v>27.95</v>
      </c>
      <c r="M888" t="s">
        <v>5788</v>
      </c>
      <c r="N888" t="s">
        <v>170</v>
      </c>
      <c r="O888" t="s">
        <v>5789</v>
      </c>
      <c r="P888" t="s">
        <v>5790</v>
      </c>
      <c r="Q888">
        <v>4.91</v>
      </c>
      <c r="R888" t="s">
        <v>3900</v>
      </c>
      <c r="S888">
        <v>2.0099999999999998</v>
      </c>
      <c r="T888">
        <v>14.02</v>
      </c>
      <c r="U888" t="s">
        <v>2273</v>
      </c>
      <c r="V888" t="s">
        <v>1052</v>
      </c>
      <c r="W888" t="s">
        <v>1168</v>
      </c>
      <c r="X888">
        <v>2.76</v>
      </c>
      <c r="Y888" t="s">
        <v>2953</v>
      </c>
      <c r="Z888" t="s">
        <v>2551</v>
      </c>
      <c r="AA888" t="s">
        <v>5791</v>
      </c>
      <c r="AB888">
        <v>2.27</v>
      </c>
      <c r="AC888" t="s">
        <v>1284</v>
      </c>
      <c r="AD888">
        <v>83.28</v>
      </c>
      <c r="AE888" t="s">
        <v>973</v>
      </c>
      <c r="AF888">
        <v>3.55</v>
      </c>
      <c r="AG888">
        <v>0</v>
      </c>
      <c r="AH888">
        <v>0</v>
      </c>
      <c r="AI888" s="4">
        <v>42804</v>
      </c>
    </row>
    <row r="889" spans="1:35">
      <c r="A889">
        <v>888</v>
      </c>
      <c r="B889" t="str">
        <f>"002595"</f>
        <v>002595</v>
      </c>
      <c r="C889" t="s">
        <v>5792</v>
      </c>
      <c r="D889" s="4">
        <v>43190</v>
      </c>
      <c r="E889" t="s">
        <v>539</v>
      </c>
      <c r="F889" t="s">
        <v>944</v>
      </c>
      <c r="G889" t="s">
        <v>2775</v>
      </c>
      <c r="H889">
        <v>0.14000000000000001</v>
      </c>
      <c r="I889">
        <v>5.01</v>
      </c>
      <c r="J889">
        <v>2.76</v>
      </c>
      <c r="K889" t="s">
        <v>2010</v>
      </c>
      <c r="L889">
        <v>11.18</v>
      </c>
      <c r="M889" t="s">
        <v>2360</v>
      </c>
      <c r="N889" t="s">
        <v>5793</v>
      </c>
      <c r="O889" t="s">
        <v>2603</v>
      </c>
      <c r="P889" t="s">
        <v>600</v>
      </c>
      <c r="Q889">
        <v>-30.15</v>
      </c>
      <c r="R889" t="s">
        <v>242</v>
      </c>
      <c r="S889">
        <v>2.93</v>
      </c>
      <c r="T889">
        <v>30.65</v>
      </c>
      <c r="U889" t="s">
        <v>5794</v>
      </c>
      <c r="V889" t="s">
        <v>1386</v>
      </c>
      <c r="W889" t="s">
        <v>1082</v>
      </c>
      <c r="X889">
        <v>2.76</v>
      </c>
      <c r="Y889" t="s">
        <v>2192</v>
      </c>
      <c r="Z889" t="s">
        <v>1938</v>
      </c>
      <c r="AA889" t="s">
        <v>4270</v>
      </c>
      <c r="AB889">
        <v>3.08</v>
      </c>
      <c r="AC889" t="s">
        <v>1742</v>
      </c>
      <c r="AD889">
        <v>83.37</v>
      </c>
      <c r="AE889" t="s">
        <v>169</v>
      </c>
      <c r="AF889">
        <v>0.63</v>
      </c>
      <c r="AG889">
        <v>0</v>
      </c>
      <c r="AH889">
        <v>0</v>
      </c>
      <c r="AI889" s="4">
        <v>40722</v>
      </c>
    </row>
    <row r="890" spans="1:35">
      <c r="A890">
        <v>889</v>
      </c>
      <c r="B890" t="str">
        <f>"000883"</f>
        <v>000883</v>
      </c>
      <c r="C890" t="s">
        <v>5795</v>
      </c>
      <c r="D890" s="4">
        <v>43190</v>
      </c>
      <c r="E890" t="s">
        <v>3302</v>
      </c>
      <c r="F890" t="s">
        <v>4286</v>
      </c>
      <c r="G890" t="s">
        <v>5796</v>
      </c>
      <c r="H890">
        <v>0.11</v>
      </c>
      <c r="I890">
        <v>4</v>
      </c>
      <c r="J890">
        <v>2.76</v>
      </c>
      <c r="K890" t="s">
        <v>1350</v>
      </c>
      <c r="L890">
        <v>12.88</v>
      </c>
      <c r="M890" t="s">
        <v>1215</v>
      </c>
      <c r="N890" t="s">
        <v>707</v>
      </c>
      <c r="O890" t="s">
        <v>1998</v>
      </c>
      <c r="P890" t="s">
        <v>2569</v>
      </c>
      <c r="Q890">
        <v>61.74</v>
      </c>
      <c r="R890" t="s">
        <v>874</v>
      </c>
      <c r="S890">
        <v>1.22</v>
      </c>
      <c r="T890">
        <v>23.9</v>
      </c>
      <c r="U890" t="s">
        <v>5797</v>
      </c>
      <c r="V890" t="s">
        <v>3125</v>
      </c>
      <c r="W890" t="s">
        <v>1928</v>
      </c>
      <c r="X890">
        <v>2.76</v>
      </c>
      <c r="Y890" t="s">
        <v>1550</v>
      </c>
      <c r="Z890" t="s">
        <v>1745</v>
      </c>
      <c r="AA890" t="s">
        <v>742</v>
      </c>
      <c r="AB890">
        <v>1.01</v>
      </c>
      <c r="AC890" t="s">
        <v>2896</v>
      </c>
      <c r="AD890">
        <v>55.62</v>
      </c>
      <c r="AE890" t="s">
        <v>1159</v>
      </c>
      <c r="AF890">
        <v>1.67</v>
      </c>
      <c r="AG890">
        <v>0</v>
      </c>
      <c r="AH890">
        <v>0</v>
      </c>
      <c r="AI890" s="4">
        <v>35934</v>
      </c>
    </row>
    <row r="891" spans="1:35">
      <c r="A891">
        <v>890</v>
      </c>
      <c r="B891" t="str">
        <f>"603989"</f>
        <v>603989</v>
      </c>
      <c r="C891" t="s">
        <v>5798</v>
      </c>
      <c r="D891" s="4">
        <v>43190</v>
      </c>
      <c r="E891" t="s">
        <v>120</v>
      </c>
      <c r="F891" t="s">
        <v>120</v>
      </c>
      <c r="G891">
        <v>7124</v>
      </c>
      <c r="H891">
        <v>0.17</v>
      </c>
      <c r="I891">
        <v>6.84</v>
      </c>
      <c r="J891">
        <v>2.75</v>
      </c>
      <c r="K891" t="s">
        <v>1317</v>
      </c>
      <c r="L891">
        <v>13.4</v>
      </c>
      <c r="M891" t="s">
        <v>5799</v>
      </c>
      <c r="N891" t="s">
        <v>5800</v>
      </c>
      <c r="O891" t="s">
        <v>5801</v>
      </c>
      <c r="P891" t="s">
        <v>5802</v>
      </c>
      <c r="Q891">
        <v>-33.020000000000003</v>
      </c>
      <c r="R891" t="s">
        <v>769</v>
      </c>
      <c r="S891">
        <v>1.76</v>
      </c>
      <c r="T891">
        <v>29.49</v>
      </c>
      <c r="U891" t="s">
        <v>423</v>
      </c>
      <c r="V891" t="s">
        <v>242</v>
      </c>
      <c r="W891" t="s">
        <v>1671</v>
      </c>
      <c r="X891">
        <v>2.75</v>
      </c>
      <c r="Y891" t="s">
        <v>521</v>
      </c>
      <c r="Z891" t="s">
        <v>2178</v>
      </c>
      <c r="AA891" t="s">
        <v>1382</v>
      </c>
      <c r="AB891">
        <v>4.32</v>
      </c>
      <c r="AC891" t="s">
        <v>1920</v>
      </c>
      <c r="AD891">
        <v>65.22</v>
      </c>
      <c r="AE891" t="s">
        <v>1223</v>
      </c>
      <c r="AF891">
        <v>3.65</v>
      </c>
      <c r="AG891">
        <v>0</v>
      </c>
      <c r="AH891">
        <v>0</v>
      </c>
      <c r="AI891" s="4">
        <v>42139</v>
      </c>
    </row>
    <row r="892" spans="1:35">
      <c r="A892">
        <v>891</v>
      </c>
      <c r="B892" t="str">
        <f>"603006"</f>
        <v>603006</v>
      </c>
      <c r="C892" t="s">
        <v>5803</v>
      </c>
      <c r="D892" s="4">
        <v>43190</v>
      </c>
      <c r="E892" t="s">
        <v>255</v>
      </c>
      <c r="F892" t="s">
        <v>5804</v>
      </c>
      <c r="G892">
        <v>5140</v>
      </c>
      <c r="H892">
        <v>0.13</v>
      </c>
      <c r="I892">
        <v>4.95</v>
      </c>
      <c r="J892">
        <v>2.75</v>
      </c>
      <c r="K892" t="s">
        <v>3674</v>
      </c>
      <c r="L892">
        <v>2.33</v>
      </c>
      <c r="M892" t="s">
        <v>5805</v>
      </c>
      <c r="N892" t="s">
        <v>5806</v>
      </c>
      <c r="O892" t="s">
        <v>5807</v>
      </c>
      <c r="P892" t="s">
        <v>5808</v>
      </c>
      <c r="Q892">
        <v>-8.68</v>
      </c>
      <c r="R892" t="s">
        <v>3420</v>
      </c>
      <c r="S892">
        <v>2.95</v>
      </c>
      <c r="T892">
        <v>22.58</v>
      </c>
      <c r="U892" t="s">
        <v>1052</v>
      </c>
      <c r="V892" t="s">
        <v>1649</v>
      </c>
      <c r="W892" t="s">
        <v>289</v>
      </c>
      <c r="X892">
        <v>2.75</v>
      </c>
      <c r="Y892" t="s">
        <v>943</v>
      </c>
      <c r="Z892" t="s">
        <v>1596</v>
      </c>
      <c r="AA892" t="s">
        <v>5809</v>
      </c>
      <c r="AB892">
        <v>2.2400000000000002</v>
      </c>
      <c r="AC892" t="s">
        <v>88</v>
      </c>
      <c r="AD892">
        <v>57.63</v>
      </c>
      <c r="AE892" t="s">
        <v>290</v>
      </c>
      <c r="AF892">
        <v>0.87</v>
      </c>
      <c r="AG892">
        <v>0</v>
      </c>
      <c r="AH892">
        <v>0</v>
      </c>
      <c r="AI892" s="4">
        <v>41820</v>
      </c>
    </row>
    <row r="893" spans="1:35">
      <c r="A893">
        <v>892</v>
      </c>
      <c r="B893" t="str">
        <f>"600815"</f>
        <v>600815</v>
      </c>
      <c r="C893" t="s">
        <v>5810</v>
      </c>
      <c r="D893" s="4">
        <v>43190</v>
      </c>
      <c r="E893" t="s">
        <v>4861</v>
      </c>
      <c r="F893" t="s">
        <v>4861</v>
      </c>
      <c r="G893" t="s">
        <v>5811</v>
      </c>
      <c r="H893">
        <v>0.02</v>
      </c>
      <c r="I893">
        <v>0.59</v>
      </c>
      <c r="J893">
        <v>2.75</v>
      </c>
      <c r="K893" t="s">
        <v>2959</v>
      </c>
      <c r="L893">
        <v>-4.6399999999999997</v>
      </c>
      <c r="M893" t="s">
        <v>5812</v>
      </c>
      <c r="N893" t="s">
        <v>1299</v>
      </c>
      <c r="O893" t="s">
        <v>1764</v>
      </c>
      <c r="P893" t="s">
        <v>5813</v>
      </c>
      <c r="Q893">
        <v>-24.86</v>
      </c>
      <c r="R893" t="s">
        <v>5814</v>
      </c>
      <c r="S893">
        <v>-2.84</v>
      </c>
      <c r="T893">
        <v>15.96</v>
      </c>
      <c r="U893" t="s">
        <v>4014</v>
      </c>
      <c r="V893" t="s">
        <v>740</v>
      </c>
      <c r="W893" t="s">
        <v>43</v>
      </c>
      <c r="X893">
        <v>2.75</v>
      </c>
      <c r="Y893" t="s">
        <v>1316</v>
      </c>
      <c r="Z893" t="s">
        <v>1327</v>
      </c>
      <c r="AA893" t="s">
        <v>2681</v>
      </c>
      <c r="AB893">
        <v>7.55</v>
      </c>
      <c r="AC893" t="s">
        <v>1088</v>
      </c>
      <c r="AD893">
        <v>8.81</v>
      </c>
      <c r="AE893" t="s">
        <v>251</v>
      </c>
      <c r="AF893">
        <v>2.14</v>
      </c>
      <c r="AG893">
        <v>0</v>
      </c>
      <c r="AH893">
        <v>0</v>
      </c>
      <c r="AI893" s="4">
        <v>34362</v>
      </c>
    </row>
    <row r="894" spans="1:35">
      <c r="A894">
        <v>893</v>
      </c>
      <c r="B894" t="str">
        <f>"600315"</f>
        <v>600315</v>
      </c>
      <c r="C894" t="s">
        <v>5815</v>
      </c>
      <c r="D894" s="4">
        <v>43190</v>
      </c>
      <c r="E894" t="s">
        <v>675</v>
      </c>
      <c r="F894" t="s">
        <v>4552</v>
      </c>
      <c r="G894" t="s">
        <v>2898</v>
      </c>
      <c r="H894">
        <v>0.22</v>
      </c>
      <c r="I894">
        <v>8.34</v>
      </c>
      <c r="J894">
        <v>2.75</v>
      </c>
      <c r="K894" t="s">
        <v>891</v>
      </c>
      <c r="L894">
        <v>10.33</v>
      </c>
      <c r="M894" t="s">
        <v>1366</v>
      </c>
      <c r="N894" t="s">
        <v>5816</v>
      </c>
      <c r="O894" t="s">
        <v>1366</v>
      </c>
      <c r="P894" t="s">
        <v>2034</v>
      </c>
      <c r="Q894">
        <v>35.92</v>
      </c>
      <c r="R894" t="s">
        <v>2498</v>
      </c>
      <c r="S894">
        <v>5.25</v>
      </c>
      <c r="T894">
        <v>66.72</v>
      </c>
      <c r="U894" t="s">
        <v>1254</v>
      </c>
      <c r="V894" t="s">
        <v>783</v>
      </c>
      <c r="W894" t="s">
        <v>1184</v>
      </c>
      <c r="X894">
        <v>2.75</v>
      </c>
      <c r="Y894" t="s">
        <v>893</v>
      </c>
      <c r="Z894" t="s">
        <v>1675</v>
      </c>
      <c r="AA894" t="s">
        <v>646</v>
      </c>
      <c r="AB894">
        <v>4.6900000000000004</v>
      </c>
      <c r="AC894" t="s">
        <v>1177</v>
      </c>
      <c r="AD894">
        <v>55.82</v>
      </c>
      <c r="AE894" t="s">
        <v>297</v>
      </c>
      <c r="AF894">
        <v>1.27</v>
      </c>
      <c r="AG894">
        <v>0</v>
      </c>
      <c r="AH894">
        <v>0</v>
      </c>
      <c r="AI894" s="4">
        <v>36965</v>
      </c>
    </row>
    <row r="895" spans="1:35">
      <c r="A895">
        <v>894</v>
      </c>
      <c r="B895" t="str">
        <f>"600185"</f>
        <v>600185</v>
      </c>
      <c r="C895" t="s">
        <v>5817</v>
      </c>
      <c r="D895" s="4">
        <v>43190</v>
      </c>
      <c r="E895" t="s">
        <v>251</v>
      </c>
      <c r="F895" t="s">
        <v>251</v>
      </c>
      <c r="G895" t="s">
        <v>2039</v>
      </c>
      <c r="H895">
        <v>0.1</v>
      </c>
      <c r="I895">
        <v>3.8</v>
      </c>
      <c r="J895">
        <v>2.75</v>
      </c>
      <c r="K895" t="s">
        <v>2683</v>
      </c>
      <c r="L895">
        <v>-24.35</v>
      </c>
      <c r="M895" t="s">
        <v>1184</v>
      </c>
      <c r="N895" t="s">
        <v>3198</v>
      </c>
      <c r="O895" t="s">
        <v>1184</v>
      </c>
      <c r="P895" t="s">
        <v>1364</v>
      </c>
      <c r="Q895">
        <v>-18.18</v>
      </c>
      <c r="R895" t="s">
        <v>3422</v>
      </c>
      <c r="S895">
        <v>2.16</v>
      </c>
      <c r="T895">
        <v>45.94</v>
      </c>
      <c r="U895" t="s">
        <v>435</v>
      </c>
      <c r="V895" t="s">
        <v>2543</v>
      </c>
      <c r="W895" t="s">
        <v>748</v>
      </c>
      <c r="X895">
        <v>2.75</v>
      </c>
      <c r="Y895" t="s">
        <v>838</v>
      </c>
      <c r="Z895" t="s">
        <v>3589</v>
      </c>
      <c r="AA895" t="s">
        <v>932</v>
      </c>
      <c r="AB895">
        <v>1.36</v>
      </c>
      <c r="AC895" t="s">
        <v>4108</v>
      </c>
      <c r="AD895">
        <v>28.93</v>
      </c>
      <c r="AE895" t="s">
        <v>895</v>
      </c>
      <c r="AF895">
        <v>0.49</v>
      </c>
      <c r="AG895">
        <v>0</v>
      </c>
      <c r="AH895">
        <v>0</v>
      </c>
      <c r="AI895" s="4">
        <v>36322</v>
      </c>
    </row>
    <row r="896" spans="1:35">
      <c r="A896">
        <v>895</v>
      </c>
      <c r="B896" t="str">
        <f>"300396"</f>
        <v>300396</v>
      </c>
      <c r="C896" t="s">
        <v>5818</v>
      </c>
      <c r="D896" s="4">
        <v>43190</v>
      </c>
      <c r="E896" t="s">
        <v>4871</v>
      </c>
      <c r="F896" t="s">
        <v>2142</v>
      </c>
      <c r="G896" t="s">
        <v>53</v>
      </c>
      <c r="H896">
        <v>0.13</v>
      </c>
      <c r="I896">
        <v>4.46</v>
      </c>
      <c r="J896">
        <v>2.75</v>
      </c>
      <c r="K896" t="s">
        <v>905</v>
      </c>
      <c r="L896">
        <v>22.46</v>
      </c>
      <c r="M896" t="s">
        <v>5819</v>
      </c>
      <c r="N896" t="s">
        <v>3189</v>
      </c>
      <c r="O896" t="s">
        <v>5820</v>
      </c>
      <c r="P896" t="s">
        <v>1560</v>
      </c>
      <c r="Q896">
        <v>25.94</v>
      </c>
      <c r="R896" t="s">
        <v>1761</v>
      </c>
      <c r="S896">
        <v>2.15</v>
      </c>
      <c r="T896">
        <v>66.709999999999994</v>
      </c>
      <c r="U896" t="s">
        <v>980</v>
      </c>
      <c r="V896" t="s">
        <v>2010</v>
      </c>
      <c r="W896" t="s">
        <v>145</v>
      </c>
      <c r="X896">
        <v>2.75</v>
      </c>
      <c r="Y896" t="s">
        <v>2224</v>
      </c>
      <c r="Z896" t="s">
        <v>2551</v>
      </c>
      <c r="AA896" t="s">
        <v>4355</v>
      </c>
      <c r="AB896">
        <v>4.1900000000000004</v>
      </c>
      <c r="AC896" t="s">
        <v>1082</v>
      </c>
      <c r="AD896">
        <v>69.12</v>
      </c>
      <c r="AE896" t="s">
        <v>623</v>
      </c>
      <c r="AF896">
        <v>1.04</v>
      </c>
      <c r="AG896">
        <v>0</v>
      </c>
      <c r="AH896">
        <v>0</v>
      </c>
      <c r="AI896" s="4">
        <v>41892</v>
      </c>
    </row>
    <row r="897" spans="1:35">
      <c r="A897">
        <v>896</v>
      </c>
      <c r="B897" t="str">
        <f>"002831"</f>
        <v>002831</v>
      </c>
      <c r="C897" t="s">
        <v>5821</v>
      </c>
      <c r="D897" s="4">
        <v>43190</v>
      </c>
      <c r="E897" t="s">
        <v>150</v>
      </c>
      <c r="F897" t="s">
        <v>677</v>
      </c>
      <c r="G897">
        <v>8729</v>
      </c>
      <c r="H897">
        <v>0.35</v>
      </c>
      <c r="I897">
        <v>12.19</v>
      </c>
      <c r="J897">
        <v>2.75</v>
      </c>
      <c r="K897" t="s">
        <v>50</v>
      </c>
      <c r="L897">
        <v>16.18</v>
      </c>
      <c r="M897" t="s">
        <v>745</v>
      </c>
      <c r="N897" t="s">
        <v>5822</v>
      </c>
      <c r="O897" t="s">
        <v>745</v>
      </c>
      <c r="P897" t="s">
        <v>657</v>
      </c>
      <c r="Q897">
        <v>-14.14</v>
      </c>
      <c r="R897" t="s">
        <v>907</v>
      </c>
      <c r="S897">
        <v>7.3</v>
      </c>
      <c r="T897">
        <v>25.19</v>
      </c>
      <c r="U897" t="s">
        <v>5259</v>
      </c>
      <c r="V897" t="s">
        <v>1160</v>
      </c>
      <c r="W897" t="s">
        <v>514</v>
      </c>
      <c r="X897">
        <v>2.75</v>
      </c>
      <c r="Y897" t="s">
        <v>1312</v>
      </c>
      <c r="Z897" t="s">
        <v>273</v>
      </c>
      <c r="AA897" t="s">
        <v>1976</v>
      </c>
      <c r="AB897">
        <v>4.16</v>
      </c>
      <c r="AC897" t="s">
        <v>111</v>
      </c>
      <c r="AD897">
        <v>54.14</v>
      </c>
      <c r="AE897" t="s">
        <v>971</v>
      </c>
      <c r="AF897">
        <v>3.43</v>
      </c>
      <c r="AG897">
        <v>0</v>
      </c>
      <c r="AH897">
        <v>0</v>
      </c>
      <c r="AI897" s="4">
        <v>42720</v>
      </c>
    </row>
    <row r="898" spans="1:35">
      <c r="A898">
        <v>897</v>
      </c>
      <c r="B898" t="str">
        <f>"600035"</f>
        <v>600035</v>
      </c>
      <c r="C898" t="s">
        <v>5823</v>
      </c>
      <c r="D898" s="4">
        <v>43190</v>
      </c>
      <c r="E898" t="s">
        <v>79</v>
      </c>
      <c r="F898" t="s">
        <v>759</v>
      </c>
      <c r="G898" t="s">
        <v>1838</v>
      </c>
      <c r="H898">
        <v>0.1</v>
      </c>
      <c r="I898">
        <v>3.44</v>
      </c>
      <c r="J898">
        <v>2.74</v>
      </c>
      <c r="K898" t="s">
        <v>190</v>
      </c>
      <c r="L898">
        <v>25.48</v>
      </c>
      <c r="M898" t="s">
        <v>454</v>
      </c>
      <c r="N898" t="s">
        <v>5824</v>
      </c>
      <c r="O898" t="s">
        <v>454</v>
      </c>
      <c r="P898" t="s">
        <v>321</v>
      </c>
      <c r="Q898">
        <v>-3.52</v>
      </c>
      <c r="R898" t="s">
        <v>449</v>
      </c>
      <c r="S898">
        <v>1.1100000000000001</v>
      </c>
      <c r="T898">
        <v>44.59</v>
      </c>
      <c r="U898" t="s">
        <v>1159</v>
      </c>
      <c r="V898" t="s">
        <v>848</v>
      </c>
      <c r="W898" t="s">
        <v>2674</v>
      </c>
      <c r="X898">
        <v>2.74</v>
      </c>
      <c r="Y898" t="s">
        <v>1660</v>
      </c>
      <c r="Z898" t="s">
        <v>1190</v>
      </c>
      <c r="AA898" t="s">
        <v>2499</v>
      </c>
      <c r="AB898">
        <v>0.89</v>
      </c>
      <c r="AC898" t="s">
        <v>2918</v>
      </c>
      <c r="AD898">
        <v>57.45</v>
      </c>
      <c r="AE898" t="s">
        <v>350</v>
      </c>
      <c r="AF898">
        <v>0.79</v>
      </c>
      <c r="AG898">
        <v>0</v>
      </c>
      <c r="AH898">
        <v>0</v>
      </c>
      <c r="AI898" s="4">
        <v>38056</v>
      </c>
    </row>
    <row r="899" spans="1:35">
      <c r="A899">
        <v>898</v>
      </c>
      <c r="B899" t="str">
        <f>"300701"</f>
        <v>300701</v>
      </c>
      <c r="C899" t="s">
        <v>5825</v>
      </c>
      <c r="D899" s="4">
        <v>43190</v>
      </c>
      <c r="E899" t="s">
        <v>2575</v>
      </c>
      <c r="F899" t="s">
        <v>2576</v>
      </c>
      <c r="G899">
        <v>1671</v>
      </c>
      <c r="H899">
        <v>0.15</v>
      </c>
      <c r="I899">
        <v>5.24</v>
      </c>
      <c r="J899">
        <v>2.74</v>
      </c>
      <c r="K899" t="s">
        <v>5826</v>
      </c>
      <c r="L899">
        <v>11.15</v>
      </c>
      <c r="M899" t="s">
        <v>5827</v>
      </c>
      <c r="N899" t="s">
        <v>3836</v>
      </c>
      <c r="O899" t="s">
        <v>3021</v>
      </c>
      <c r="P899" t="s">
        <v>5828</v>
      </c>
      <c r="Q899">
        <v>14.32</v>
      </c>
      <c r="R899" t="s">
        <v>2360</v>
      </c>
      <c r="S899">
        <v>1.1599999999999999</v>
      </c>
      <c r="T899">
        <v>52.03</v>
      </c>
      <c r="U899" t="s">
        <v>1721</v>
      </c>
      <c r="V899" t="s">
        <v>498</v>
      </c>
      <c r="W899" t="s">
        <v>5829</v>
      </c>
      <c r="X899">
        <v>2.74</v>
      </c>
      <c r="Y899" t="s">
        <v>1430</v>
      </c>
      <c r="Z899" t="s">
        <v>5830</v>
      </c>
      <c r="AA899" t="s">
        <v>5831</v>
      </c>
      <c r="AB899">
        <v>8.49</v>
      </c>
      <c r="AC899" t="s">
        <v>1059</v>
      </c>
      <c r="AD899">
        <v>95.62</v>
      </c>
      <c r="AE899" t="s">
        <v>1435</v>
      </c>
      <c r="AF899">
        <v>2.79</v>
      </c>
      <c r="AG899">
        <v>0</v>
      </c>
      <c r="AH899">
        <v>0</v>
      </c>
      <c r="AI899" s="4">
        <v>42993</v>
      </c>
    </row>
    <row r="900" spans="1:35">
      <c r="A900">
        <v>899</v>
      </c>
      <c r="B900" t="str">
        <f>"002923"</f>
        <v>002923</v>
      </c>
      <c r="C900" t="s">
        <v>5832</v>
      </c>
      <c r="D900" s="4">
        <v>43190</v>
      </c>
      <c r="E900" t="s">
        <v>280</v>
      </c>
      <c r="F900" t="s">
        <v>482</v>
      </c>
      <c r="G900">
        <v>1275</v>
      </c>
      <c r="H900">
        <v>0.17</v>
      </c>
      <c r="I900">
        <v>6.54</v>
      </c>
      <c r="J900">
        <v>2.74</v>
      </c>
      <c r="K900" t="s">
        <v>262</v>
      </c>
      <c r="L900">
        <v>19.52</v>
      </c>
      <c r="M900" t="s">
        <v>5833</v>
      </c>
      <c r="N900">
        <v>0</v>
      </c>
      <c r="O900" t="s">
        <v>3665</v>
      </c>
      <c r="P900" t="s">
        <v>5834</v>
      </c>
      <c r="Q900">
        <v>8.34</v>
      </c>
      <c r="R900" t="s">
        <v>160</v>
      </c>
      <c r="S900">
        <v>2.46</v>
      </c>
      <c r="T900">
        <v>69.8</v>
      </c>
      <c r="U900" t="s">
        <v>407</v>
      </c>
      <c r="V900" t="s">
        <v>627</v>
      </c>
      <c r="W900" t="s">
        <v>668</v>
      </c>
      <c r="X900">
        <v>2.74</v>
      </c>
      <c r="Y900" t="s">
        <v>3332</v>
      </c>
      <c r="Z900" t="s">
        <v>5835</v>
      </c>
      <c r="AA900" t="s">
        <v>5836</v>
      </c>
      <c r="AB900">
        <v>5.48</v>
      </c>
      <c r="AC900" t="s">
        <v>2444</v>
      </c>
      <c r="AD900">
        <v>81.489999999999995</v>
      </c>
      <c r="AE900" t="s">
        <v>330</v>
      </c>
      <c r="AF900">
        <v>2.74</v>
      </c>
      <c r="AG900">
        <v>0</v>
      </c>
      <c r="AH900">
        <v>0</v>
      </c>
      <c r="AI900" s="4">
        <v>43105</v>
      </c>
    </row>
    <row r="901" spans="1:35">
      <c r="A901">
        <v>900</v>
      </c>
      <c r="B901" t="str">
        <f>"002370"</f>
        <v>002370</v>
      </c>
      <c r="C901" t="s">
        <v>5837</v>
      </c>
      <c r="D901" s="4">
        <v>43190</v>
      </c>
      <c r="E901" t="s">
        <v>174</v>
      </c>
      <c r="F901" t="s">
        <v>2811</v>
      </c>
      <c r="G901" t="s">
        <v>5838</v>
      </c>
      <c r="H901">
        <v>0.12</v>
      </c>
      <c r="I901">
        <v>4.42</v>
      </c>
      <c r="J901">
        <v>2.74</v>
      </c>
      <c r="K901" t="s">
        <v>301</v>
      </c>
      <c r="L901">
        <v>29.48</v>
      </c>
      <c r="M901" t="s">
        <v>5839</v>
      </c>
      <c r="N901">
        <v>0</v>
      </c>
      <c r="O901" t="s">
        <v>5840</v>
      </c>
      <c r="P901" t="s">
        <v>5841</v>
      </c>
      <c r="Q901">
        <v>40.049999999999997</v>
      </c>
      <c r="R901" t="s">
        <v>5842</v>
      </c>
      <c r="S901">
        <v>0.89</v>
      </c>
      <c r="T901">
        <v>49</v>
      </c>
      <c r="U901" t="s">
        <v>1350</v>
      </c>
      <c r="V901" t="s">
        <v>176</v>
      </c>
      <c r="W901" t="s">
        <v>1287</v>
      </c>
      <c r="X901">
        <v>2.74</v>
      </c>
      <c r="Y901" t="s">
        <v>2111</v>
      </c>
      <c r="Z901" t="s">
        <v>935</v>
      </c>
      <c r="AA901" t="s">
        <v>325</v>
      </c>
      <c r="AB901">
        <v>3.35</v>
      </c>
      <c r="AC901" t="s">
        <v>223</v>
      </c>
      <c r="AD901">
        <v>81.61</v>
      </c>
      <c r="AE901" t="s">
        <v>840</v>
      </c>
      <c r="AF901">
        <v>2.44</v>
      </c>
      <c r="AG901">
        <v>0</v>
      </c>
      <c r="AH901">
        <v>0</v>
      </c>
      <c r="AI901" s="4">
        <v>40253</v>
      </c>
    </row>
    <row r="902" spans="1:35">
      <c r="A902">
        <v>901</v>
      </c>
      <c r="B902" t="str">
        <f>"603528"</f>
        <v>603528</v>
      </c>
      <c r="C902" t="s">
        <v>5843</v>
      </c>
      <c r="D902" s="4">
        <v>43190</v>
      </c>
      <c r="E902" t="s">
        <v>3490</v>
      </c>
      <c r="F902" t="s">
        <v>2769</v>
      </c>
      <c r="G902">
        <v>5312</v>
      </c>
      <c r="H902">
        <v>0.06</v>
      </c>
      <c r="I902">
        <v>2.23</v>
      </c>
      <c r="J902">
        <v>2.73</v>
      </c>
      <c r="K902" t="s">
        <v>657</v>
      </c>
      <c r="L902">
        <v>19.420000000000002</v>
      </c>
      <c r="M902" t="s">
        <v>5844</v>
      </c>
      <c r="N902" t="s">
        <v>5101</v>
      </c>
      <c r="O902" t="s">
        <v>5845</v>
      </c>
      <c r="P902" t="s">
        <v>5846</v>
      </c>
      <c r="Q902">
        <v>89.48</v>
      </c>
      <c r="R902" t="s">
        <v>1615</v>
      </c>
      <c r="S902">
        <v>0.73</v>
      </c>
      <c r="T902">
        <v>64.31</v>
      </c>
      <c r="U902" t="s">
        <v>418</v>
      </c>
      <c r="V902" t="s">
        <v>646</v>
      </c>
      <c r="W902" t="s">
        <v>1936</v>
      </c>
      <c r="X902">
        <v>2.73</v>
      </c>
      <c r="Y902" t="s">
        <v>2445</v>
      </c>
      <c r="Z902" t="s">
        <v>456</v>
      </c>
      <c r="AA902" t="s">
        <v>5847</v>
      </c>
      <c r="AB902">
        <v>3.25</v>
      </c>
      <c r="AC902" t="s">
        <v>538</v>
      </c>
      <c r="AD902">
        <v>69.489999999999995</v>
      </c>
      <c r="AE902" t="s">
        <v>64</v>
      </c>
      <c r="AF902">
        <v>0.3</v>
      </c>
      <c r="AG902">
        <v>0</v>
      </c>
      <c r="AH902">
        <v>0</v>
      </c>
      <c r="AI902" s="4">
        <v>42493</v>
      </c>
    </row>
    <row r="903" spans="1:35">
      <c r="A903">
        <v>902</v>
      </c>
      <c r="B903" t="str">
        <f>"603018"</f>
        <v>603018</v>
      </c>
      <c r="C903" t="s">
        <v>5848</v>
      </c>
      <c r="D903" s="4">
        <v>43190</v>
      </c>
      <c r="E903" t="s">
        <v>2185</v>
      </c>
      <c r="F903" t="s">
        <v>3441</v>
      </c>
      <c r="G903" t="s">
        <v>224</v>
      </c>
      <c r="H903">
        <v>0.19</v>
      </c>
      <c r="I903">
        <v>6.74</v>
      </c>
      <c r="J903">
        <v>2.73</v>
      </c>
      <c r="K903" t="s">
        <v>1965</v>
      </c>
      <c r="L903">
        <v>31.15</v>
      </c>
      <c r="M903" t="s">
        <v>5849</v>
      </c>
      <c r="N903" t="s">
        <v>992</v>
      </c>
      <c r="O903" t="s">
        <v>4919</v>
      </c>
      <c r="P903" t="s">
        <v>4853</v>
      </c>
      <c r="Q903">
        <v>20.8</v>
      </c>
      <c r="R903" t="s">
        <v>521</v>
      </c>
      <c r="S903">
        <v>3.09</v>
      </c>
      <c r="T903">
        <v>28.46</v>
      </c>
      <c r="U903" t="s">
        <v>5850</v>
      </c>
      <c r="V903" t="s">
        <v>524</v>
      </c>
      <c r="W903" t="s">
        <v>3259</v>
      </c>
      <c r="X903">
        <v>2.73</v>
      </c>
      <c r="Y903" t="s">
        <v>1051</v>
      </c>
      <c r="Z903" t="s">
        <v>864</v>
      </c>
      <c r="AA903" t="s">
        <v>5332</v>
      </c>
      <c r="AB903">
        <v>2.1800000000000002</v>
      </c>
      <c r="AC903" t="s">
        <v>1390</v>
      </c>
      <c r="AD903">
        <v>42.05</v>
      </c>
      <c r="AE903" t="s">
        <v>1998</v>
      </c>
      <c r="AF903">
        <v>2.57</v>
      </c>
      <c r="AG903">
        <v>0</v>
      </c>
      <c r="AH903">
        <v>0</v>
      </c>
      <c r="AI903" s="4">
        <v>41925</v>
      </c>
    </row>
    <row r="904" spans="1:35">
      <c r="A904">
        <v>903</v>
      </c>
      <c r="B904" t="str">
        <f>"300046"</f>
        <v>300046</v>
      </c>
      <c r="C904" t="s">
        <v>5851</v>
      </c>
      <c r="D904" s="4">
        <v>43190</v>
      </c>
      <c r="E904" t="s">
        <v>1417</v>
      </c>
      <c r="F904" t="s">
        <v>1417</v>
      </c>
      <c r="G904">
        <v>8483</v>
      </c>
      <c r="H904">
        <v>0.11</v>
      </c>
      <c r="I904">
        <v>3.91</v>
      </c>
      <c r="J904">
        <v>2.73</v>
      </c>
      <c r="K904" t="s">
        <v>1349</v>
      </c>
      <c r="L904">
        <v>78.930000000000007</v>
      </c>
      <c r="M904" t="s">
        <v>5852</v>
      </c>
      <c r="N904" t="s">
        <v>2074</v>
      </c>
      <c r="O904" t="s">
        <v>5853</v>
      </c>
      <c r="P904" t="s">
        <v>5854</v>
      </c>
      <c r="Q904">
        <v>82.55</v>
      </c>
      <c r="R904" t="s">
        <v>198</v>
      </c>
      <c r="S904">
        <v>0.36</v>
      </c>
      <c r="T904">
        <v>32.520000000000003</v>
      </c>
      <c r="U904" t="s">
        <v>919</v>
      </c>
      <c r="V904" t="s">
        <v>106</v>
      </c>
      <c r="W904" t="s">
        <v>84</v>
      </c>
      <c r="X904">
        <v>2.73</v>
      </c>
      <c r="Y904" t="s">
        <v>284</v>
      </c>
      <c r="Z904" t="s">
        <v>1457</v>
      </c>
      <c r="AA904" t="s">
        <v>1746</v>
      </c>
      <c r="AB904">
        <v>2.82</v>
      </c>
      <c r="AC904" t="s">
        <v>1341</v>
      </c>
      <c r="AD904">
        <v>83.12</v>
      </c>
      <c r="AE904" t="s">
        <v>1935</v>
      </c>
      <c r="AF904">
        <v>2.31</v>
      </c>
      <c r="AG904">
        <v>0</v>
      </c>
      <c r="AH904">
        <v>0</v>
      </c>
      <c r="AI904" s="4">
        <v>40198</v>
      </c>
    </row>
    <row r="905" spans="1:35">
      <c r="A905">
        <v>904</v>
      </c>
      <c r="B905" t="str">
        <f>"000078"</f>
        <v>000078</v>
      </c>
      <c r="C905" t="s">
        <v>5855</v>
      </c>
      <c r="D905" s="4">
        <v>43190</v>
      </c>
      <c r="E905" t="s">
        <v>1661</v>
      </c>
      <c r="F905" t="s">
        <v>891</v>
      </c>
      <c r="G905" t="s">
        <v>1122</v>
      </c>
      <c r="H905">
        <v>0.06</v>
      </c>
      <c r="I905">
        <v>2.14</v>
      </c>
      <c r="J905">
        <v>2.73</v>
      </c>
      <c r="K905" t="s">
        <v>5856</v>
      </c>
      <c r="L905">
        <v>119.71</v>
      </c>
      <c r="M905" t="s">
        <v>1206</v>
      </c>
      <c r="N905">
        <v>7386</v>
      </c>
      <c r="O905" t="s">
        <v>2132</v>
      </c>
      <c r="P905" t="s">
        <v>452</v>
      </c>
      <c r="Q905">
        <v>66.13</v>
      </c>
      <c r="R905" t="s">
        <v>1073</v>
      </c>
      <c r="S905">
        <v>0.27</v>
      </c>
      <c r="T905">
        <v>11.3</v>
      </c>
      <c r="U905" t="s">
        <v>5281</v>
      </c>
      <c r="V905" t="s">
        <v>5857</v>
      </c>
      <c r="W905" t="s">
        <v>627</v>
      </c>
      <c r="X905">
        <v>2.73</v>
      </c>
      <c r="Y905" t="s">
        <v>4461</v>
      </c>
      <c r="Z905" t="s">
        <v>3242</v>
      </c>
      <c r="AA905" t="s">
        <v>700</v>
      </c>
      <c r="AB905">
        <v>2.19</v>
      </c>
      <c r="AC905" t="s">
        <v>1250</v>
      </c>
      <c r="AD905">
        <v>16.850000000000001</v>
      </c>
      <c r="AE905" t="s">
        <v>1029</v>
      </c>
      <c r="AF905">
        <v>0.87</v>
      </c>
      <c r="AG905">
        <v>0</v>
      </c>
      <c r="AH905">
        <v>0</v>
      </c>
      <c r="AI905" s="4">
        <v>36147</v>
      </c>
    </row>
    <row r="906" spans="1:35">
      <c r="A906">
        <v>905</v>
      </c>
      <c r="B906" t="str">
        <f>"601952"</f>
        <v>601952</v>
      </c>
      <c r="C906" t="s">
        <v>5858</v>
      </c>
      <c r="D906" s="4">
        <v>43190</v>
      </c>
      <c r="E906" t="s">
        <v>176</v>
      </c>
      <c r="F906" t="s">
        <v>1235</v>
      </c>
      <c r="G906">
        <v>3312</v>
      </c>
      <c r="H906">
        <v>0.1</v>
      </c>
      <c r="I906">
        <v>3.72</v>
      </c>
      <c r="J906">
        <v>2.72</v>
      </c>
      <c r="K906" t="s">
        <v>1833</v>
      </c>
      <c r="L906">
        <v>3.85</v>
      </c>
      <c r="M906" t="s">
        <v>93</v>
      </c>
      <c r="N906" t="s">
        <v>5859</v>
      </c>
      <c r="O906" t="s">
        <v>745</v>
      </c>
      <c r="P906" t="s">
        <v>326</v>
      </c>
      <c r="Q906">
        <v>4.47</v>
      </c>
      <c r="R906" t="s">
        <v>867</v>
      </c>
      <c r="S906">
        <v>1.1100000000000001</v>
      </c>
      <c r="T906">
        <v>23.11</v>
      </c>
      <c r="U906" t="s">
        <v>4807</v>
      </c>
      <c r="V906" t="s">
        <v>3217</v>
      </c>
      <c r="W906" t="s">
        <v>101</v>
      </c>
      <c r="X906">
        <v>2.72</v>
      </c>
      <c r="Y906" t="s">
        <v>192</v>
      </c>
      <c r="Z906" t="s">
        <v>722</v>
      </c>
      <c r="AA906" t="s">
        <v>95</v>
      </c>
      <c r="AB906">
        <v>1.89</v>
      </c>
      <c r="AC906" t="s">
        <v>2396</v>
      </c>
      <c r="AD906">
        <v>81.040000000000006</v>
      </c>
      <c r="AE906" t="s">
        <v>1029</v>
      </c>
      <c r="AF906">
        <v>1.45</v>
      </c>
      <c r="AG906">
        <v>0</v>
      </c>
      <c r="AH906">
        <v>0</v>
      </c>
      <c r="AI906" s="4">
        <v>42870</v>
      </c>
    </row>
    <row r="907" spans="1:35">
      <c r="A907">
        <v>906</v>
      </c>
      <c r="B907" t="str">
        <f>"600908"</f>
        <v>600908</v>
      </c>
      <c r="C907" t="s">
        <v>5860</v>
      </c>
      <c r="D907" s="4">
        <v>43190</v>
      </c>
      <c r="E907" t="s">
        <v>510</v>
      </c>
      <c r="F907" t="s">
        <v>2984</v>
      </c>
      <c r="G907" t="s">
        <v>70</v>
      </c>
      <c r="H907">
        <v>0.14000000000000001</v>
      </c>
      <c r="I907">
        <v>5.0199999999999996</v>
      </c>
      <c r="J907">
        <v>2.72</v>
      </c>
      <c r="K907" t="s">
        <v>3570</v>
      </c>
      <c r="L907">
        <v>14.26</v>
      </c>
      <c r="M907" t="s">
        <v>593</v>
      </c>
      <c r="N907" t="s">
        <v>5861</v>
      </c>
      <c r="O907" t="s">
        <v>89</v>
      </c>
      <c r="P907" t="s">
        <v>122</v>
      </c>
      <c r="Q907">
        <v>12.01</v>
      </c>
      <c r="R907" t="s">
        <v>2913</v>
      </c>
      <c r="S907">
        <v>0.25</v>
      </c>
      <c r="T907">
        <v>0</v>
      </c>
      <c r="U907" t="s">
        <v>5862</v>
      </c>
      <c r="V907">
        <v>0</v>
      </c>
      <c r="W907" t="s">
        <v>1709</v>
      </c>
      <c r="X907">
        <v>2.72</v>
      </c>
      <c r="Y907" t="s">
        <v>5863</v>
      </c>
      <c r="Z907">
        <v>0</v>
      </c>
      <c r="AA907">
        <v>0</v>
      </c>
      <c r="AB907">
        <v>1.1299999999999999</v>
      </c>
      <c r="AC907" t="s">
        <v>716</v>
      </c>
      <c r="AD907">
        <v>7.25</v>
      </c>
      <c r="AE907" t="s">
        <v>5864</v>
      </c>
      <c r="AF907">
        <v>0.52</v>
      </c>
      <c r="AG907">
        <v>0</v>
      </c>
      <c r="AH907">
        <v>0</v>
      </c>
      <c r="AI907" s="4">
        <v>42636</v>
      </c>
    </row>
    <row r="908" spans="1:35">
      <c r="A908">
        <v>907</v>
      </c>
      <c r="B908" t="str">
        <f>"002873"</f>
        <v>002873</v>
      </c>
      <c r="C908" t="s">
        <v>5865</v>
      </c>
      <c r="D908" s="4">
        <v>43190</v>
      </c>
      <c r="E908" t="s">
        <v>5866</v>
      </c>
      <c r="F908" t="s">
        <v>5756</v>
      </c>
      <c r="G908">
        <v>1438</v>
      </c>
      <c r="H908">
        <v>0.25</v>
      </c>
      <c r="I908">
        <v>9.2899999999999991</v>
      </c>
      <c r="J908">
        <v>2.72</v>
      </c>
      <c r="K908" t="s">
        <v>610</v>
      </c>
      <c r="L908">
        <v>6.41</v>
      </c>
      <c r="M908" t="s">
        <v>5867</v>
      </c>
      <c r="N908" t="s">
        <v>5868</v>
      </c>
      <c r="O908" t="s">
        <v>5869</v>
      </c>
      <c r="P908" t="s">
        <v>5870</v>
      </c>
      <c r="Q908">
        <v>11.25</v>
      </c>
      <c r="R908" t="s">
        <v>3332</v>
      </c>
      <c r="S908">
        <v>2.81</v>
      </c>
      <c r="T908">
        <v>79.14</v>
      </c>
      <c r="U908" t="s">
        <v>3290</v>
      </c>
      <c r="V908" t="s">
        <v>1450</v>
      </c>
      <c r="W908" t="s">
        <v>993</v>
      </c>
      <c r="X908">
        <v>2.72</v>
      </c>
      <c r="Y908" t="s">
        <v>1732</v>
      </c>
      <c r="Z908" t="s">
        <v>2142</v>
      </c>
      <c r="AA908" t="s">
        <v>5871</v>
      </c>
      <c r="AB908">
        <v>4.41</v>
      </c>
      <c r="AC908" t="s">
        <v>1849</v>
      </c>
      <c r="AD908">
        <v>69.930000000000007</v>
      </c>
      <c r="AE908" t="s">
        <v>47</v>
      </c>
      <c r="AF908">
        <v>4.79</v>
      </c>
      <c r="AG908">
        <v>0</v>
      </c>
      <c r="AH908">
        <v>0</v>
      </c>
      <c r="AI908" s="4">
        <v>42874</v>
      </c>
    </row>
    <row r="909" spans="1:35">
      <c r="A909">
        <v>908</v>
      </c>
      <c r="B909" t="str">
        <f>"002573"</f>
        <v>002573</v>
      </c>
      <c r="C909" t="s">
        <v>5872</v>
      </c>
      <c r="D909" s="4">
        <v>43190</v>
      </c>
      <c r="E909" t="s">
        <v>699</v>
      </c>
      <c r="F909" t="s">
        <v>699</v>
      </c>
      <c r="G909" t="s">
        <v>2589</v>
      </c>
      <c r="H909">
        <v>0.11</v>
      </c>
      <c r="I909">
        <v>4.0199999999999996</v>
      </c>
      <c r="J909">
        <v>2.72</v>
      </c>
      <c r="K909" t="s">
        <v>1094</v>
      </c>
      <c r="L909">
        <v>50.77</v>
      </c>
      <c r="M909" t="s">
        <v>136</v>
      </c>
      <c r="N909" t="s">
        <v>5873</v>
      </c>
      <c r="O909" t="s">
        <v>2031</v>
      </c>
      <c r="P909" t="s">
        <v>282</v>
      </c>
      <c r="Q909">
        <v>22.3</v>
      </c>
      <c r="R909" t="s">
        <v>514</v>
      </c>
      <c r="S909">
        <v>1.97</v>
      </c>
      <c r="T909">
        <v>30.13</v>
      </c>
      <c r="U909" t="s">
        <v>410</v>
      </c>
      <c r="V909" t="s">
        <v>979</v>
      </c>
      <c r="W909" t="s">
        <v>780</v>
      </c>
      <c r="X909">
        <v>2.72</v>
      </c>
      <c r="Y909" t="s">
        <v>5874</v>
      </c>
      <c r="Z909" t="s">
        <v>3605</v>
      </c>
      <c r="AA909" t="s">
        <v>725</v>
      </c>
      <c r="AB909">
        <v>2.87</v>
      </c>
      <c r="AC909" t="s">
        <v>527</v>
      </c>
      <c r="AD909">
        <v>34.979999999999997</v>
      </c>
      <c r="AE909" t="s">
        <v>4041</v>
      </c>
      <c r="AF909">
        <v>0.78</v>
      </c>
      <c r="AG909">
        <v>0</v>
      </c>
      <c r="AH909">
        <v>0</v>
      </c>
      <c r="AI909" s="4">
        <v>40655</v>
      </c>
    </row>
    <row r="910" spans="1:35">
      <c r="A910">
        <v>909</v>
      </c>
      <c r="B910" t="str">
        <f>"000603"</f>
        <v>000603</v>
      </c>
      <c r="C910" t="s">
        <v>5875</v>
      </c>
      <c r="D910" s="4">
        <v>43190</v>
      </c>
      <c r="E910" t="s">
        <v>2510</v>
      </c>
      <c r="F910" t="s">
        <v>3027</v>
      </c>
      <c r="G910" t="s">
        <v>2221</v>
      </c>
      <c r="H910">
        <v>0.1</v>
      </c>
      <c r="I910">
        <v>3.63</v>
      </c>
      <c r="J910">
        <v>2.72</v>
      </c>
      <c r="K910" t="s">
        <v>2069</v>
      </c>
      <c r="L910">
        <v>483.93</v>
      </c>
      <c r="M910" t="s">
        <v>5876</v>
      </c>
      <c r="N910" t="s">
        <v>5877</v>
      </c>
      <c r="O910" t="s">
        <v>5878</v>
      </c>
      <c r="P910" t="s">
        <v>5879</v>
      </c>
      <c r="Q910">
        <v>472.76</v>
      </c>
      <c r="R910" t="s">
        <v>1094</v>
      </c>
      <c r="S910">
        <v>1.47</v>
      </c>
      <c r="T910">
        <v>61.85</v>
      </c>
      <c r="U910" t="s">
        <v>946</v>
      </c>
      <c r="V910" t="s">
        <v>5880</v>
      </c>
      <c r="W910" t="s">
        <v>559</v>
      </c>
      <c r="X910">
        <v>2.72</v>
      </c>
      <c r="Y910" t="s">
        <v>133</v>
      </c>
      <c r="Z910" t="s">
        <v>165</v>
      </c>
      <c r="AA910" t="s">
        <v>5881</v>
      </c>
      <c r="AB910">
        <v>2.98</v>
      </c>
      <c r="AC910" t="s">
        <v>2280</v>
      </c>
      <c r="AD910">
        <v>81.37</v>
      </c>
      <c r="AE910" t="s">
        <v>971</v>
      </c>
      <c r="AF910">
        <v>1.98</v>
      </c>
      <c r="AG910">
        <v>0</v>
      </c>
      <c r="AH910">
        <v>0</v>
      </c>
      <c r="AI910" s="4">
        <v>35300</v>
      </c>
    </row>
    <row r="911" spans="1:35">
      <c r="A911">
        <v>910</v>
      </c>
      <c r="B911" t="str">
        <f>"603655"</f>
        <v>603655</v>
      </c>
      <c r="C911" t="s">
        <v>5882</v>
      </c>
      <c r="D911" s="4">
        <v>43190</v>
      </c>
      <c r="E911" t="s">
        <v>1475</v>
      </c>
      <c r="F911" t="s">
        <v>5766</v>
      </c>
      <c r="G911">
        <v>1593</v>
      </c>
      <c r="H911">
        <v>0.12</v>
      </c>
      <c r="I911">
        <v>4.47</v>
      </c>
      <c r="J911">
        <v>2.71</v>
      </c>
      <c r="K911" t="s">
        <v>1431</v>
      </c>
      <c r="L911">
        <v>2.79</v>
      </c>
      <c r="M911" t="s">
        <v>5315</v>
      </c>
      <c r="N911">
        <v>0</v>
      </c>
      <c r="O911" t="s">
        <v>5883</v>
      </c>
      <c r="P911" t="s">
        <v>5884</v>
      </c>
      <c r="Q911">
        <v>68.97</v>
      </c>
      <c r="R911" t="s">
        <v>5885</v>
      </c>
      <c r="S911">
        <v>0.72</v>
      </c>
      <c r="T911">
        <v>47.51</v>
      </c>
      <c r="U911" t="s">
        <v>442</v>
      </c>
      <c r="V911" t="s">
        <v>344</v>
      </c>
      <c r="W911" t="s">
        <v>657</v>
      </c>
      <c r="X911">
        <v>2.71</v>
      </c>
      <c r="Y911" t="s">
        <v>5886</v>
      </c>
      <c r="Z911" t="s">
        <v>2226</v>
      </c>
      <c r="AA911" t="s">
        <v>5887</v>
      </c>
      <c r="AB911">
        <v>4.8600000000000003</v>
      </c>
      <c r="AC911" t="s">
        <v>364</v>
      </c>
      <c r="AD911">
        <v>94.13</v>
      </c>
      <c r="AE911" t="s">
        <v>2102</v>
      </c>
      <c r="AF911">
        <v>2.68</v>
      </c>
      <c r="AG911">
        <v>0</v>
      </c>
      <c r="AH911">
        <v>0</v>
      </c>
      <c r="AI911" s="4">
        <v>43098</v>
      </c>
    </row>
    <row r="912" spans="1:35">
      <c r="A912">
        <v>911</v>
      </c>
      <c r="B912" t="str">
        <f>"002842"</f>
        <v>002842</v>
      </c>
      <c r="C912" t="s">
        <v>5888</v>
      </c>
      <c r="D912" s="4">
        <v>43190</v>
      </c>
      <c r="E912" t="s">
        <v>2069</v>
      </c>
      <c r="F912" t="s">
        <v>5889</v>
      </c>
      <c r="G912">
        <v>2773</v>
      </c>
      <c r="H912">
        <v>0.12</v>
      </c>
      <c r="I912">
        <v>4.55</v>
      </c>
      <c r="J912">
        <v>2.71</v>
      </c>
      <c r="K912" t="s">
        <v>1578</v>
      </c>
      <c r="L912">
        <v>78.11</v>
      </c>
      <c r="M912" t="s">
        <v>5890</v>
      </c>
      <c r="N912" t="s">
        <v>4771</v>
      </c>
      <c r="O912" t="s">
        <v>3999</v>
      </c>
      <c r="P912" t="s">
        <v>2995</v>
      </c>
      <c r="Q912">
        <v>30.39</v>
      </c>
      <c r="R912" t="s">
        <v>1489</v>
      </c>
      <c r="S912">
        <v>1.3</v>
      </c>
      <c r="T912">
        <v>15.68</v>
      </c>
      <c r="U912" t="s">
        <v>115</v>
      </c>
      <c r="V912" t="s">
        <v>602</v>
      </c>
      <c r="W912" t="s">
        <v>1264</v>
      </c>
      <c r="X912">
        <v>2.71</v>
      </c>
      <c r="Y912" t="s">
        <v>1041</v>
      </c>
      <c r="Z912" t="s">
        <v>2693</v>
      </c>
      <c r="AA912" t="s">
        <v>5891</v>
      </c>
      <c r="AB912">
        <v>4.26</v>
      </c>
      <c r="AC912" t="s">
        <v>4397</v>
      </c>
      <c r="AD912">
        <v>46.98</v>
      </c>
      <c r="AE912" t="s">
        <v>498</v>
      </c>
      <c r="AF912">
        <v>1.95</v>
      </c>
      <c r="AG912">
        <v>0</v>
      </c>
      <c r="AH912">
        <v>0</v>
      </c>
      <c r="AI912" s="4">
        <v>42754</v>
      </c>
    </row>
    <row r="913" spans="1:35">
      <c r="A913">
        <v>912</v>
      </c>
      <c r="B913" t="str">
        <f>"000756"</f>
        <v>000756</v>
      </c>
      <c r="C913" t="s">
        <v>5892</v>
      </c>
      <c r="D913" s="4">
        <v>43190</v>
      </c>
      <c r="E913" t="s">
        <v>3006</v>
      </c>
      <c r="F913" t="s">
        <v>3297</v>
      </c>
      <c r="G913">
        <v>0</v>
      </c>
      <c r="H913">
        <v>0.14000000000000001</v>
      </c>
      <c r="I913">
        <v>5.26</v>
      </c>
      <c r="J913">
        <v>2.71</v>
      </c>
      <c r="K913" t="s">
        <v>173</v>
      </c>
      <c r="L913">
        <v>9.42</v>
      </c>
      <c r="M913" t="s">
        <v>5893</v>
      </c>
      <c r="N913" t="s">
        <v>5894</v>
      </c>
      <c r="O913" t="s">
        <v>5895</v>
      </c>
      <c r="P913" t="s">
        <v>5896</v>
      </c>
      <c r="Q913">
        <v>31.12</v>
      </c>
      <c r="R913" t="s">
        <v>458</v>
      </c>
      <c r="S913">
        <v>1.89</v>
      </c>
      <c r="T913">
        <v>28.56</v>
      </c>
      <c r="U913" t="s">
        <v>2060</v>
      </c>
      <c r="V913" t="s">
        <v>449</v>
      </c>
      <c r="W913" t="s">
        <v>576</v>
      </c>
      <c r="X913">
        <v>2.71</v>
      </c>
      <c r="Y913" t="s">
        <v>1313</v>
      </c>
      <c r="Z913" t="s">
        <v>1062</v>
      </c>
      <c r="AA913" t="s">
        <v>1033</v>
      </c>
      <c r="AB913">
        <v>1.91</v>
      </c>
      <c r="AC913" t="s">
        <v>2280</v>
      </c>
      <c r="AD913">
        <v>46.38</v>
      </c>
      <c r="AE913" t="s">
        <v>1837</v>
      </c>
      <c r="AF913">
        <v>1.52</v>
      </c>
      <c r="AG913">
        <v>0</v>
      </c>
      <c r="AH913" t="s">
        <v>609</v>
      </c>
      <c r="AI913" s="4">
        <v>35648</v>
      </c>
    </row>
    <row r="914" spans="1:35">
      <c r="A914">
        <v>913</v>
      </c>
      <c r="B914" t="str">
        <f>"000411"</f>
        <v>000411</v>
      </c>
      <c r="C914" t="s">
        <v>5897</v>
      </c>
      <c r="D914" s="4">
        <v>43190</v>
      </c>
      <c r="E914" t="s">
        <v>618</v>
      </c>
      <c r="F914" t="s">
        <v>618</v>
      </c>
      <c r="G914" t="s">
        <v>5898</v>
      </c>
      <c r="H914">
        <v>0.11</v>
      </c>
      <c r="I914">
        <v>4.16</v>
      </c>
      <c r="J914">
        <v>2.71</v>
      </c>
      <c r="K914" t="s">
        <v>111</v>
      </c>
      <c r="L914">
        <v>13.54</v>
      </c>
      <c r="M914" t="s">
        <v>5899</v>
      </c>
      <c r="N914">
        <v>0</v>
      </c>
      <c r="O914" t="s">
        <v>5900</v>
      </c>
      <c r="P914" t="s">
        <v>5901</v>
      </c>
      <c r="Q914">
        <v>8.6</v>
      </c>
      <c r="R914" t="s">
        <v>2938</v>
      </c>
      <c r="S914">
        <v>2.88</v>
      </c>
      <c r="T914">
        <v>6.25</v>
      </c>
      <c r="U914" t="s">
        <v>233</v>
      </c>
      <c r="V914" t="s">
        <v>5902</v>
      </c>
      <c r="W914" t="s">
        <v>2413</v>
      </c>
      <c r="X914">
        <v>2.71</v>
      </c>
      <c r="Y914" t="s">
        <v>231</v>
      </c>
      <c r="Z914" t="s">
        <v>3326</v>
      </c>
      <c r="AA914" t="s">
        <v>807</v>
      </c>
      <c r="AB914">
        <v>5.3</v>
      </c>
      <c r="AC914" t="s">
        <v>102</v>
      </c>
      <c r="AD914">
        <v>8.82</v>
      </c>
      <c r="AE914" t="s">
        <v>5903</v>
      </c>
      <c r="AF914">
        <v>0.15</v>
      </c>
      <c r="AG914">
        <v>0</v>
      </c>
      <c r="AH914">
        <v>0</v>
      </c>
      <c r="AI914" s="4">
        <v>35262</v>
      </c>
    </row>
    <row r="915" spans="1:35">
      <c r="A915">
        <v>914</v>
      </c>
      <c r="B915" t="str">
        <f>"603181"</f>
        <v>603181</v>
      </c>
      <c r="C915" t="s">
        <v>5904</v>
      </c>
      <c r="D915" s="4">
        <v>43190</v>
      </c>
      <c r="E915" t="s">
        <v>293</v>
      </c>
      <c r="F915" t="s">
        <v>2785</v>
      </c>
      <c r="G915">
        <v>1959</v>
      </c>
      <c r="H915">
        <v>0.18</v>
      </c>
      <c r="I915">
        <v>6.36</v>
      </c>
      <c r="J915">
        <v>2.7</v>
      </c>
      <c r="K915" t="s">
        <v>137</v>
      </c>
      <c r="L915">
        <v>6.82</v>
      </c>
      <c r="M915" t="s">
        <v>339</v>
      </c>
      <c r="N915" t="s">
        <v>5905</v>
      </c>
      <c r="O915" t="s">
        <v>5906</v>
      </c>
      <c r="P915" t="s">
        <v>4382</v>
      </c>
      <c r="Q915">
        <v>12.48</v>
      </c>
      <c r="R915" t="s">
        <v>3006</v>
      </c>
      <c r="S915">
        <v>2.16</v>
      </c>
      <c r="T915">
        <v>19.59</v>
      </c>
      <c r="U915" t="s">
        <v>76</v>
      </c>
      <c r="V915" t="s">
        <v>821</v>
      </c>
      <c r="W915" t="s">
        <v>2938</v>
      </c>
      <c r="X915">
        <v>2.7</v>
      </c>
      <c r="Y915" t="s">
        <v>1320</v>
      </c>
      <c r="Z915" t="s">
        <v>145</v>
      </c>
      <c r="AA915" t="s">
        <v>5907</v>
      </c>
      <c r="AB915">
        <v>3.38</v>
      </c>
      <c r="AC915" t="s">
        <v>1307</v>
      </c>
      <c r="AD915">
        <v>80.33</v>
      </c>
      <c r="AE915" t="s">
        <v>4279</v>
      </c>
      <c r="AF915">
        <v>3.05</v>
      </c>
      <c r="AG915">
        <v>0</v>
      </c>
      <c r="AH915">
        <v>0</v>
      </c>
      <c r="AI915" s="4">
        <v>42971</v>
      </c>
    </row>
    <row r="916" spans="1:35">
      <c r="A916">
        <v>915</v>
      </c>
      <c r="B916" t="str">
        <f>"601601"</f>
        <v>601601</v>
      </c>
      <c r="C916" t="s">
        <v>5908</v>
      </c>
      <c r="D916" s="4">
        <v>43190</v>
      </c>
      <c r="E916" t="s">
        <v>2020</v>
      </c>
      <c r="F916" t="s">
        <v>2044</v>
      </c>
      <c r="G916" t="s">
        <v>4351</v>
      </c>
      <c r="H916">
        <v>0.41</v>
      </c>
      <c r="I916">
        <v>15.63</v>
      </c>
      <c r="J916">
        <v>2.7</v>
      </c>
      <c r="K916" t="s">
        <v>2403</v>
      </c>
      <c r="L916">
        <v>14.79</v>
      </c>
      <c r="M916" t="s">
        <v>4112</v>
      </c>
      <c r="N916" t="s">
        <v>465</v>
      </c>
      <c r="O916" t="s">
        <v>4112</v>
      </c>
      <c r="P916" t="s">
        <v>1486</v>
      </c>
      <c r="Q916">
        <v>87.55</v>
      </c>
      <c r="R916" t="s">
        <v>2047</v>
      </c>
      <c r="S916">
        <v>5.46</v>
      </c>
      <c r="T916">
        <v>0</v>
      </c>
      <c r="U916" t="s">
        <v>5909</v>
      </c>
      <c r="V916">
        <v>0</v>
      </c>
      <c r="W916" t="s">
        <v>311</v>
      </c>
      <c r="X916">
        <v>2.7</v>
      </c>
      <c r="Y916" t="s">
        <v>5910</v>
      </c>
      <c r="Z916">
        <v>0</v>
      </c>
      <c r="AA916">
        <v>0</v>
      </c>
      <c r="AB916">
        <v>2.33</v>
      </c>
      <c r="AC916" t="s">
        <v>5911</v>
      </c>
      <c r="AD916">
        <v>11.54</v>
      </c>
      <c r="AE916" t="s">
        <v>5912</v>
      </c>
      <c r="AF916">
        <v>7.35</v>
      </c>
      <c r="AG916">
        <v>0</v>
      </c>
      <c r="AH916" t="s">
        <v>1700</v>
      </c>
      <c r="AI916" s="4">
        <v>39441</v>
      </c>
    </row>
    <row r="917" spans="1:35">
      <c r="A917">
        <v>916</v>
      </c>
      <c r="B917" t="str">
        <f>"600997"</f>
        <v>600997</v>
      </c>
      <c r="C917" t="s">
        <v>5913</v>
      </c>
      <c r="D917" s="4">
        <v>43190</v>
      </c>
      <c r="E917" t="s">
        <v>983</v>
      </c>
      <c r="F917" t="s">
        <v>405</v>
      </c>
      <c r="G917" t="s">
        <v>1340</v>
      </c>
      <c r="H917">
        <v>0.16</v>
      </c>
      <c r="I917">
        <v>6.03</v>
      </c>
      <c r="J917">
        <v>2.7</v>
      </c>
      <c r="K917" t="s">
        <v>1050</v>
      </c>
      <c r="L917">
        <v>3.27</v>
      </c>
      <c r="M917" t="s">
        <v>137</v>
      </c>
      <c r="N917" t="s">
        <v>4511</v>
      </c>
      <c r="O917" t="s">
        <v>138</v>
      </c>
      <c r="P917" t="s">
        <v>258</v>
      </c>
      <c r="Q917">
        <v>72.14</v>
      </c>
      <c r="R917" t="s">
        <v>1412</v>
      </c>
      <c r="S917">
        <v>2.64</v>
      </c>
      <c r="T917">
        <v>14.33</v>
      </c>
      <c r="U917" t="s">
        <v>2924</v>
      </c>
      <c r="V917" t="s">
        <v>2758</v>
      </c>
      <c r="W917" t="s">
        <v>716</v>
      </c>
      <c r="X917">
        <v>2.7</v>
      </c>
      <c r="Y917" t="s">
        <v>315</v>
      </c>
      <c r="Z917" t="s">
        <v>1172</v>
      </c>
      <c r="AA917" t="s">
        <v>1443</v>
      </c>
      <c r="AB917">
        <v>0.89</v>
      </c>
      <c r="AC917" t="s">
        <v>3450</v>
      </c>
      <c r="AD917">
        <v>41.49</v>
      </c>
      <c r="AE917" t="s">
        <v>710</v>
      </c>
      <c r="AF917">
        <v>1.62</v>
      </c>
      <c r="AG917">
        <v>0</v>
      </c>
      <c r="AH917">
        <v>0</v>
      </c>
      <c r="AI917" s="4">
        <v>38140</v>
      </c>
    </row>
    <row r="918" spans="1:35">
      <c r="A918">
        <v>917</v>
      </c>
      <c r="B918" t="str">
        <f>"300718"</f>
        <v>300718</v>
      </c>
      <c r="C918" t="s">
        <v>5914</v>
      </c>
      <c r="D918" s="4">
        <v>43190</v>
      </c>
      <c r="E918" t="s">
        <v>148</v>
      </c>
      <c r="F918" t="s">
        <v>5915</v>
      </c>
      <c r="G918">
        <v>1689</v>
      </c>
      <c r="H918">
        <v>0.14000000000000001</v>
      </c>
      <c r="I918">
        <v>5.08</v>
      </c>
      <c r="J918">
        <v>2.7</v>
      </c>
      <c r="K918" t="s">
        <v>319</v>
      </c>
      <c r="L918">
        <v>34.03</v>
      </c>
      <c r="M918" t="s">
        <v>4037</v>
      </c>
      <c r="N918" t="s">
        <v>5916</v>
      </c>
      <c r="O918" t="s">
        <v>5917</v>
      </c>
      <c r="P918" t="s">
        <v>5918</v>
      </c>
      <c r="Q918">
        <v>15.05</v>
      </c>
      <c r="R918" t="s">
        <v>479</v>
      </c>
      <c r="S918">
        <v>1.76</v>
      </c>
      <c r="T918">
        <v>33.32</v>
      </c>
      <c r="U918" t="s">
        <v>354</v>
      </c>
      <c r="V918" t="s">
        <v>1584</v>
      </c>
      <c r="W918" t="s">
        <v>4614</v>
      </c>
      <c r="X918">
        <v>2.7</v>
      </c>
      <c r="Y918" t="s">
        <v>5919</v>
      </c>
      <c r="Z918" t="s">
        <v>5920</v>
      </c>
      <c r="AA918" t="s">
        <v>5921</v>
      </c>
      <c r="AB918">
        <v>3.56</v>
      </c>
      <c r="AC918" t="s">
        <v>919</v>
      </c>
      <c r="AD918">
        <v>91.28</v>
      </c>
      <c r="AE918" t="s">
        <v>44</v>
      </c>
      <c r="AF918">
        <v>2.0699999999999998</v>
      </c>
      <c r="AG918">
        <v>0</v>
      </c>
      <c r="AH918">
        <v>0</v>
      </c>
      <c r="AI918" s="4">
        <v>43045</v>
      </c>
    </row>
    <row r="919" spans="1:35">
      <c r="A919">
        <v>918</v>
      </c>
      <c r="B919" t="str">
        <f>"300384"</f>
        <v>300384</v>
      </c>
      <c r="C919" t="s">
        <v>5922</v>
      </c>
      <c r="D919" s="4">
        <v>43190</v>
      </c>
      <c r="E919" t="s">
        <v>321</v>
      </c>
      <c r="F919" t="s">
        <v>5923</v>
      </c>
      <c r="G919">
        <v>5024</v>
      </c>
      <c r="H919">
        <v>0.26</v>
      </c>
      <c r="I919">
        <v>9.49</v>
      </c>
      <c r="J919">
        <v>2.7</v>
      </c>
      <c r="K919" t="s">
        <v>609</v>
      </c>
      <c r="L919">
        <v>24.3</v>
      </c>
      <c r="M919" t="s">
        <v>5924</v>
      </c>
      <c r="N919" t="s">
        <v>5925</v>
      </c>
      <c r="O919" t="s">
        <v>5926</v>
      </c>
      <c r="P919" t="s">
        <v>5829</v>
      </c>
      <c r="Q919">
        <v>40.549999999999997</v>
      </c>
      <c r="R919" t="s">
        <v>3044</v>
      </c>
      <c r="S919">
        <v>2.3199999999999998</v>
      </c>
      <c r="T919">
        <v>39.630000000000003</v>
      </c>
      <c r="U919" t="s">
        <v>2753</v>
      </c>
      <c r="V919" t="s">
        <v>300</v>
      </c>
      <c r="W919" t="s">
        <v>1860</v>
      </c>
      <c r="X919">
        <v>2.7</v>
      </c>
      <c r="Y919" t="s">
        <v>1012</v>
      </c>
      <c r="Z919" t="s">
        <v>1018</v>
      </c>
      <c r="AA919" t="s">
        <v>5927</v>
      </c>
      <c r="AB919">
        <v>2.95</v>
      </c>
      <c r="AC919" t="s">
        <v>76</v>
      </c>
      <c r="AD919">
        <v>75.650000000000006</v>
      </c>
      <c r="AE919" t="s">
        <v>5928</v>
      </c>
      <c r="AF919">
        <v>5.85</v>
      </c>
      <c r="AG919">
        <v>0</v>
      </c>
      <c r="AH919">
        <v>0</v>
      </c>
      <c r="AI919" s="4">
        <v>41852</v>
      </c>
    </row>
    <row r="920" spans="1:35">
      <c r="A920">
        <v>919</v>
      </c>
      <c r="B920" t="str">
        <f>"002839"</f>
        <v>002839</v>
      </c>
      <c r="C920" t="s">
        <v>5929</v>
      </c>
      <c r="D920" s="4">
        <v>43190</v>
      </c>
      <c r="E920" t="s">
        <v>1455</v>
      </c>
      <c r="F920" t="s">
        <v>5930</v>
      </c>
      <c r="G920">
        <v>6358</v>
      </c>
      <c r="H920">
        <v>0.13</v>
      </c>
      <c r="I920">
        <v>4.6900000000000004</v>
      </c>
      <c r="J920">
        <v>2.7</v>
      </c>
      <c r="K920" t="s">
        <v>1567</v>
      </c>
      <c r="L920">
        <v>5.2</v>
      </c>
      <c r="M920" t="s">
        <v>2889</v>
      </c>
      <c r="N920" t="s">
        <v>5931</v>
      </c>
      <c r="O920" t="s">
        <v>126</v>
      </c>
      <c r="P920" t="s">
        <v>986</v>
      </c>
      <c r="Q920">
        <v>12.12</v>
      </c>
      <c r="R920" t="s">
        <v>848</v>
      </c>
      <c r="S920">
        <v>0.77</v>
      </c>
      <c r="T920">
        <v>0</v>
      </c>
      <c r="U920" t="s">
        <v>5932</v>
      </c>
      <c r="V920">
        <v>0</v>
      </c>
      <c r="W920" t="s">
        <v>1241</v>
      </c>
      <c r="X920">
        <v>2.7</v>
      </c>
      <c r="Y920" t="s">
        <v>5933</v>
      </c>
      <c r="Z920">
        <v>0</v>
      </c>
      <c r="AA920">
        <v>0</v>
      </c>
      <c r="AB920">
        <v>1.27</v>
      </c>
      <c r="AC920" t="s">
        <v>3680</v>
      </c>
      <c r="AD920">
        <v>8.81</v>
      </c>
      <c r="AE920" t="s">
        <v>519</v>
      </c>
      <c r="AF920">
        <v>0.48</v>
      </c>
      <c r="AG920">
        <v>0</v>
      </c>
      <c r="AH920">
        <v>0</v>
      </c>
      <c r="AI920" s="4">
        <v>42759</v>
      </c>
    </row>
    <row r="921" spans="1:35">
      <c r="A921">
        <v>920</v>
      </c>
      <c r="B921" t="str">
        <f>"002557"</f>
        <v>002557</v>
      </c>
      <c r="C921" t="s">
        <v>5934</v>
      </c>
      <c r="D921" s="4">
        <v>43190</v>
      </c>
      <c r="E921" t="s">
        <v>1959</v>
      </c>
      <c r="F921" t="s">
        <v>1959</v>
      </c>
      <c r="G921" t="s">
        <v>495</v>
      </c>
      <c r="H921">
        <v>0.17</v>
      </c>
      <c r="I921">
        <v>5.86</v>
      </c>
      <c r="J921">
        <v>2.7</v>
      </c>
      <c r="K921" t="s">
        <v>978</v>
      </c>
      <c r="L921">
        <v>28.44</v>
      </c>
      <c r="M921" t="s">
        <v>1475</v>
      </c>
      <c r="N921" t="s">
        <v>5935</v>
      </c>
      <c r="O921" t="s">
        <v>256</v>
      </c>
      <c r="P921" t="s">
        <v>5936</v>
      </c>
      <c r="Q921">
        <v>8.82</v>
      </c>
      <c r="R921" t="s">
        <v>2443</v>
      </c>
      <c r="S921">
        <v>1.3</v>
      </c>
      <c r="T921">
        <v>28.93</v>
      </c>
      <c r="U921" t="s">
        <v>1841</v>
      </c>
      <c r="V921" t="s">
        <v>756</v>
      </c>
      <c r="W921" t="s">
        <v>895</v>
      </c>
      <c r="X921">
        <v>2.7</v>
      </c>
      <c r="Y921" t="s">
        <v>1367</v>
      </c>
      <c r="Z921" t="s">
        <v>391</v>
      </c>
      <c r="AA921" t="s">
        <v>5937</v>
      </c>
      <c r="AB921">
        <v>2.62</v>
      </c>
      <c r="AC921" t="s">
        <v>423</v>
      </c>
      <c r="AD921">
        <v>65.61</v>
      </c>
      <c r="AE921" t="s">
        <v>1367</v>
      </c>
      <c r="AF921">
        <v>3.12</v>
      </c>
      <c r="AG921">
        <v>0</v>
      </c>
      <c r="AH921">
        <v>0</v>
      </c>
      <c r="AI921" s="4">
        <v>40604</v>
      </c>
    </row>
    <row r="922" spans="1:35">
      <c r="A922">
        <v>921</v>
      </c>
      <c r="B922" t="str">
        <f>"603599"</f>
        <v>603599</v>
      </c>
      <c r="C922" t="s">
        <v>5938</v>
      </c>
      <c r="D922" s="4">
        <v>43190</v>
      </c>
      <c r="E922" t="s">
        <v>1659</v>
      </c>
      <c r="F922" t="s">
        <v>372</v>
      </c>
      <c r="G922">
        <v>7434</v>
      </c>
      <c r="H922">
        <v>0.24</v>
      </c>
      <c r="I922">
        <v>9.14</v>
      </c>
      <c r="J922">
        <v>2.69</v>
      </c>
      <c r="K922" t="s">
        <v>650</v>
      </c>
      <c r="L922">
        <v>53.11</v>
      </c>
      <c r="M922" t="s">
        <v>595</v>
      </c>
      <c r="N922" t="s">
        <v>5939</v>
      </c>
      <c r="O922" t="s">
        <v>595</v>
      </c>
      <c r="P922" t="s">
        <v>355</v>
      </c>
      <c r="Q922">
        <v>56.56</v>
      </c>
      <c r="R922" t="s">
        <v>173</v>
      </c>
      <c r="S922">
        <v>3.06</v>
      </c>
      <c r="T922">
        <v>33.340000000000003</v>
      </c>
      <c r="U922" t="s">
        <v>2419</v>
      </c>
      <c r="V922" t="s">
        <v>1419</v>
      </c>
      <c r="W922" t="s">
        <v>1223</v>
      </c>
      <c r="X922">
        <v>2.69</v>
      </c>
      <c r="Y922" t="s">
        <v>1384</v>
      </c>
      <c r="Z922" t="s">
        <v>840</v>
      </c>
      <c r="AA922" t="s">
        <v>1119</v>
      </c>
      <c r="AB922">
        <v>1.53</v>
      </c>
      <c r="AC922" t="s">
        <v>2600</v>
      </c>
      <c r="AD922">
        <v>75.03</v>
      </c>
      <c r="AE922" t="s">
        <v>114</v>
      </c>
      <c r="AF922">
        <v>4.6399999999999997</v>
      </c>
      <c r="AG922">
        <v>0</v>
      </c>
      <c r="AH922">
        <v>0</v>
      </c>
      <c r="AI922" s="4">
        <v>42137</v>
      </c>
    </row>
    <row r="923" spans="1:35">
      <c r="A923">
        <v>922</v>
      </c>
      <c r="B923" t="str">
        <f>"601200"</f>
        <v>601200</v>
      </c>
      <c r="C923" t="s">
        <v>5940</v>
      </c>
      <c r="D923" s="4">
        <v>43190</v>
      </c>
      <c r="E923" t="s">
        <v>2778</v>
      </c>
      <c r="F923" t="s">
        <v>675</v>
      </c>
      <c r="G923">
        <v>6312</v>
      </c>
      <c r="H923">
        <v>0.21</v>
      </c>
      <c r="I923">
        <v>7.89</v>
      </c>
      <c r="J923">
        <v>2.69</v>
      </c>
      <c r="K923" t="s">
        <v>2429</v>
      </c>
      <c r="L923">
        <v>10.4</v>
      </c>
      <c r="M923" t="s">
        <v>1597</v>
      </c>
      <c r="N923" t="s">
        <v>5873</v>
      </c>
      <c r="O923" t="s">
        <v>37</v>
      </c>
      <c r="P923" t="s">
        <v>745</v>
      </c>
      <c r="Q923">
        <v>-4.72</v>
      </c>
      <c r="R923" t="s">
        <v>223</v>
      </c>
      <c r="S923">
        <v>3.45</v>
      </c>
      <c r="T923">
        <v>39.869999999999997</v>
      </c>
      <c r="U923" t="s">
        <v>580</v>
      </c>
      <c r="V923" t="s">
        <v>1343</v>
      </c>
      <c r="W923" t="s">
        <v>2551</v>
      </c>
      <c r="X923">
        <v>2.69</v>
      </c>
      <c r="Y923" t="s">
        <v>2287</v>
      </c>
      <c r="Z923" t="s">
        <v>728</v>
      </c>
      <c r="AA923" t="s">
        <v>273</v>
      </c>
      <c r="AB923">
        <v>1.98</v>
      </c>
      <c r="AC923" t="s">
        <v>3380</v>
      </c>
      <c r="AD923">
        <v>45.58</v>
      </c>
      <c r="AE923" t="s">
        <v>865</v>
      </c>
      <c r="AF923">
        <v>3.26</v>
      </c>
      <c r="AG923">
        <v>0</v>
      </c>
      <c r="AH923">
        <v>0</v>
      </c>
      <c r="AI923" s="4">
        <v>42825</v>
      </c>
    </row>
    <row r="924" spans="1:35">
      <c r="A924">
        <v>923</v>
      </c>
      <c r="B924" t="str">
        <f>"600873"</f>
        <v>600873</v>
      </c>
      <c r="C924" t="s">
        <v>5941</v>
      </c>
      <c r="D924" s="4">
        <v>43190</v>
      </c>
      <c r="E924" t="s">
        <v>2064</v>
      </c>
      <c r="F924" t="s">
        <v>2064</v>
      </c>
      <c r="G924" t="s">
        <v>2323</v>
      </c>
      <c r="H924">
        <v>0.08</v>
      </c>
      <c r="I924">
        <v>3.01</v>
      </c>
      <c r="J924">
        <v>2.69</v>
      </c>
      <c r="K924" t="s">
        <v>2535</v>
      </c>
      <c r="L924">
        <v>17.07</v>
      </c>
      <c r="M924" t="s">
        <v>1206</v>
      </c>
      <c r="N924" t="s">
        <v>5942</v>
      </c>
      <c r="O924" t="s">
        <v>296</v>
      </c>
      <c r="P924" t="s">
        <v>2889</v>
      </c>
      <c r="Q924">
        <v>-27.39</v>
      </c>
      <c r="R924" t="s">
        <v>1486</v>
      </c>
      <c r="S924">
        <v>1.21</v>
      </c>
      <c r="T924">
        <v>23.95</v>
      </c>
      <c r="U924" t="s">
        <v>2271</v>
      </c>
      <c r="V924" t="s">
        <v>2447</v>
      </c>
      <c r="W924" t="s">
        <v>1820</v>
      </c>
      <c r="X924">
        <v>2.69</v>
      </c>
      <c r="Y924" t="s">
        <v>760</v>
      </c>
      <c r="Z924" t="s">
        <v>3422</v>
      </c>
      <c r="AA924" t="s">
        <v>1890</v>
      </c>
      <c r="AB924">
        <v>1.39</v>
      </c>
      <c r="AC924" t="s">
        <v>4045</v>
      </c>
      <c r="AD924">
        <v>52.72</v>
      </c>
      <c r="AE924" t="s">
        <v>243</v>
      </c>
      <c r="AF924">
        <v>0.72</v>
      </c>
      <c r="AG924">
        <v>0</v>
      </c>
      <c r="AH924">
        <v>0</v>
      </c>
      <c r="AI924" s="4">
        <v>34747</v>
      </c>
    </row>
    <row r="925" spans="1:35">
      <c r="A925">
        <v>924</v>
      </c>
      <c r="B925" t="str">
        <f>"600623"</f>
        <v>600623</v>
      </c>
      <c r="C925" t="s">
        <v>5943</v>
      </c>
      <c r="D925" s="4">
        <v>43190</v>
      </c>
      <c r="E925" t="s">
        <v>1693</v>
      </c>
      <c r="F925" t="s">
        <v>361</v>
      </c>
      <c r="G925">
        <v>0</v>
      </c>
      <c r="H925">
        <v>0.21</v>
      </c>
      <c r="I925">
        <v>7.97</v>
      </c>
      <c r="J925">
        <v>2.69</v>
      </c>
      <c r="K925" t="s">
        <v>1159</v>
      </c>
      <c r="L925">
        <v>-6.17</v>
      </c>
      <c r="M925" t="s">
        <v>2156</v>
      </c>
      <c r="N925" t="s">
        <v>5944</v>
      </c>
      <c r="O925" t="s">
        <v>2398</v>
      </c>
      <c r="P925" t="s">
        <v>3067</v>
      </c>
      <c r="Q925">
        <v>81.06</v>
      </c>
      <c r="R925" t="s">
        <v>110</v>
      </c>
      <c r="S925">
        <v>2.56</v>
      </c>
      <c r="T925">
        <v>10.94</v>
      </c>
      <c r="U925" t="s">
        <v>5945</v>
      </c>
      <c r="V925" t="s">
        <v>2761</v>
      </c>
      <c r="W925" t="s">
        <v>689</v>
      </c>
      <c r="X925">
        <v>2.69</v>
      </c>
      <c r="Y925" t="s">
        <v>761</v>
      </c>
      <c r="Z925" t="s">
        <v>2545</v>
      </c>
      <c r="AA925" t="s">
        <v>1213</v>
      </c>
      <c r="AB925">
        <v>1.19</v>
      </c>
      <c r="AC925" t="s">
        <v>4411</v>
      </c>
      <c r="AD925">
        <v>43.34</v>
      </c>
      <c r="AE925" t="s">
        <v>574</v>
      </c>
      <c r="AF925">
        <v>4.2699999999999996</v>
      </c>
      <c r="AG925" t="s">
        <v>3674</v>
      </c>
      <c r="AH925">
        <v>0</v>
      </c>
      <c r="AI925" s="4">
        <v>33942</v>
      </c>
    </row>
    <row r="926" spans="1:35">
      <c r="A926">
        <v>925</v>
      </c>
      <c r="B926" t="str">
        <f>"600393"</f>
        <v>600393</v>
      </c>
      <c r="C926" t="s">
        <v>5946</v>
      </c>
      <c r="D926" s="4">
        <v>43190</v>
      </c>
      <c r="E926" t="s">
        <v>2542</v>
      </c>
      <c r="F926" t="s">
        <v>1368</v>
      </c>
      <c r="G926" t="s">
        <v>1036</v>
      </c>
      <c r="H926">
        <v>0.06</v>
      </c>
      <c r="I926">
        <v>2.38</v>
      </c>
      <c r="J926">
        <v>2.69</v>
      </c>
      <c r="K926" t="s">
        <v>3117</v>
      </c>
      <c r="L926">
        <v>-64.77</v>
      </c>
      <c r="M926" t="s">
        <v>95</v>
      </c>
      <c r="N926">
        <v>0</v>
      </c>
      <c r="O926" t="s">
        <v>608</v>
      </c>
      <c r="P926" t="s">
        <v>136</v>
      </c>
      <c r="Q926">
        <v>-77.83</v>
      </c>
      <c r="R926" t="s">
        <v>101</v>
      </c>
      <c r="S926">
        <v>0.51</v>
      </c>
      <c r="T926">
        <v>38.590000000000003</v>
      </c>
      <c r="U926" t="s">
        <v>2761</v>
      </c>
      <c r="V926" t="s">
        <v>2271</v>
      </c>
      <c r="W926" t="s">
        <v>509</v>
      </c>
      <c r="X926">
        <v>2.69</v>
      </c>
      <c r="Y926" t="s">
        <v>932</v>
      </c>
      <c r="Z926" t="s">
        <v>550</v>
      </c>
      <c r="AA926" t="s">
        <v>570</v>
      </c>
      <c r="AB926">
        <v>2.23</v>
      </c>
      <c r="AC926" t="s">
        <v>577</v>
      </c>
      <c r="AD926">
        <v>31.47</v>
      </c>
      <c r="AE926" t="s">
        <v>3356</v>
      </c>
      <c r="AF926">
        <v>0.82</v>
      </c>
      <c r="AG926">
        <v>0</v>
      </c>
      <c r="AH926">
        <v>0</v>
      </c>
      <c r="AI926" s="4">
        <v>36969</v>
      </c>
    </row>
    <row r="927" spans="1:35">
      <c r="A927">
        <v>926</v>
      </c>
      <c r="B927" t="str">
        <f>"300017"</f>
        <v>300017</v>
      </c>
      <c r="C927" t="s">
        <v>5947</v>
      </c>
      <c r="D927" s="4">
        <v>43190</v>
      </c>
      <c r="E927" t="s">
        <v>306</v>
      </c>
      <c r="F927" t="s">
        <v>50</v>
      </c>
      <c r="G927" t="s">
        <v>1763</v>
      </c>
      <c r="H927">
        <v>0.09</v>
      </c>
      <c r="I927">
        <v>3.34</v>
      </c>
      <c r="J927">
        <v>2.69</v>
      </c>
      <c r="K927" t="s">
        <v>391</v>
      </c>
      <c r="L927">
        <v>29.96</v>
      </c>
      <c r="M927" t="s">
        <v>669</v>
      </c>
      <c r="N927" t="s">
        <v>5948</v>
      </c>
      <c r="O927" t="s">
        <v>676</v>
      </c>
      <c r="P927" t="s">
        <v>696</v>
      </c>
      <c r="Q927">
        <v>10.76</v>
      </c>
      <c r="R927" t="s">
        <v>2535</v>
      </c>
      <c r="S927">
        <v>1.29</v>
      </c>
      <c r="T927">
        <v>36.22</v>
      </c>
      <c r="U927" t="s">
        <v>1159</v>
      </c>
      <c r="V927" t="s">
        <v>530</v>
      </c>
      <c r="W927" t="s">
        <v>1569</v>
      </c>
      <c r="X927">
        <v>2.69</v>
      </c>
      <c r="Y927" t="s">
        <v>2515</v>
      </c>
      <c r="Z927" t="s">
        <v>243</v>
      </c>
      <c r="AA927" t="s">
        <v>479</v>
      </c>
      <c r="AB927">
        <v>2.89</v>
      </c>
      <c r="AC927" t="s">
        <v>1514</v>
      </c>
      <c r="AD927">
        <v>75.61</v>
      </c>
      <c r="AE927" t="s">
        <v>865</v>
      </c>
      <c r="AF927">
        <v>0.95</v>
      </c>
      <c r="AG927">
        <v>0</v>
      </c>
      <c r="AH927">
        <v>0</v>
      </c>
      <c r="AI927" s="4">
        <v>40116</v>
      </c>
    </row>
    <row r="928" spans="1:35">
      <c r="A928">
        <v>927</v>
      </c>
      <c r="B928" t="str">
        <f>"002345"</f>
        <v>002345</v>
      </c>
      <c r="C928" t="s">
        <v>5949</v>
      </c>
      <c r="D928" s="4">
        <v>43190</v>
      </c>
      <c r="E928" t="s">
        <v>460</v>
      </c>
      <c r="F928" t="s">
        <v>1415</v>
      </c>
      <c r="G928" t="s">
        <v>5950</v>
      </c>
      <c r="H928">
        <v>0.1</v>
      </c>
      <c r="I928">
        <v>3.79</v>
      </c>
      <c r="J928">
        <v>2.69</v>
      </c>
      <c r="K928" t="s">
        <v>1462</v>
      </c>
      <c r="L928">
        <v>0.79</v>
      </c>
      <c r="M928" t="s">
        <v>443</v>
      </c>
      <c r="N928" t="s">
        <v>5951</v>
      </c>
      <c r="O928" t="s">
        <v>355</v>
      </c>
      <c r="P928" t="s">
        <v>5952</v>
      </c>
      <c r="Q928">
        <v>0.21</v>
      </c>
      <c r="R928" t="s">
        <v>521</v>
      </c>
      <c r="S928">
        <v>1.07</v>
      </c>
      <c r="T928">
        <v>39.69</v>
      </c>
      <c r="U928" t="s">
        <v>2287</v>
      </c>
      <c r="V928" t="s">
        <v>1404</v>
      </c>
      <c r="W928" t="s">
        <v>470</v>
      </c>
      <c r="X928">
        <v>2.69</v>
      </c>
      <c r="Y928" t="s">
        <v>2328</v>
      </c>
      <c r="Z928" t="s">
        <v>4041</v>
      </c>
      <c r="AA928" t="s">
        <v>602</v>
      </c>
      <c r="AB928">
        <v>2.33</v>
      </c>
      <c r="AC928" t="s">
        <v>305</v>
      </c>
      <c r="AD928">
        <v>64.02</v>
      </c>
      <c r="AE928" t="s">
        <v>162</v>
      </c>
      <c r="AF928">
        <v>1.58</v>
      </c>
      <c r="AG928">
        <v>0</v>
      </c>
      <c r="AH928">
        <v>0</v>
      </c>
      <c r="AI928" s="4">
        <v>40206</v>
      </c>
    </row>
    <row r="929" spans="1:35">
      <c r="A929">
        <v>928</v>
      </c>
      <c r="B929" t="str">
        <f>"002025"</f>
        <v>002025</v>
      </c>
      <c r="C929" t="s">
        <v>5953</v>
      </c>
      <c r="D929" s="4">
        <v>43190</v>
      </c>
      <c r="E929" t="s">
        <v>1706</v>
      </c>
      <c r="F929" t="s">
        <v>1706</v>
      </c>
      <c r="G929" t="s">
        <v>3091</v>
      </c>
      <c r="H929">
        <v>0.15</v>
      </c>
      <c r="I929">
        <v>5.69</v>
      </c>
      <c r="J929">
        <v>2.69</v>
      </c>
      <c r="K929" t="s">
        <v>216</v>
      </c>
      <c r="L929">
        <v>-21.29</v>
      </c>
      <c r="M929" t="s">
        <v>5954</v>
      </c>
      <c r="N929">
        <v>0</v>
      </c>
      <c r="O929" t="s">
        <v>5955</v>
      </c>
      <c r="P929" t="s">
        <v>5956</v>
      </c>
      <c r="Q929">
        <v>-7.27</v>
      </c>
      <c r="R929" t="s">
        <v>192</v>
      </c>
      <c r="S929">
        <v>2.72</v>
      </c>
      <c r="T929">
        <v>49.2</v>
      </c>
      <c r="U929" t="s">
        <v>3016</v>
      </c>
      <c r="V929" t="s">
        <v>1314</v>
      </c>
      <c r="W929" t="s">
        <v>1436</v>
      </c>
      <c r="X929">
        <v>2.69</v>
      </c>
      <c r="Y929" t="s">
        <v>908</v>
      </c>
      <c r="Z929" t="s">
        <v>924</v>
      </c>
      <c r="AA929" t="s">
        <v>37</v>
      </c>
      <c r="AB929">
        <v>3.64</v>
      </c>
      <c r="AC929" t="s">
        <v>352</v>
      </c>
      <c r="AD929">
        <v>55.14</v>
      </c>
      <c r="AE929" t="s">
        <v>662</v>
      </c>
      <c r="AF929">
        <v>0.98</v>
      </c>
      <c r="AG929">
        <v>0</v>
      </c>
      <c r="AH929">
        <v>0</v>
      </c>
      <c r="AI929" s="4">
        <v>38194</v>
      </c>
    </row>
    <row r="930" spans="1:35">
      <c r="A930">
        <v>929</v>
      </c>
      <c r="B930" t="str">
        <f>"600557"</f>
        <v>600557</v>
      </c>
      <c r="C930" t="s">
        <v>5957</v>
      </c>
      <c r="D930" s="4">
        <v>43190</v>
      </c>
      <c r="E930" t="s">
        <v>417</v>
      </c>
      <c r="F930" t="s">
        <v>2580</v>
      </c>
      <c r="G930" t="s">
        <v>522</v>
      </c>
      <c r="H930">
        <v>0.15</v>
      </c>
      <c r="I930">
        <v>5.75</v>
      </c>
      <c r="J930">
        <v>2.68</v>
      </c>
      <c r="K930" t="s">
        <v>724</v>
      </c>
      <c r="L930">
        <v>16.46</v>
      </c>
      <c r="M930" t="s">
        <v>355</v>
      </c>
      <c r="N930" t="s">
        <v>5588</v>
      </c>
      <c r="O930" t="s">
        <v>355</v>
      </c>
      <c r="P930" t="s">
        <v>5958</v>
      </c>
      <c r="Q930">
        <v>8.9499999999999993</v>
      </c>
      <c r="R930" t="s">
        <v>514</v>
      </c>
      <c r="S930">
        <v>3.39</v>
      </c>
      <c r="T930">
        <v>75.92</v>
      </c>
      <c r="U930" t="s">
        <v>5850</v>
      </c>
      <c r="V930" t="s">
        <v>370</v>
      </c>
      <c r="W930" t="s">
        <v>1101</v>
      </c>
      <c r="X930">
        <v>2.68</v>
      </c>
      <c r="Y930" t="s">
        <v>747</v>
      </c>
      <c r="Z930" t="s">
        <v>584</v>
      </c>
      <c r="AA930" t="s">
        <v>3985</v>
      </c>
      <c r="AB930">
        <v>2.16</v>
      </c>
      <c r="AC930" t="s">
        <v>1224</v>
      </c>
      <c r="AD930">
        <v>68.290000000000006</v>
      </c>
      <c r="AE930" t="s">
        <v>666</v>
      </c>
      <c r="AF930">
        <v>0.85</v>
      </c>
      <c r="AG930">
        <v>0</v>
      </c>
      <c r="AH930">
        <v>0</v>
      </c>
      <c r="AI930" s="4">
        <v>37517</v>
      </c>
    </row>
    <row r="931" spans="1:35">
      <c r="A931">
        <v>930</v>
      </c>
      <c r="B931" t="str">
        <f>"300473"</f>
        <v>300473</v>
      </c>
      <c r="C931" t="s">
        <v>5959</v>
      </c>
      <c r="D931" s="4">
        <v>43190</v>
      </c>
      <c r="E931" t="s">
        <v>198</v>
      </c>
      <c r="F931" t="s">
        <v>3621</v>
      </c>
      <c r="G931">
        <v>4026</v>
      </c>
      <c r="H931">
        <v>0.43</v>
      </c>
      <c r="I931">
        <v>15.89</v>
      </c>
      <c r="J931">
        <v>2.68</v>
      </c>
      <c r="K931" t="s">
        <v>1047</v>
      </c>
      <c r="L931">
        <v>366.68</v>
      </c>
      <c r="M931" t="s">
        <v>5960</v>
      </c>
      <c r="N931">
        <v>0</v>
      </c>
      <c r="O931" t="s">
        <v>5961</v>
      </c>
      <c r="P931" t="s">
        <v>5962</v>
      </c>
      <c r="Q931">
        <v>51.36</v>
      </c>
      <c r="R931" t="s">
        <v>362</v>
      </c>
      <c r="S931">
        <v>4.26</v>
      </c>
      <c r="T931">
        <v>30.84</v>
      </c>
      <c r="U931" t="s">
        <v>893</v>
      </c>
      <c r="V931" t="s">
        <v>419</v>
      </c>
      <c r="W931" t="s">
        <v>1041</v>
      </c>
      <c r="X931">
        <v>2.68</v>
      </c>
      <c r="Y931" t="s">
        <v>158</v>
      </c>
      <c r="Z931" t="s">
        <v>80</v>
      </c>
      <c r="AA931" t="s">
        <v>405</v>
      </c>
      <c r="AB931">
        <v>2.2400000000000002</v>
      </c>
      <c r="AC931" t="s">
        <v>820</v>
      </c>
      <c r="AD931">
        <v>38.36</v>
      </c>
      <c r="AE931" t="s">
        <v>625</v>
      </c>
      <c r="AF931">
        <v>11.45</v>
      </c>
      <c r="AG931">
        <v>0</v>
      </c>
      <c r="AH931">
        <v>0</v>
      </c>
      <c r="AI931" s="4">
        <v>42167</v>
      </c>
    </row>
    <row r="932" spans="1:35">
      <c r="A932">
        <v>931</v>
      </c>
      <c r="B932" t="str">
        <f>"300244"</f>
        <v>300244</v>
      </c>
      <c r="C932" t="s">
        <v>5963</v>
      </c>
      <c r="D932" s="4">
        <v>43190</v>
      </c>
      <c r="E932" t="s">
        <v>4176</v>
      </c>
      <c r="F932" t="s">
        <v>143</v>
      </c>
      <c r="G932">
        <v>9131</v>
      </c>
      <c r="H932">
        <v>0.11</v>
      </c>
      <c r="I932">
        <v>4.26</v>
      </c>
      <c r="J932">
        <v>2.68</v>
      </c>
      <c r="K932" t="s">
        <v>264</v>
      </c>
      <c r="L932">
        <v>15.81</v>
      </c>
      <c r="M932" t="s">
        <v>1349</v>
      </c>
      <c r="N932" t="s">
        <v>5964</v>
      </c>
      <c r="O932" t="s">
        <v>642</v>
      </c>
      <c r="P932" t="s">
        <v>5965</v>
      </c>
      <c r="Q932">
        <v>12.16</v>
      </c>
      <c r="R932" t="s">
        <v>521</v>
      </c>
      <c r="S932">
        <v>1.9</v>
      </c>
      <c r="T932">
        <v>32.200000000000003</v>
      </c>
      <c r="U932" t="s">
        <v>3147</v>
      </c>
      <c r="V932" t="s">
        <v>638</v>
      </c>
      <c r="W932" t="s">
        <v>523</v>
      </c>
      <c r="X932">
        <v>2.68</v>
      </c>
      <c r="Y932" t="s">
        <v>2197</v>
      </c>
      <c r="Z932" t="s">
        <v>244</v>
      </c>
      <c r="AA932" t="s">
        <v>1284</v>
      </c>
      <c r="AB932">
        <v>4.25</v>
      </c>
      <c r="AC932" t="s">
        <v>826</v>
      </c>
      <c r="AD932">
        <v>32.32</v>
      </c>
      <c r="AE932" t="s">
        <v>5195</v>
      </c>
      <c r="AF932">
        <v>1.28</v>
      </c>
      <c r="AG932">
        <v>0</v>
      </c>
      <c r="AH932">
        <v>0</v>
      </c>
      <c r="AI932" s="4">
        <v>40743</v>
      </c>
    </row>
    <row r="933" spans="1:35">
      <c r="A933">
        <v>932</v>
      </c>
      <c r="B933" t="str">
        <f>"300067"</f>
        <v>300067</v>
      </c>
      <c r="C933" t="s">
        <v>5966</v>
      </c>
      <c r="D933" s="4">
        <v>43190</v>
      </c>
      <c r="E933" t="s">
        <v>1649</v>
      </c>
      <c r="F933" t="s">
        <v>1295</v>
      </c>
      <c r="G933" t="s">
        <v>268</v>
      </c>
      <c r="H933">
        <v>0.06</v>
      </c>
      <c r="I933">
        <v>2.11</v>
      </c>
      <c r="J933">
        <v>2.68</v>
      </c>
      <c r="K933" t="s">
        <v>1789</v>
      </c>
      <c r="L933">
        <v>-9.7799999999999994</v>
      </c>
      <c r="M933" t="s">
        <v>5967</v>
      </c>
      <c r="N933" t="s">
        <v>5255</v>
      </c>
      <c r="O933" t="s">
        <v>5968</v>
      </c>
      <c r="P933" t="s">
        <v>5969</v>
      </c>
      <c r="Q933">
        <v>21.76</v>
      </c>
      <c r="R933" t="s">
        <v>662</v>
      </c>
      <c r="S933">
        <v>0.53</v>
      </c>
      <c r="T933">
        <v>27.5</v>
      </c>
      <c r="U933" t="s">
        <v>187</v>
      </c>
      <c r="V933" t="s">
        <v>323</v>
      </c>
      <c r="W933" t="s">
        <v>4044</v>
      </c>
      <c r="X933">
        <v>2.68</v>
      </c>
      <c r="Y933" t="s">
        <v>258</v>
      </c>
      <c r="Z933" t="s">
        <v>998</v>
      </c>
      <c r="AA933" t="s">
        <v>5970</v>
      </c>
      <c r="AB933">
        <v>2.4700000000000002</v>
      </c>
      <c r="AC933" t="s">
        <v>848</v>
      </c>
      <c r="AD933">
        <v>83.76</v>
      </c>
      <c r="AE933" t="s">
        <v>346</v>
      </c>
      <c r="AF933">
        <v>0.6</v>
      </c>
      <c r="AG933">
        <v>0</v>
      </c>
      <c r="AH933">
        <v>0</v>
      </c>
      <c r="AI933" s="4">
        <v>40289</v>
      </c>
    </row>
    <row r="934" spans="1:35">
      <c r="A934">
        <v>933</v>
      </c>
      <c r="B934" t="str">
        <f>"002756"</f>
        <v>002756</v>
      </c>
      <c r="C934" t="s">
        <v>5971</v>
      </c>
      <c r="D934" s="4">
        <v>43190</v>
      </c>
      <c r="E934" t="s">
        <v>204</v>
      </c>
      <c r="F934" t="s">
        <v>748</v>
      </c>
      <c r="G934">
        <v>8602</v>
      </c>
      <c r="H934">
        <v>0.25</v>
      </c>
      <c r="I934">
        <v>8.6300000000000008</v>
      </c>
      <c r="J934">
        <v>2.68</v>
      </c>
      <c r="K934" t="s">
        <v>973</v>
      </c>
      <c r="L934">
        <v>24.91</v>
      </c>
      <c r="M934" t="s">
        <v>804</v>
      </c>
      <c r="N934" t="s">
        <v>5972</v>
      </c>
      <c r="O934" t="s">
        <v>1459</v>
      </c>
      <c r="P934" t="s">
        <v>5973</v>
      </c>
      <c r="Q934">
        <v>40.950000000000003</v>
      </c>
      <c r="R934" t="s">
        <v>418</v>
      </c>
      <c r="S934">
        <v>4.5999999999999996</v>
      </c>
      <c r="T934">
        <v>15.15</v>
      </c>
      <c r="U934" t="s">
        <v>2694</v>
      </c>
      <c r="V934" t="s">
        <v>1504</v>
      </c>
      <c r="W934" t="s">
        <v>130</v>
      </c>
      <c r="X934">
        <v>2.68</v>
      </c>
      <c r="Y934" t="s">
        <v>1938</v>
      </c>
      <c r="Z934" t="s">
        <v>2089</v>
      </c>
      <c r="AA934" t="s">
        <v>5974</v>
      </c>
      <c r="AB934">
        <v>2.11</v>
      </c>
      <c r="AC934" t="s">
        <v>1175</v>
      </c>
      <c r="AD934">
        <v>82.08</v>
      </c>
      <c r="AE934" t="s">
        <v>2139</v>
      </c>
      <c r="AF934">
        <v>2.29</v>
      </c>
      <c r="AG934">
        <v>0</v>
      </c>
      <c r="AH934">
        <v>0</v>
      </c>
      <c r="AI934" s="4">
        <v>42139</v>
      </c>
    </row>
    <row r="935" spans="1:35">
      <c r="A935">
        <v>934</v>
      </c>
      <c r="B935" t="str">
        <f>"603609"</f>
        <v>603609</v>
      </c>
      <c r="C935" t="s">
        <v>5975</v>
      </c>
      <c r="D935" s="4">
        <v>43190</v>
      </c>
      <c r="E935" t="s">
        <v>3312</v>
      </c>
      <c r="F935" t="s">
        <v>3312</v>
      </c>
      <c r="G935" t="s">
        <v>5442</v>
      </c>
      <c r="H935">
        <v>0.11</v>
      </c>
      <c r="I935">
        <v>4.09</v>
      </c>
      <c r="J935">
        <v>2.67</v>
      </c>
      <c r="K935" t="s">
        <v>1285</v>
      </c>
      <c r="L935">
        <v>16.309999999999999</v>
      </c>
      <c r="M935" t="s">
        <v>804</v>
      </c>
      <c r="N935" t="s">
        <v>5976</v>
      </c>
      <c r="O935" t="s">
        <v>256</v>
      </c>
      <c r="P935" t="s">
        <v>5973</v>
      </c>
      <c r="Q935">
        <v>30.4</v>
      </c>
      <c r="R935" t="s">
        <v>276</v>
      </c>
      <c r="S935">
        <v>2.69</v>
      </c>
      <c r="T935">
        <v>9.3800000000000008</v>
      </c>
      <c r="U935" t="s">
        <v>1087</v>
      </c>
      <c r="V935" t="s">
        <v>313</v>
      </c>
      <c r="W935" t="s">
        <v>833</v>
      </c>
      <c r="X935">
        <v>2.67</v>
      </c>
      <c r="Y935" t="s">
        <v>1504</v>
      </c>
      <c r="Z935" t="s">
        <v>981</v>
      </c>
      <c r="AA935" t="s">
        <v>4419</v>
      </c>
      <c r="AB935">
        <v>2.2000000000000002</v>
      </c>
      <c r="AC935" t="s">
        <v>312</v>
      </c>
      <c r="AD935">
        <v>54.31</v>
      </c>
      <c r="AE935" t="s">
        <v>1119</v>
      </c>
      <c r="AF935">
        <v>0.12</v>
      </c>
      <c r="AG935">
        <v>0</v>
      </c>
      <c r="AH935">
        <v>0</v>
      </c>
      <c r="AI935" s="4">
        <v>41859</v>
      </c>
    </row>
    <row r="936" spans="1:35">
      <c r="A936">
        <v>935</v>
      </c>
      <c r="B936" t="str">
        <f>"600856"</f>
        <v>600856</v>
      </c>
      <c r="C936" t="s">
        <v>5977</v>
      </c>
      <c r="D936" s="4">
        <v>43190</v>
      </c>
      <c r="E936" t="s">
        <v>971</v>
      </c>
      <c r="F936" t="s">
        <v>835</v>
      </c>
      <c r="G936" t="s">
        <v>5978</v>
      </c>
      <c r="H936">
        <v>0.1</v>
      </c>
      <c r="I936">
        <v>3.63</v>
      </c>
      <c r="J936">
        <v>2.67</v>
      </c>
      <c r="K936" t="s">
        <v>76</v>
      </c>
      <c r="L936">
        <v>-0.25</v>
      </c>
      <c r="M936" t="s">
        <v>126</v>
      </c>
      <c r="N936" t="s">
        <v>5979</v>
      </c>
      <c r="O936" t="s">
        <v>1905</v>
      </c>
      <c r="P936" t="s">
        <v>45</v>
      </c>
      <c r="Q936">
        <v>-3.75</v>
      </c>
      <c r="R936" t="s">
        <v>1062</v>
      </c>
      <c r="S936">
        <v>1.19</v>
      </c>
      <c r="T936">
        <v>25.48</v>
      </c>
      <c r="U936" t="s">
        <v>2050</v>
      </c>
      <c r="V936" t="s">
        <v>3578</v>
      </c>
      <c r="W936" t="s">
        <v>3312</v>
      </c>
      <c r="X936">
        <v>2.67</v>
      </c>
      <c r="Y936" t="s">
        <v>5980</v>
      </c>
      <c r="Z936" t="s">
        <v>2396</v>
      </c>
      <c r="AA936" t="s">
        <v>2245</v>
      </c>
      <c r="AB936">
        <v>2.0499999999999998</v>
      </c>
      <c r="AC936" t="s">
        <v>952</v>
      </c>
      <c r="AD936">
        <v>29.71</v>
      </c>
      <c r="AE936" t="s">
        <v>700</v>
      </c>
      <c r="AF936">
        <v>2.0499999999999998</v>
      </c>
      <c r="AG936">
        <v>0</v>
      </c>
      <c r="AH936">
        <v>0</v>
      </c>
      <c r="AI936" s="4">
        <v>34449</v>
      </c>
    </row>
    <row r="937" spans="1:35">
      <c r="A937">
        <v>936</v>
      </c>
      <c r="B937" t="str">
        <f>"300522"</f>
        <v>300522</v>
      </c>
      <c r="C937" t="s">
        <v>5981</v>
      </c>
      <c r="D937" s="4">
        <v>43190</v>
      </c>
      <c r="E937" t="s">
        <v>280</v>
      </c>
      <c r="F937" t="s">
        <v>5982</v>
      </c>
      <c r="G937">
        <v>3338</v>
      </c>
      <c r="H937">
        <v>0.13</v>
      </c>
      <c r="I937">
        <v>4.84</v>
      </c>
      <c r="J937">
        <v>2.67</v>
      </c>
      <c r="K937" t="s">
        <v>4068</v>
      </c>
      <c r="L937">
        <v>16.260000000000002</v>
      </c>
      <c r="M937" t="s">
        <v>5983</v>
      </c>
      <c r="N937" t="s">
        <v>5984</v>
      </c>
      <c r="O937" t="s">
        <v>5983</v>
      </c>
      <c r="P937" t="s">
        <v>5985</v>
      </c>
      <c r="Q937">
        <v>25.63</v>
      </c>
      <c r="R937" t="s">
        <v>1004</v>
      </c>
      <c r="S937">
        <v>1.64</v>
      </c>
      <c r="T937">
        <v>45.61</v>
      </c>
      <c r="U937" t="s">
        <v>2921</v>
      </c>
      <c r="V937" t="s">
        <v>645</v>
      </c>
      <c r="W937" t="s">
        <v>84</v>
      </c>
      <c r="X937">
        <v>2.67</v>
      </c>
      <c r="Y937" t="s">
        <v>5986</v>
      </c>
      <c r="Z937" t="s">
        <v>4688</v>
      </c>
      <c r="AA937" t="s">
        <v>5987</v>
      </c>
      <c r="AB937">
        <v>5.56</v>
      </c>
      <c r="AC937" t="s">
        <v>2063</v>
      </c>
      <c r="AD937">
        <v>92.28</v>
      </c>
      <c r="AE937" t="s">
        <v>4614</v>
      </c>
      <c r="AF937">
        <v>1.93</v>
      </c>
      <c r="AG937">
        <v>0</v>
      </c>
      <c r="AH937">
        <v>0</v>
      </c>
      <c r="AI937" s="4">
        <v>42556</v>
      </c>
    </row>
    <row r="938" spans="1:35">
      <c r="A938">
        <v>937</v>
      </c>
      <c r="B938" t="str">
        <f>"002447"</f>
        <v>002447</v>
      </c>
      <c r="C938" t="s">
        <v>5988</v>
      </c>
      <c r="D938" s="4">
        <v>43190</v>
      </c>
      <c r="E938" t="s">
        <v>162</v>
      </c>
      <c r="F938" t="s">
        <v>973</v>
      </c>
      <c r="G938" t="s">
        <v>4294</v>
      </c>
      <c r="H938">
        <v>0.05</v>
      </c>
      <c r="I938">
        <v>1.51</v>
      </c>
      <c r="J938">
        <v>2.67</v>
      </c>
      <c r="K938" t="s">
        <v>845</v>
      </c>
      <c r="L938">
        <v>191.73</v>
      </c>
      <c r="M938" t="s">
        <v>5989</v>
      </c>
      <c r="N938" t="s">
        <v>5071</v>
      </c>
      <c r="O938" t="s">
        <v>5989</v>
      </c>
      <c r="P938" t="s">
        <v>4195</v>
      </c>
      <c r="Q938">
        <v>559.99</v>
      </c>
      <c r="R938" t="s">
        <v>2853</v>
      </c>
      <c r="S938">
        <v>0.49</v>
      </c>
      <c r="T938">
        <v>73.05</v>
      </c>
      <c r="U938" t="s">
        <v>1700</v>
      </c>
      <c r="V938" t="s">
        <v>1019</v>
      </c>
      <c r="W938" t="s">
        <v>750</v>
      </c>
      <c r="X938">
        <v>2.67</v>
      </c>
      <c r="Y938" t="s">
        <v>1567</v>
      </c>
      <c r="Z938" t="s">
        <v>2792</v>
      </c>
      <c r="AA938" t="s">
        <v>845</v>
      </c>
      <c r="AB938">
        <v>3.3</v>
      </c>
      <c r="AC938" t="s">
        <v>449</v>
      </c>
      <c r="AD938">
        <v>77.239999999999995</v>
      </c>
      <c r="AE938">
        <v>0</v>
      </c>
      <c r="AF938">
        <v>0</v>
      </c>
      <c r="AG938">
        <v>0</v>
      </c>
      <c r="AH938">
        <v>0</v>
      </c>
      <c r="AI938" s="4">
        <v>40372</v>
      </c>
    </row>
    <row r="939" spans="1:35">
      <c r="A939">
        <v>938</v>
      </c>
      <c r="B939" t="str">
        <f>"000617"</f>
        <v>000617</v>
      </c>
      <c r="C939" t="s">
        <v>5990</v>
      </c>
      <c r="D939" s="4">
        <v>43190</v>
      </c>
      <c r="E939" t="s">
        <v>3381</v>
      </c>
      <c r="F939" t="s">
        <v>188</v>
      </c>
      <c r="G939" t="s">
        <v>5991</v>
      </c>
      <c r="H939">
        <v>0.21</v>
      </c>
      <c r="I939">
        <v>8.11</v>
      </c>
      <c r="J939">
        <v>2.67</v>
      </c>
      <c r="K939" t="s">
        <v>5658</v>
      </c>
      <c r="L939">
        <v>20.37</v>
      </c>
      <c r="M939" t="s">
        <v>2267</v>
      </c>
      <c r="N939" t="s">
        <v>2490</v>
      </c>
      <c r="O939" t="s">
        <v>2267</v>
      </c>
      <c r="P939" t="s">
        <v>2328</v>
      </c>
      <c r="Q939">
        <v>34.15</v>
      </c>
      <c r="R939" t="s">
        <v>764</v>
      </c>
      <c r="S939">
        <v>1.71</v>
      </c>
      <c r="T939">
        <v>24.14</v>
      </c>
      <c r="U939" t="s">
        <v>5992</v>
      </c>
      <c r="V939" t="s">
        <v>5993</v>
      </c>
      <c r="W939" t="s">
        <v>2632</v>
      </c>
      <c r="X939">
        <v>2.67</v>
      </c>
      <c r="Y939" t="s">
        <v>5994</v>
      </c>
      <c r="Z939" t="s">
        <v>5995</v>
      </c>
      <c r="AA939" t="s">
        <v>4227</v>
      </c>
      <c r="AB939">
        <v>1.32</v>
      </c>
      <c r="AC939" t="s">
        <v>896</v>
      </c>
      <c r="AD939">
        <v>8.9</v>
      </c>
      <c r="AE939" t="s">
        <v>1271</v>
      </c>
      <c r="AF939">
        <v>4.29</v>
      </c>
      <c r="AG939">
        <v>0</v>
      </c>
      <c r="AH939">
        <v>0</v>
      </c>
      <c r="AI939" s="4">
        <v>35360</v>
      </c>
    </row>
    <row r="940" spans="1:35">
      <c r="A940">
        <v>939</v>
      </c>
      <c r="B940" t="str">
        <f>"600771"</f>
        <v>600771</v>
      </c>
      <c r="C940" t="s">
        <v>5996</v>
      </c>
      <c r="D940" s="4">
        <v>43190</v>
      </c>
      <c r="E940" t="s">
        <v>1001</v>
      </c>
      <c r="F940" t="s">
        <v>1666</v>
      </c>
      <c r="G940" t="s">
        <v>2312</v>
      </c>
      <c r="H940">
        <v>0.15</v>
      </c>
      <c r="I940">
        <v>5.57</v>
      </c>
      <c r="J940">
        <v>2.66</v>
      </c>
      <c r="K940" t="s">
        <v>205</v>
      </c>
      <c r="L940">
        <v>45.6</v>
      </c>
      <c r="M940" t="s">
        <v>5997</v>
      </c>
      <c r="N940" t="s">
        <v>1286</v>
      </c>
      <c r="O940" t="s">
        <v>2482</v>
      </c>
      <c r="P940" t="s">
        <v>5819</v>
      </c>
      <c r="Q940">
        <v>112.96</v>
      </c>
      <c r="R940" t="s">
        <v>5998</v>
      </c>
      <c r="S940">
        <v>-0.48</v>
      </c>
      <c r="T940">
        <v>82.56</v>
      </c>
      <c r="U940" t="s">
        <v>1943</v>
      </c>
      <c r="V940" t="s">
        <v>1101</v>
      </c>
      <c r="W940" t="s">
        <v>5999</v>
      </c>
      <c r="X940">
        <v>2.66</v>
      </c>
      <c r="Y940" t="s">
        <v>1481</v>
      </c>
      <c r="Z940" t="s">
        <v>348</v>
      </c>
      <c r="AA940" t="s">
        <v>6000</v>
      </c>
      <c r="AB940">
        <v>9.24</v>
      </c>
      <c r="AC940" t="s">
        <v>1284</v>
      </c>
      <c r="AD940">
        <v>77.709999999999994</v>
      </c>
      <c r="AE940" t="s">
        <v>1343</v>
      </c>
      <c r="AF940">
        <v>4.97</v>
      </c>
      <c r="AG940">
        <v>0</v>
      </c>
      <c r="AH940">
        <v>0</v>
      </c>
      <c r="AI940" s="4">
        <v>35374</v>
      </c>
    </row>
    <row r="941" spans="1:35">
      <c r="A941">
        <v>940</v>
      </c>
      <c r="B941" t="str">
        <f>"600383"</f>
        <v>600383</v>
      </c>
      <c r="C941" t="s">
        <v>6001</v>
      </c>
      <c r="D941" s="4">
        <v>43190</v>
      </c>
      <c r="E941" t="s">
        <v>3125</v>
      </c>
      <c r="F941" t="s">
        <v>3125</v>
      </c>
      <c r="G941" t="s">
        <v>6002</v>
      </c>
      <c r="H941">
        <v>0.24</v>
      </c>
      <c r="I941">
        <v>9.18</v>
      </c>
      <c r="J941">
        <v>2.66</v>
      </c>
      <c r="K941" t="s">
        <v>951</v>
      </c>
      <c r="L941">
        <v>18.03</v>
      </c>
      <c r="M941" t="s">
        <v>538</v>
      </c>
      <c r="N941" t="s">
        <v>3111</v>
      </c>
      <c r="O941" t="s">
        <v>1384</v>
      </c>
      <c r="P941" t="s">
        <v>1223</v>
      </c>
      <c r="Q941">
        <v>25.73</v>
      </c>
      <c r="R941" t="s">
        <v>1983</v>
      </c>
      <c r="S941">
        <v>6.95</v>
      </c>
      <c r="T941">
        <v>34.200000000000003</v>
      </c>
      <c r="U941" t="s">
        <v>6003</v>
      </c>
      <c r="V941" t="s">
        <v>6004</v>
      </c>
      <c r="W941" t="s">
        <v>323</v>
      </c>
      <c r="X941">
        <v>2.66</v>
      </c>
      <c r="Y941" t="s">
        <v>6005</v>
      </c>
      <c r="Z941" t="s">
        <v>6006</v>
      </c>
      <c r="AA941" t="s">
        <v>3311</v>
      </c>
      <c r="AB941">
        <v>1.18</v>
      </c>
      <c r="AC941" t="s">
        <v>6007</v>
      </c>
      <c r="AD941">
        <v>18.47</v>
      </c>
      <c r="AE941" t="s">
        <v>1396</v>
      </c>
      <c r="AF941">
        <v>0.72</v>
      </c>
      <c r="AG941">
        <v>0</v>
      </c>
      <c r="AH941">
        <v>0</v>
      </c>
      <c r="AI941" s="4">
        <v>36993</v>
      </c>
    </row>
    <row r="942" spans="1:35">
      <c r="A942">
        <v>941</v>
      </c>
      <c r="B942" t="str">
        <f>"600335"</f>
        <v>600335</v>
      </c>
      <c r="C942" t="s">
        <v>6008</v>
      </c>
      <c r="D942" s="4">
        <v>43190</v>
      </c>
      <c r="E942" t="s">
        <v>978</v>
      </c>
      <c r="F942" t="s">
        <v>978</v>
      </c>
      <c r="G942" t="s">
        <v>4047</v>
      </c>
      <c r="H942">
        <v>0.2</v>
      </c>
      <c r="I942">
        <v>7.49</v>
      </c>
      <c r="J942">
        <v>2.66</v>
      </c>
      <c r="K942" t="s">
        <v>716</v>
      </c>
      <c r="L942">
        <v>-22.78</v>
      </c>
      <c r="M942" t="s">
        <v>1245</v>
      </c>
      <c r="N942" t="s">
        <v>6009</v>
      </c>
      <c r="O942" t="s">
        <v>470</v>
      </c>
      <c r="P942" t="s">
        <v>1853</v>
      </c>
      <c r="Q942">
        <v>23.61</v>
      </c>
      <c r="R942" t="s">
        <v>1031</v>
      </c>
      <c r="S942">
        <v>3.88</v>
      </c>
      <c r="T942">
        <v>7.4</v>
      </c>
      <c r="U942" t="s">
        <v>3500</v>
      </c>
      <c r="V942" t="s">
        <v>786</v>
      </c>
      <c r="W942" t="s">
        <v>1792</v>
      </c>
      <c r="X942">
        <v>2.66</v>
      </c>
      <c r="Y942" t="s">
        <v>2545</v>
      </c>
      <c r="Z942" t="s">
        <v>1741</v>
      </c>
      <c r="AA942" t="s">
        <v>242</v>
      </c>
      <c r="AB942">
        <v>1.41</v>
      </c>
      <c r="AC942" t="s">
        <v>2013</v>
      </c>
      <c r="AD942">
        <v>30.87</v>
      </c>
      <c r="AE942" t="s">
        <v>578</v>
      </c>
      <c r="AF942">
        <v>2.2000000000000002</v>
      </c>
      <c r="AG942">
        <v>0</v>
      </c>
      <c r="AH942">
        <v>0</v>
      </c>
      <c r="AI942" s="4">
        <v>36955</v>
      </c>
    </row>
    <row r="943" spans="1:35">
      <c r="A943">
        <v>942</v>
      </c>
      <c r="B943" t="str">
        <f>"300623"</f>
        <v>300623</v>
      </c>
      <c r="C943" t="s">
        <v>6010</v>
      </c>
      <c r="D943" s="4">
        <v>43190</v>
      </c>
      <c r="E943" t="s">
        <v>1839</v>
      </c>
      <c r="F943" t="s">
        <v>6011</v>
      </c>
      <c r="G943">
        <v>2493</v>
      </c>
      <c r="H943">
        <v>0.19</v>
      </c>
      <c r="I943">
        <v>6.92</v>
      </c>
      <c r="J943">
        <v>2.66</v>
      </c>
      <c r="K943" t="s">
        <v>280</v>
      </c>
      <c r="L943">
        <v>28.01</v>
      </c>
      <c r="M943" t="s">
        <v>6012</v>
      </c>
      <c r="N943" t="s">
        <v>5473</v>
      </c>
      <c r="O943" t="s">
        <v>6013</v>
      </c>
      <c r="P943" t="s">
        <v>6014</v>
      </c>
      <c r="Q943">
        <v>7.1</v>
      </c>
      <c r="R943" t="s">
        <v>185</v>
      </c>
      <c r="S943">
        <v>1.89</v>
      </c>
      <c r="T943">
        <v>48.22</v>
      </c>
      <c r="U943" t="s">
        <v>624</v>
      </c>
      <c r="V943" t="s">
        <v>3290</v>
      </c>
      <c r="W943" t="s">
        <v>2098</v>
      </c>
      <c r="X943">
        <v>2.66</v>
      </c>
      <c r="Y943" t="s">
        <v>595</v>
      </c>
      <c r="Z943" t="s">
        <v>1626</v>
      </c>
      <c r="AA943" t="s">
        <v>6015</v>
      </c>
      <c r="AB943">
        <v>4.88</v>
      </c>
      <c r="AC943" t="s">
        <v>300</v>
      </c>
      <c r="AD943">
        <v>90.35</v>
      </c>
      <c r="AE943" t="s">
        <v>2264</v>
      </c>
      <c r="AF943">
        <v>3.9</v>
      </c>
      <c r="AG943">
        <v>0</v>
      </c>
      <c r="AH943">
        <v>0</v>
      </c>
      <c r="AI943" s="4">
        <v>42808</v>
      </c>
    </row>
    <row r="944" spans="1:35">
      <c r="A944">
        <v>943</v>
      </c>
      <c r="B944" t="str">
        <f>"300600"</f>
        <v>300600</v>
      </c>
      <c r="C944" t="s">
        <v>6016</v>
      </c>
      <c r="D944" s="4">
        <v>43190</v>
      </c>
      <c r="E944" t="s">
        <v>2307</v>
      </c>
      <c r="F944" t="s">
        <v>1071</v>
      </c>
      <c r="G944">
        <v>4442</v>
      </c>
      <c r="H944">
        <v>0.24</v>
      </c>
      <c r="I944">
        <v>9.11</v>
      </c>
      <c r="J944">
        <v>2.66</v>
      </c>
      <c r="K944" t="s">
        <v>6017</v>
      </c>
      <c r="L944">
        <v>-17.37</v>
      </c>
      <c r="M944" t="s">
        <v>6018</v>
      </c>
      <c r="N944">
        <v>0</v>
      </c>
      <c r="O944" t="s">
        <v>6019</v>
      </c>
      <c r="P944" t="s">
        <v>6020</v>
      </c>
      <c r="Q944">
        <v>-17.93</v>
      </c>
      <c r="R944" t="s">
        <v>479</v>
      </c>
      <c r="S944">
        <v>3.85</v>
      </c>
      <c r="T944">
        <v>47.78</v>
      </c>
      <c r="U944" t="s">
        <v>295</v>
      </c>
      <c r="V944" t="s">
        <v>2149</v>
      </c>
      <c r="W944" t="s">
        <v>290</v>
      </c>
      <c r="X944">
        <v>2.66</v>
      </c>
      <c r="Y944" t="s">
        <v>136</v>
      </c>
      <c r="Z944" t="s">
        <v>1689</v>
      </c>
      <c r="AA944" t="s">
        <v>6021</v>
      </c>
      <c r="AB944">
        <v>3.86</v>
      </c>
      <c r="AC944" t="s">
        <v>1833</v>
      </c>
      <c r="AD944">
        <v>84.98</v>
      </c>
      <c r="AE944" t="s">
        <v>3259</v>
      </c>
      <c r="AF944">
        <v>3.81</v>
      </c>
      <c r="AG944">
        <v>0</v>
      </c>
      <c r="AH944">
        <v>0</v>
      </c>
      <c r="AI944" s="4">
        <v>42760</v>
      </c>
    </row>
    <row r="945" spans="1:35">
      <c r="A945">
        <v>944</v>
      </c>
      <c r="B945" t="str">
        <f>"002793"</f>
        <v>002793</v>
      </c>
      <c r="C945" t="s">
        <v>6022</v>
      </c>
      <c r="D945" s="4">
        <v>43190</v>
      </c>
      <c r="E945" t="s">
        <v>293</v>
      </c>
      <c r="F945" t="s">
        <v>6023</v>
      </c>
      <c r="G945">
        <v>3412</v>
      </c>
      <c r="H945">
        <v>0.1</v>
      </c>
      <c r="I945">
        <v>3.77</v>
      </c>
      <c r="J945">
        <v>2.66</v>
      </c>
      <c r="K945" t="s">
        <v>1624</v>
      </c>
      <c r="L945">
        <v>3.11</v>
      </c>
      <c r="M945" t="s">
        <v>6024</v>
      </c>
      <c r="N945" t="s">
        <v>6025</v>
      </c>
      <c r="O945" t="s">
        <v>6026</v>
      </c>
      <c r="P945" t="s">
        <v>6027</v>
      </c>
      <c r="Q945">
        <v>-18.23</v>
      </c>
      <c r="R945" t="s">
        <v>36</v>
      </c>
      <c r="S945">
        <v>1.48</v>
      </c>
      <c r="T945">
        <v>28.09</v>
      </c>
      <c r="U945" t="s">
        <v>5880</v>
      </c>
      <c r="V945" t="s">
        <v>3321</v>
      </c>
      <c r="W945" t="s">
        <v>1853</v>
      </c>
      <c r="X945">
        <v>2.66</v>
      </c>
      <c r="Y945" t="s">
        <v>1974</v>
      </c>
      <c r="Z945" t="s">
        <v>1370</v>
      </c>
      <c r="AA945" t="s">
        <v>6028</v>
      </c>
      <c r="AB945">
        <v>3.5</v>
      </c>
      <c r="AC945" t="s">
        <v>4306</v>
      </c>
      <c r="AD945">
        <v>84.33</v>
      </c>
      <c r="AE945" t="s">
        <v>118</v>
      </c>
      <c r="AF945">
        <v>1.05</v>
      </c>
      <c r="AG945">
        <v>0</v>
      </c>
      <c r="AH945">
        <v>0</v>
      </c>
      <c r="AI945" s="4">
        <v>42475</v>
      </c>
    </row>
    <row r="946" spans="1:35">
      <c r="A946">
        <v>945</v>
      </c>
      <c r="B946" t="str">
        <f>"002407"</f>
        <v>002407</v>
      </c>
      <c r="C946" t="s">
        <v>6029</v>
      </c>
      <c r="D946" s="4">
        <v>43190</v>
      </c>
      <c r="E946" t="s">
        <v>359</v>
      </c>
      <c r="F946" t="s">
        <v>318</v>
      </c>
      <c r="G946">
        <v>3423</v>
      </c>
      <c r="H946">
        <v>0.12</v>
      </c>
      <c r="I946">
        <v>4.3</v>
      </c>
      <c r="J946">
        <v>2.66</v>
      </c>
      <c r="K946" t="s">
        <v>1341</v>
      </c>
      <c r="L946">
        <v>27.21</v>
      </c>
      <c r="M946" t="s">
        <v>1626</v>
      </c>
      <c r="N946">
        <v>8021</v>
      </c>
      <c r="O946" t="s">
        <v>642</v>
      </c>
      <c r="P946" t="s">
        <v>6030</v>
      </c>
      <c r="Q946">
        <v>10.130000000000001</v>
      </c>
      <c r="R946" t="s">
        <v>102</v>
      </c>
      <c r="S946">
        <v>1.1399999999999999</v>
      </c>
      <c r="T946">
        <v>33.39</v>
      </c>
      <c r="U946" t="s">
        <v>2832</v>
      </c>
      <c r="V946" t="s">
        <v>1601</v>
      </c>
      <c r="W946" t="s">
        <v>1244</v>
      </c>
      <c r="X946">
        <v>2.66</v>
      </c>
      <c r="Y946" t="s">
        <v>3303</v>
      </c>
      <c r="Z946" t="s">
        <v>1054</v>
      </c>
      <c r="AA946" t="s">
        <v>3312</v>
      </c>
      <c r="AB946">
        <v>3.17</v>
      </c>
      <c r="AC946" t="s">
        <v>1546</v>
      </c>
      <c r="AD946">
        <v>39.630000000000003</v>
      </c>
      <c r="AE946" t="s">
        <v>391</v>
      </c>
      <c r="AF946">
        <v>2.36</v>
      </c>
      <c r="AG946">
        <v>0</v>
      </c>
      <c r="AH946">
        <v>0</v>
      </c>
      <c r="AI946" s="4">
        <v>40316</v>
      </c>
    </row>
    <row r="947" spans="1:35">
      <c r="A947">
        <v>946</v>
      </c>
      <c r="B947" t="str">
        <f>"000552"</f>
        <v>000552</v>
      </c>
      <c r="C947" t="s">
        <v>6031</v>
      </c>
      <c r="D947" s="4">
        <v>43190</v>
      </c>
      <c r="E947" t="s">
        <v>865</v>
      </c>
      <c r="F947" t="s">
        <v>1792</v>
      </c>
      <c r="G947" t="s">
        <v>2623</v>
      </c>
      <c r="H947">
        <v>0.08</v>
      </c>
      <c r="I947">
        <v>3.02</v>
      </c>
      <c r="J947">
        <v>2.66</v>
      </c>
      <c r="K947" t="s">
        <v>1033</v>
      </c>
      <c r="L947">
        <v>9.42</v>
      </c>
      <c r="M947" t="s">
        <v>912</v>
      </c>
      <c r="N947">
        <v>0</v>
      </c>
      <c r="O947" t="s">
        <v>912</v>
      </c>
      <c r="P947" t="s">
        <v>383</v>
      </c>
      <c r="Q947">
        <v>60.17</v>
      </c>
      <c r="R947" t="s">
        <v>865</v>
      </c>
      <c r="S947">
        <v>0.9</v>
      </c>
      <c r="T947">
        <v>28.13</v>
      </c>
      <c r="U947" t="s">
        <v>4717</v>
      </c>
      <c r="V947" t="s">
        <v>780</v>
      </c>
      <c r="W947" t="s">
        <v>1345</v>
      </c>
      <c r="X947">
        <v>2.66</v>
      </c>
      <c r="Y947" t="s">
        <v>700</v>
      </c>
      <c r="Z947" t="s">
        <v>1943</v>
      </c>
      <c r="AA947" t="s">
        <v>81</v>
      </c>
      <c r="AB947">
        <v>1.04</v>
      </c>
      <c r="AC947" t="s">
        <v>4513</v>
      </c>
      <c r="AD947">
        <v>71.78</v>
      </c>
      <c r="AE947" t="s">
        <v>980</v>
      </c>
      <c r="AF947">
        <v>0.81</v>
      </c>
      <c r="AG947">
        <v>0</v>
      </c>
      <c r="AH947">
        <v>0</v>
      </c>
      <c r="AI947" s="4">
        <v>34340</v>
      </c>
    </row>
    <row r="948" spans="1:35">
      <c r="A948">
        <v>947</v>
      </c>
      <c r="B948" t="str">
        <f>"600299"</f>
        <v>600299</v>
      </c>
      <c r="C948" t="s">
        <v>6032</v>
      </c>
      <c r="D948" s="4">
        <v>43190</v>
      </c>
      <c r="E948" t="s">
        <v>2100</v>
      </c>
      <c r="F948" t="s">
        <v>2450</v>
      </c>
      <c r="G948" t="s">
        <v>5588</v>
      </c>
      <c r="H948">
        <v>0.13</v>
      </c>
      <c r="I948">
        <v>4.83</v>
      </c>
      <c r="J948">
        <v>2.65</v>
      </c>
      <c r="K948" t="s">
        <v>1625</v>
      </c>
      <c r="L948">
        <v>22.06</v>
      </c>
      <c r="M948" t="s">
        <v>2295</v>
      </c>
      <c r="N948">
        <v>0</v>
      </c>
      <c r="O948" t="s">
        <v>852</v>
      </c>
      <c r="P948" t="s">
        <v>2807</v>
      </c>
      <c r="Q948">
        <v>11.14</v>
      </c>
      <c r="R948" t="s">
        <v>3285</v>
      </c>
      <c r="S948">
        <v>3.07</v>
      </c>
      <c r="T948">
        <v>40.5</v>
      </c>
      <c r="U948" t="s">
        <v>1654</v>
      </c>
      <c r="V948" t="s">
        <v>716</v>
      </c>
      <c r="W948" t="s">
        <v>2400</v>
      </c>
      <c r="X948">
        <v>2.65</v>
      </c>
      <c r="Y948" t="s">
        <v>738</v>
      </c>
      <c r="Z948" t="s">
        <v>907</v>
      </c>
      <c r="AA948" t="s">
        <v>164</v>
      </c>
      <c r="AB948">
        <v>2.48</v>
      </c>
      <c r="AC948" t="s">
        <v>794</v>
      </c>
      <c r="AD948">
        <v>62.28</v>
      </c>
      <c r="AE948" t="s">
        <v>261</v>
      </c>
      <c r="AF948">
        <v>0.83</v>
      </c>
      <c r="AG948">
        <v>0</v>
      </c>
      <c r="AH948">
        <v>0</v>
      </c>
      <c r="AI948" s="4">
        <v>36636</v>
      </c>
    </row>
    <row r="949" spans="1:35">
      <c r="A949">
        <v>948</v>
      </c>
      <c r="B949" t="str">
        <f>"300493"</f>
        <v>300493</v>
      </c>
      <c r="C949" t="s">
        <v>6033</v>
      </c>
      <c r="D949" s="4">
        <v>43190</v>
      </c>
      <c r="E949" t="s">
        <v>1530</v>
      </c>
      <c r="F949" t="s">
        <v>863</v>
      </c>
      <c r="G949">
        <v>7770</v>
      </c>
      <c r="H949">
        <v>0.04</v>
      </c>
      <c r="I949">
        <v>2.2999999999999998</v>
      </c>
      <c r="J949">
        <v>2.65</v>
      </c>
      <c r="K949" t="s">
        <v>1035</v>
      </c>
      <c r="L949">
        <v>4.2</v>
      </c>
      <c r="M949" t="s">
        <v>6034</v>
      </c>
      <c r="N949" t="s">
        <v>6035</v>
      </c>
      <c r="O949" t="s">
        <v>6036</v>
      </c>
      <c r="P949" t="s">
        <v>6037</v>
      </c>
      <c r="Q949">
        <v>25.55</v>
      </c>
      <c r="R949" t="s">
        <v>1360</v>
      </c>
      <c r="S949">
        <v>0.52</v>
      </c>
      <c r="T949">
        <v>12.31</v>
      </c>
      <c r="U949" t="s">
        <v>973</v>
      </c>
      <c r="V949" t="s">
        <v>1368</v>
      </c>
      <c r="W949" t="s">
        <v>497</v>
      </c>
      <c r="X949">
        <v>2.65</v>
      </c>
      <c r="Y949" t="s">
        <v>941</v>
      </c>
      <c r="Z949" t="s">
        <v>448</v>
      </c>
      <c r="AA949" t="s">
        <v>6038</v>
      </c>
      <c r="AB949">
        <v>4.75</v>
      </c>
      <c r="AC949" t="s">
        <v>1346</v>
      </c>
      <c r="AD949">
        <v>43.7</v>
      </c>
      <c r="AE949" t="s">
        <v>6039</v>
      </c>
      <c r="AF949">
        <v>0.77</v>
      </c>
      <c r="AG949">
        <v>0</v>
      </c>
      <c r="AH949">
        <v>0</v>
      </c>
      <c r="AI949" s="4">
        <v>42348</v>
      </c>
    </row>
    <row r="950" spans="1:35">
      <c r="A950">
        <v>949</v>
      </c>
      <c r="B950" t="str">
        <f>"300324"</f>
        <v>300324</v>
      </c>
      <c r="C950" t="s">
        <v>6040</v>
      </c>
      <c r="D950" s="4">
        <v>43190</v>
      </c>
      <c r="E950" t="s">
        <v>1343</v>
      </c>
      <c r="F950" t="s">
        <v>895</v>
      </c>
      <c r="G950" t="s">
        <v>1694</v>
      </c>
      <c r="H950">
        <v>0.08</v>
      </c>
      <c r="I950">
        <v>2.96</v>
      </c>
      <c r="J950">
        <v>2.65</v>
      </c>
      <c r="K950" t="s">
        <v>3712</v>
      </c>
      <c r="L950">
        <v>29.74</v>
      </c>
      <c r="M950" t="s">
        <v>1597</v>
      </c>
      <c r="N950" t="s">
        <v>6041</v>
      </c>
      <c r="O950" t="s">
        <v>37</v>
      </c>
      <c r="P950" t="s">
        <v>1974</v>
      </c>
      <c r="Q950">
        <v>48.27</v>
      </c>
      <c r="R950" t="s">
        <v>919</v>
      </c>
      <c r="S950">
        <v>0.55000000000000004</v>
      </c>
      <c r="T950">
        <v>48.7</v>
      </c>
      <c r="U950" t="s">
        <v>5177</v>
      </c>
      <c r="V950" t="s">
        <v>3749</v>
      </c>
      <c r="W950" t="s">
        <v>1229</v>
      </c>
      <c r="X950">
        <v>2.65</v>
      </c>
      <c r="Y950" t="s">
        <v>1704</v>
      </c>
      <c r="Z950" t="s">
        <v>728</v>
      </c>
      <c r="AA950" t="s">
        <v>136</v>
      </c>
      <c r="AB950">
        <v>3.21</v>
      </c>
      <c r="AC950" t="s">
        <v>1858</v>
      </c>
      <c r="AD950">
        <v>66.75</v>
      </c>
      <c r="AE950" t="s">
        <v>1396</v>
      </c>
      <c r="AF950">
        <v>1.53</v>
      </c>
      <c r="AG950">
        <v>0</v>
      </c>
      <c r="AH950">
        <v>0</v>
      </c>
      <c r="AI950" s="4">
        <v>41068</v>
      </c>
    </row>
    <row r="951" spans="1:35">
      <c r="A951">
        <v>950</v>
      </c>
      <c r="B951" t="str">
        <f>"300016"</f>
        <v>300016</v>
      </c>
      <c r="C951" t="s">
        <v>6042</v>
      </c>
      <c r="D951" s="4">
        <v>43190</v>
      </c>
      <c r="E951" t="s">
        <v>90</v>
      </c>
      <c r="F951" t="s">
        <v>1180</v>
      </c>
      <c r="G951">
        <v>7956</v>
      </c>
      <c r="H951">
        <v>0.09</v>
      </c>
      <c r="I951">
        <v>3.33</v>
      </c>
      <c r="J951">
        <v>2.65</v>
      </c>
      <c r="K951" t="s">
        <v>209</v>
      </c>
      <c r="L951">
        <v>5.23</v>
      </c>
      <c r="M951" t="s">
        <v>6043</v>
      </c>
      <c r="N951" t="s">
        <v>6044</v>
      </c>
      <c r="O951" t="s">
        <v>6045</v>
      </c>
      <c r="P951" t="s">
        <v>6046</v>
      </c>
      <c r="Q951">
        <v>8.85</v>
      </c>
      <c r="R951" t="s">
        <v>1074</v>
      </c>
      <c r="S951">
        <v>1.01</v>
      </c>
      <c r="T951">
        <v>67.98</v>
      </c>
      <c r="U951" t="s">
        <v>192</v>
      </c>
      <c r="V951" t="s">
        <v>1596</v>
      </c>
      <c r="W951" t="s">
        <v>1077</v>
      </c>
      <c r="X951">
        <v>2.65</v>
      </c>
      <c r="Y951" t="s">
        <v>1182</v>
      </c>
      <c r="Z951" t="s">
        <v>6047</v>
      </c>
      <c r="AA951" t="s">
        <v>6048</v>
      </c>
      <c r="AB951">
        <v>3.21</v>
      </c>
      <c r="AC951" t="s">
        <v>602</v>
      </c>
      <c r="AD951">
        <v>93.85</v>
      </c>
      <c r="AE951" t="s">
        <v>1324</v>
      </c>
      <c r="AF951">
        <v>1.1299999999999999</v>
      </c>
      <c r="AG951">
        <v>0</v>
      </c>
      <c r="AH951">
        <v>0</v>
      </c>
      <c r="AI951" s="4">
        <v>40116</v>
      </c>
    </row>
    <row r="952" spans="1:35">
      <c r="A952">
        <v>951</v>
      </c>
      <c r="B952" t="str">
        <f>"002251"</f>
        <v>002251</v>
      </c>
      <c r="C952" t="s">
        <v>6049</v>
      </c>
      <c r="D952" s="4">
        <v>43190</v>
      </c>
      <c r="E952" t="s">
        <v>5703</v>
      </c>
      <c r="F952" t="s">
        <v>2035</v>
      </c>
      <c r="G952" t="s">
        <v>6050</v>
      </c>
      <c r="H952">
        <v>0.19</v>
      </c>
      <c r="I952">
        <v>7.4</v>
      </c>
      <c r="J952">
        <v>2.65</v>
      </c>
      <c r="K952" t="s">
        <v>2167</v>
      </c>
      <c r="L952">
        <v>13.86</v>
      </c>
      <c r="M952" t="s">
        <v>807</v>
      </c>
      <c r="N952" t="s">
        <v>6051</v>
      </c>
      <c r="O952" t="s">
        <v>1484</v>
      </c>
      <c r="P952" t="s">
        <v>321</v>
      </c>
      <c r="Q952">
        <v>10.35</v>
      </c>
      <c r="R952" t="s">
        <v>192</v>
      </c>
      <c r="S952">
        <v>1.35</v>
      </c>
      <c r="T952">
        <v>22.24</v>
      </c>
      <c r="U952" t="s">
        <v>3129</v>
      </c>
      <c r="V952" t="s">
        <v>3578</v>
      </c>
      <c r="W952" t="s">
        <v>2043</v>
      </c>
      <c r="X952">
        <v>2.65</v>
      </c>
      <c r="Y952" t="s">
        <v>4187</v>
      </c>
      <c r="Z952" t="s">
        <v>4719</v>
      </c>
      <c r="AA952" t="s">
        <v>6052</v>
      </c>
      <c r="AB952">
        <v>1.54</v>
      </c>
      <c r="AC952" t="s">
        <v>1109</v>
      </c>
      <c r="AD952">
        <v>40.08</v>
      </c>
      <c r="AE952" t="s">
        <v>1443</v>
      </c>
      <c r="AF952">
        <v>4.78</v>
      </c>
      <c r="AG952">
        <v>0</v>
      </c>
      <c r="AH952">
        <v>0</v>
      </c>
      <c r="AI952" s="4">
        <v>39618</v>
      </c>
    </row>
    <row r="953" spans="1:35">
      <c r="A953">
        <v>952</v>
      </c>
      <c r="B953" t="str">
        <f>"603985"</f>
        <v>603985</v>
      </c>
      <c r="C953" t="s">
        <v>6053</v>
      </c>
      <c r="D953" s="4">
        <v>43190</v>
      </c>
      <c r="E953" t="s">
        <v>1119</v>
      </c>
      <c r="F953" t="s">
        <v>2988</v>
      </c>
      <c r="G953">
        <v>1810</v>
      </c>
      <c r="H953">
        <v>0.26</v>
      </c>
      <c r="I953">
        <v>9.65</v>
      </c>
      <c r="J953">
        <v>2.64</v>
      </c>
      <c r="K953" t="s">
        <v>912</v>
      </c>
      <c r="L953">
        <v>22.98</v>
      </c>
      <c r="M953" t="s">
        <v>6054</v>
      </c>
      <c r="N953" t="s">
        <v>6055</v>
      </c>
      <c r="O953" t="s">
        <v>6056</v>
      </c>
      <c r="P953" t="s">
        <v>6057</v>
      </c>
      <c r="Q953">
        <v>-11.55</v>
      </c>
      <c r="R953" t="s">
        <v>499</v>
      </c>
      <c r="S953">
        <v>2.98</v>
      </c>
      <c r="T953">
        <v>28.75</v>
      </c>
      <c r="U953" t="s">
        <v>1025</v>
      </c>
      <c r="V953" t="s">
        <v>2781</v>
      </c>
      <c r="W953" t="s">
        <v>3297</v>
      </c>
      <c r="X953">
        <v>2.64</v>
      </c>
      <c r="Y953" t="s">
        <v>1666</v>
      </c>
      <c r="Z953" t="s">
        <v>81</v>
      </c>
      <c r="AA953" t="s">
        <v>6058</v>
      </c>
      <c r="AB953">
        <v>1.99</v>
      </c>
      <c r="AC953" t="s">
        <v>978</v>
      </c>
      <c r="AD953">
        <v>79.38</v>
      </c>
      <c r="AE953" t="s">
        <v>607</v>
      </c>
      <c r="AF953">
        <v>5.57</v>
      </c>
      <c r="AG953">
        <v>0</v>
      </c>
      <c r="AH953">
        <v>0</v>
      </c>
      <c r="AI953" s="4">
        <v>42860</v>
      </c>
    </row>
    <row r="954" spans="1:35">
      <c r="A954">
        <v>953</v>
      </c>
      <c r="B954" t="str">
        <f>"600814"</f>
        <v>600814</v>
      </c>
      <c r="C954" t="s">
        <v>6059</v>
      </c>
      <c r="D954" s="4">
        <v>43190</v>
      </c>
      <c r="E954" t="s">
        <v>3802</v>
      </c>
      <c r="F954" t="s">
        <v>3802</v>
      </c>
      <c r="G954" t="s">
        <v>5811</v>
      </c>
      <c r="H954">
        <v>0.09</v>
      </c>
      <c r="I954">
        <v>3.33</v>
      </c>
      <c r="J954">
        <v>2.64</v>
      </c>
      <c r="K954" t="s">
        <v>1367</v>
      </c>
      <c r="L954">
        <v>8.25</v>
      </c>
      <c r="M954" t="s">
        <v>1724</v>
      </c>
      <c r="N954" t="s">
        <v>6060</v>
      </c>
      <c r="O954" t="s">
        <v>1724</v>
      </c>
      <c r="P954" t="s">
        <v>6061</v>
      </c>
      <c r="Q954">
        <v>43.89</v>
      </c>
      <c r="R954" t="s">
        <v>263</v>
      </c>
      <c r="S954">
        <v>2.0299999999999998</v>
      </c>
      <c r="T954">
        <v>22.47</v>
      </c>
      <c r="U954" t="s">
        <v>6062</v>
      </c>
      <c r="V954" t="s">
        <v>356</v>
      </c>
      <c r="W954" t="s">
        <v>2250</v>
      </c>
      <c r="X954">
        <v>2.64</v>
      </c>
      <c r="Y954" t="s">
        <v>980</v>
      </c>
      <c r="Z954" t="s">
        <v>754</v>
      </c>
      <c r="AA954" t="s">
        <v>6063</v>
      </c>
      <c r="AB954">
        <v>1.9</v>
      </c>
      <c r="AC954" t="s">
        <v>1704</v>
      </c>
      <c r="AD954">
        <v>46.22</v>
      </c>
      <c r="AE954" t="s">
        <v>6064</v>
      </c>
      <c r="AF954">
        <v>0.02</v>
      </c>
      <c r="AG954">
        <v>0</v>
      </c>
      <c r="AH954">
        <v>0</v>
      </c>
      <c r="AI954" s="4">
        <v>34348</v>
      </c>
    </row>
    <row r="955" spans="1:35">
      <c r="A955">
        <v>954</v>
      </c>
      <c r="B955" t="str">
        <f>"300715"</f>
        <v>300715</v>
      </c>
      <c r="C955" t="s">
        <v>6065</v>
      </c>
      <c r="D955" s="4">
        <v>43190</v>
      </c>
      <c r="E955" t="s">
        <v>802</v>
      </c>
      <c r="F955" t="s">
        <v>5471</v>
      </c>
      <c r="G955">
        <v>1620</v>
      </c>
      <c r="H955">
        <v>0.08</v>
      </c>
      <c r="I955">
        <v>2.91</v>
      </c>
      <c r="J955">
        <v>2.64</v>
      </c>
      <c r="K955" t="s">
        <v>6066</v>
      </c>
      <c r="L955">
        <v>33.1</v>
      </c>
      <c r="M955" t="s">
        <v>6067</v>
      </c>
      <c r="N955">
        <v>0</v>
      </c>
      <c r="O955" t="s">
        <v>6068</v>
      </c>
      <c r="P955" t="s">
        <v>6069</v>
      </c>
      <c r="Q955">
        <v>25.26</v>
      </c>
      <c r="R955" t="s">
        <v>355</v>
      </c>
      <c r="S955">
        <v>0.76</v>
      </c>
      <c r="T955">
        <v>39.1</v>
      </c>
      <c r="U955" t="s">
        <v>2392</v>
      </c>
      <c r="V955" t="s">
        <v>184</v>
      </c>
      <c r="W955" t="s">
        <v>595</v>
      </c>
      <c r="X955">
        <v>2.64</v>
      </c>
      <c r="Y955" t="s">
        <v>2031</v>
      </c>
      <c r="Z955" t="s">
        <v>319</v>
      </c>
      <c r="AA955" t="s">
        <v>6070</v>
      </c>
      <c r="AB955">
        <v>7.35</v>
      </c>
      <c r="AC955" t="s">
        <v>2590</v>
      </c>
      <c r="AD955">
        <v>70.459999999999994</v>
      </c>
      <c r="AE955" t="s">
        <v>200</v>
      </c>
      <c r="AF955">
        <v>1.06</v>
      </c>
      <c r="AG955">
        <v>0</v>
      </c>
      <c r="AH955">
        <v>0</v>
      </c>
      <c r="AI955" s="4">
        <v>43034</v>
      </c>
    </row>
    <row r="956" spans="1:35">
      <c r="A956">
        <v>955</v>
      </c>
      <c r="B956" t="str">
        <f>"300027"</f>
        <v>300027</v>
      </c>
      <c r="C956" t="s">
        <v>6071</v>
      </c>
      <c r="D956" s="4">
        <v>43190</v>
      </c>
      <c r="E956" t="s">
        <v>450</v>
      </c>
      <c r="F956" t="s">
        <v>702</v>
      </c>
      <c r="G956" t="s">
        <v>861</v>
      </c>
      <c r="H956">
        <v>0.09</v>
      </c>
      <c r="I956">
        <v>3.54</v>
      </c>
      <c r="J956">
        <v>2.64</v>
      </c>
      <c r="K956" t="s">
        <v>173</v>
      </c>
      <c r="L956">
        <v>160.5</v>
      </c>
      <c r="M956" t="s">
        <v>3067</v>
      </c>
      <c r="N956" t="s">
        <v>6072</v>
      </c>
      <c r="O956" t="s">
        <v>3067</v>
      </c>
      <c r="P956" t="s">
        <v>507</v>
      </c>
      <c r="Q956">
        <v>477.87</v>
      </c>
      <c r="R956" t="s">
        <v>2642</v>
      </c>
      <c r="S956">
        <v>1.47</v>
      </c>
      <c r="T956">
        <v>57.9</v>
      </c>
      <c r="U956" t="s">
        <v>1749</v>
      </c>
      <c r="V956" t="s">
        <v>5034</v>
      </c>
      <c r="W956" t="s">
        <v>5703</v>
      </c>
      <c r="X956">
        <v>2.64</v>
      </c>
      <c r="Y956" t="s">
        <v>6073</v>
      </c>
      <c r="Z956" t="s">
        <v>5659</v>
      </c>
      <c r="AA956" t="s">
        <v>158</v>
      </c>
      <c r="AB956">
        <v>1.73</v>
      </c>
      <c r="AC956" t="s">
        <v>6074</v>
      </c>
      <c r="AD956">
        <v>47.76</v>
      </c>
      <c r="AE956" t="s">
        <v>1943</v>
      </c>
      <c r="AF956">
        <v>0.91</v>
      </c>
      <c r="AG956">
        <v>0</v>
      </c>
      <c r="AH956">
        <v>0</v>
      </c>
      <c r="AI956" s="4">
        <v>40116</v>
      </c>
    </row>
    <row r="957" spans="1:35">
      <c r="A957">
        <v>956</v>
      </c>
      <c r="B957" t="str">
        <f>"002067"</f>
        <v>002067</v>
      </c>
      <c r="C957" t="s">
        <v>6075</v>
      </c>
      <c r="D957" s="4">
        <v>43190</v>
      </c>
      <c r="E957" t="s">
        <v>835</v>
      </c>
      <c r="F957" t="s">
        <v>4539</v>
      </c>
      <c r="G957">
        <v>9724</v>
      </c>
      <c r="H957">
        <v>0.09</v>
      </c>
      <c r="I957">
        <v>3.46</v>
      </c>
      <c r="J957">
        <v>2.64</v>
      </c>
      <c r="K957" t="s">
        <v>840</v>
      </c>
      <c r="L957">
        <v>34.56</v>
      </c>
      <c r="M957" t="s">
        <v>1376</v>
      </c>
      <c r="N957" t="s">
        <v>6076</v>
      </c>
      <c r="O957" t="s">
        <v>1376</v>
      </c>
      <c r="P957" t="s">
        <v>197</v>
      </c>
      <c r="Q957">
        <v>-20.48</v>
      </c>
      <c r="R957" t="s">
        <v>973</v>
      </c>
      <c r="S957">
        <v>0.97</v>
      </c>
      <c r="T957">
        <v>12.95</v>
      </c>
      <c r="U957" t="s">
        <v>5199</v>
      </c>
      <c r="V957" t="s">
        <v>1700</v>
      </c>
      <c r="W957" t="s">
        <v>1675</v>
      </c>
      <c r="X957">
        <v>2.64</v>
      </c>
      <c r="Y957" t="s">
        <v>1693</v>
      </c>
      <c r="Z957" t="s">
        <v>924</v>
      </c>
      <c r="AA957" t="s">
        <v>2148</v>
      </c>
      <c r="AB957">
        <v>1.03</v>
      </c>
      <c r="AC957" t="s">
        <v>588</v>
      </c>
      <c r="AD957">
        <v>63.75</v>
      </c>
      <c r="AE957" t="s">
        <v>115</v>
      </c>
      <c r="AF957">
        <v>1.49</v>
      </c>
      <c r="AG957">
        <v>0</v>
      </c>
      <c r="AH957">
        <v>0</v>
      </c>
      <c r="AI957" s="4">
        <v>38975</v>
      </c>
    </row>
    <row r="958" spans="1:35">
      <c r="A958">
        <v>957</v>
      </c>
      <c r="B958" t="str">
        <f>"000798"</f>
        <v>000798</v>
      </c>
      <c r="C958" t="s">
        <v>6077</v>
      </c>
      <c r="D958" s="4">
        <v>43190</v>
      </c>
      <c r="E958" t="s">
        <v>301</v>
      </c>
      <c r="F958" t="s">
        <v>301</v>
      </c>
      <c r="G958" t="s">
        <v>6078</v>
      </c>
      <c r="H958">
        <v>0.06</v>
      </c>
      <c r="I958">
        <v>2.21</v>
      </c>
      <c r="J958">
        <v>2.64</v>
      </c>
      <c r="K958" t="s">
        <v>209</v>
      </c>
      <c r="L958">
        <v>-21.33</v>
      </c>
      <c r="M958" t="s">
        <v>328</v>
      </c>
      <c r="N958" t="s">
        <v>6079</v>
      </c>
      <c r="O958" t="s">
        <v>6080</v>
      </c>
      <c r="P958" t="s">
        <v>5907</v>
      </c>
      <c r="Q958">
        <v>683.32</v>
      </c>
      <c r="R958" t="s">
        <v>6081</v>
      </c>
      <c r="S958">
        <v>-0.31</v>
      </c>
      <c r="T958">
        <v>7.67</v>
      </c>
      <c r="U958" t="s">
        <v>1496</v>
      </c>
      <c r="V958" t="s">
        <v>1959</v>
      </c>
      <c r="W958" t="s">
        <v>89</v>
      </c>
      <c r="X958">
        <v>2.64</v>
      </c>
      <c r="Y958" t="s">
        <v>2185</v>
      </c>
      <c r="Z958" t="s">
        <v>234</v>
      </c>
      <c r="AA958" t="s">
        <v>5311</v>
      </c>
      <c r="AB958">
        <v>2.89</v>
      </c>
      <c r="AC958" t="s">
        <v>1770</v>
      </c>
      <c r="AD958">
        <v>69.45</v>
      </c>
      <c r="AE958" t="s">
        <v>123</v>
      </c>
      <c r="AF958">
        <v>1.39</v>
      </c>
      <c r="AG958">
        <v>0</v>
      </c>
      <c r="AH958">
        <v>0</v>
      </c>
      <c r="AI958" s="4">
        <v>35838</v>
      </c>
    </row>
    <row r="959" spans="1:35">
      <c r="A959">
        <v>958</v>
      </c>
      <c r="B959" t="str">
        <f>"603527"</f>
        <v>603527</v>
      </c>
      <c r="C959" t="s">
        <v>6082</v>
      </c>
      <c r="D959" s="4">
        <v>43190</v>
      </c>
      <c r="E959" t="s">
        <v>1200</v>
      </c>
      <c r="F959" t="s">
        <v>6083</v>
      </c>
      <c r="G959">
        <v>1790</v>
      </c>
      <c r="H959">
        <v>0.12</v>
      </c>
      <c r="I959">
        <v>4.58</v>
      </c>
      <c r="J959">
        <v>2.63</v>
      </c>
      <c r="K959" t="s">
        <v>1903</v>
      </c>
      <c r="L959">
        <v>23.44</v>
      </c>
      <c r="M959" t="s">
        <v>4263</v>
      </c>
      <c r="N959">
        <v>0</v>
      </c>
      <c r="O959" t="s">
        <v>6084</v>
      </c>
      <c r="P959" t="s">
        <v>6085</v>
      </c>
      <c r="Q959">
        <v>34.64</v>
      </c>
      <c r="R959" t="s">
        <v>1999</v>
      </c>
      <c r="S959">
        <v>1.17</v>
      </c>
      <c r="T959">
        <v>6.57</v>
      </c>
      <c r="U959" t="s">
        <v>973</v>
      </c>
      <c r="V959" t="s">
        <v>3630</v>
      </c>
      <c r="W959" t="s">
        <v>443</v>
      </c>
      <c r="X959">
        <v>2.63</v>
      </c>
      <c r="Y959" t="s">
        <v>824</v>
      </c>
      <c r="Z959" t="s">
        <v>325</v>
      </c>
      <c r="AA959" t="s">
        <v>6086</v>
      </c>
      <c r="AB959">
        <v>3.48</v>
      </c>
      <c r="AC959" t="s">
        <v>619</v>
      </c>
      <c r="AD959">
        <v>72.099999999999994</v>
      </c>
      <c r="AE959" t="s">
        <v>1794</v>
      </c>
      <c r="AF959">
        <v>2.11</v>
      </c>
      <c r="AG959">
        <v>0</v>
      </c>
      <c r="AH959">
        <v>0</v>
      </c>
      <c r="AI959" s="4">
        <v>42985</v>
      </c>
    </row>
    <row r="960" spans="1:35">
      <c r="A960">
        <v>959</v>
      </c>
      <c r="B960" t="str">
        <f>"600371"</f>
        <v>600371</v>
      </c>
      <c r="C960" t="s">
        <v>6087</v>
      </c>
      <c r="D960" s="4">
        <v>43190</v>
      </c>
      <c r="E960" t="s">
        <v>1484</v>
      </c>
      <c r="F960" t="s">
        <v>1484</v>
      </c>
      <c r="G960">
        <v>9216</v>
      </c>
      <c r="H960">
        <v>0.06</v>
      </c>
      <c r="I960">
        <v>2.14</v>
      </c>
      <c r="J960">
        <v>2.63</v>
      </c>
      <c r="K960" t="s">
        <v>6088</v>
      </c>
      <c r="L960">
        <v>-3.1</v>
      </c>
      <c r="M960" t="s">
        <v>6089</v>
      </c>
      <c r="N960">
        <v>0</v>
      </c>
      <c r="O960" t="s">
        <v>6090</v>
      </c>
      <c r="P960" t="s">
        <v>6091</v>
      </c>
      <c r="Q960">
        <v>11.96</v>
      </c>
      <c r="R960" t="s">
        <v>290</v>
      </c>
      <c r="S960">
        <v>0.74</v>
      </c>
      <c r="T960">
        <v>45.94</v>
      </c>
      <c r="U960" t="s">
        <v>1584</v>
      </c>
      <c r="V960" t="s">
        <v>1088</v>
      </c>
      <c r="W960" t="s">
        <v>1349</v>
      </c>
      <c r="X960">
        <v>2.63</v>
      </c>
      <c r="Y960" t="s">
        <v>486</v>
      </c>
      <c r="Z960" t="s">
        <v>1210</v>
      </c>
      <c r="AA960" t="s">
        <v>6092</v>
      </c>
      <c r="AB960">
        <v>4.76</v>
      </c>
      <c r="AC960" t="s">
        <v>216</v>
      </c>
      <c r="AD960">
        <v>59.15</v>
      </c>
      <c r="AE960" t="s">
        <v>6093</v>
      </c>
      <c r="AF960">
        <v>0.15</v>
      </c>
      <c r="AG960">
        <v>0</v>
      </c>
      <c r="AH960">
        <v>0</v>
      </c>
      <c r="AI960" s="4">
        <v>37515</v>
      </c>
    </row>
    <row r="961" spans="1:35">
      <c r="A961">
        <v>960</v>
      </c>
      <c r="B961" t="str">
        <f>"002868"</f>
        <v>002868</v>
      </c>
      <c r="C961" t="s">
        <v>6094</v>
      </c>
      <c r="D961" s="4">
        <v>43190</v>
      </c>
      <c r="E961" t="s">
        <v>280</v>
      </c>
      <c r="F961" t="s">
        <v>3190</v>
      </c>
      <c r="G961">
        <v>1844</v>
      </c>
      <c r="H961">
        <v>0.15</v>
      </c>
      <c r="I961">
        <v>5.7</v>
      </c>
      <c r="J961">
        <v>2.63</v>
      </c>
      <c r="K961" t="s">
        <v>2441</v>
      </c>
      <c r="L961">
        <v>-8.0399999999999991</v>
      </c>
      <c r="M961" t="s">
        <v>6095</v>
      </c>
      <c r="N961" t="s">
        <v>6096</v>
      </c>
      <c r="O961" t="s">
        <v>6097</v>
      </c>
      <c r="P961" t="s">
        <v>6098</v>
      </c>
      <c r="Q961">
        <v>-30</v>
      </c>
      <c r="R961" t="s">
        <v>1077</v>
      </c>
      <c r="S961">
        <v>1.27</v>
      </c>
      <c r="T961">
        <v>34.28</v>
      </c>
      <c r="U961" t="s">
        <v>3741</v>
      </c>
      <c r="V961" t="s">
        <v>476</v>
      </c>
      <c r="W961" t="s">
        <v>1417</v>
      </c>
      <c r="X961">
        <v>2.63</v>
      </c>
      <c r="Y961" t="s">
        <v>6099</v>
      </c>
      <c r="Z961" t="s">
        <v>6100</v>
      </c>
      <c r="AA961" t="s">
        <v>5859</v>
      </c>
      <c r="AB961">
        <v>3.19</v>
      </c>
      <c r="AC961" t="s">
        <v>2569</v>
      </c>
      <c r="AD961">
        <v>93.74</v>
      </c>
      <c r="AE961" t="s">
        <v>156</v>
      </c>
      <c r="AF961">
        <v>3.13</v>
      </c>
      <c r="AG961">
        <v>0</v>
      </c>
      <c r="AH961">
        <v>0</v>
      </c>
      <c r="AI961" s="4">
        <v>42858</v>
      </c>
    </row>
    <row r="962" spans="1:35">
      <c r="A962">
        <v>961</v>
      </c>
      <c r="B962" t="str">
        <f>"603601"</f>
        <v>603601</v>
      </c>
      <c r="C962" t="s">
        <v>6101</v>
      </c>
      <c r="D962" s="4">
        <v>43190</v>
      </c>
      <c r="E962" t="s">
        <v>2922</v>
      </c>
      <c r="F962" t="s">
        <v>2922</v>
      </c>
      <c r="G962" t="s">
        <v>6102</v>
      </c>
      <c r="H962">
        <v>0.06</v>
      </c>
      <c r="I962">
        <v>2.16</v>
      </c>
      <c r="J962">
        <v>2.62</v>
      </c>
      <c r="K962" t="s">
        <v>262</v>
      </c>
      <c r="L962">
        <v>145.53</v>
      </c>
      <c r="M962" t="s">
        <v>6103</v>
      </c>
      <c r="N962" t="s">
        <v>5098</v>
      </c>
      <c r="O962" t="s">
        <v>6104</v>
      </c>
      <c r="P962" t="s">
        <v>6105</v>
      </c>
      <c r="Q962">
        <v>83.66</v>
      </c>
      <c r="R962" t="s">
        <v>1970</v>
      </c>
      <c r="S962">
        <v>0.27</v>
      </c>
      <c r="T962">
        <v>32.72</v>
      </c>
      <c r="U962" t="s">
        <v>728</v>
      </c>
      <c r="V962" t="s">
        <v>602</v>
      </c>
      <c r="W962" t="s">
        <v>3067</v>
      </c>
      <c r="X962">
        <v>2.62</v>
      </c>
      <c r="Y962" t="s">
        <v>3651</v>
      </c>
      <c r="Z962" t="s">
        <v>1722</v>
      </c>
      <c r="AA962" t="s">
        <v>282</v>
      </c>
      <c r="AB962">
        <v>4.12</v>
      </c>
      <c r="AC962" t="s">
        <v>405</v>
      </c>
      <c r="AD962">
        <v>55.49</v>
      </c>
      <c r="AE962" t="s">
        <v>607</v>
      </c>
      <c r="AF962">
        <v>0.83</v>
      </c>
      <c r="AG962">
        <v>0</v>
      </c>
      <c r="AH962">
        <v>0</v>
      </c>
      <c r="AI962" s="4">
        <v>42026</v>
      </c>
    </row>
    <row r="963" spans="1:35">
      <c r="A963">
        <v>962</v>
      </c>
      <c r="B963" t="str">
        <f>"600976"</f>
        <v>600976</v>
      </c>
      <c r="C963" t="s">
        <v>6106</v>
      </c>
      <c r="D963" s="4">
        <v>43190</v>
      </c>
      <c r="E963" t="s">
        <v>452</v>
      </c>
      <c r="F963" t="s">
        <v>452</v>
      </c>
      <c r="G963" t="s">
        <v>2572</v>
      </c>
      <c r="H963">
        <v>0.19</v>
      </c>
      <c r="I963">
        <v>7.09</v>
      </c>
      <c r="J963">
        <v>2.62</v>
      </c>
      <c r="K963" t="s">
        <v>1483</v>
      </c>
      <c r="L963">
        <v>-14.96</v>
      </c>
      <c r="M963" t="s">
        <v>6107</v>
      </c>
      <c r="N963" t="s">
        <v>6108</v>
      </c>
      <c r="O963" t="s">
        <v>6109</v>
      </c>
      <c r="P963" t="s">
        <v>6110</v>
      </c>
      <c r="Q963">
        <v>63.4</v>
      </c>
      <c r="R963" t="s">
        <v>1243</v>
      </c>
      <c r="S963">
        <v>3.17</v>
      </c>
      <c r="T963">
        <v>42.19</v>
      </c>
      <c r="U963" t="s">
        <v>980</v>
      </c>
      <c r="V963" t="s">
        <v>926</v>
      </c>
      <c r="W963" t="s">
        <v>1245</v>
      </c>
      <c r="X963">
        <v>2.62</v>
      </c>
      <c r="Y963" t="s">
        <v>2454</v>
      </c>
      <c r="Z963" t="s">
        <v>5415</v>
      </c>
      <c r="AA963" t="s">
        <v>6111</v>
      </c>
      <c r="AB963">
        <v>3.16</v>
      </c>
      <c r="AC963" t="s">
        <v>147</v>
      </c>
      <c r="AD963">
        <v>60.8</v>
      </c>
      <c r="AE963" t="s">
        <v>1206</v>
      </c>
      <c r="AF963">
        <v>1.97</v>
      </c>
      <c r="AG963">
        <v>0</v>
      </c>
      <c r="AH963">
        <v>0</v>
      </c>
      <c r="AI963" s="4">
        <v>38096</v>
      </c>
    </row>
    <row r="964" spans="1:35">
      <c r="A964">
        <v>963</v>
      </c>
      <c r="B964" t="str">
        <f>"600295"</f>
        <v>600295</v>
      </c>
      <c r="C964" t="s">
        <v>6112</v>
      </c>
      <c r="D964" s="4">
        <v>43190</v>
      </c>
      <c r="E964" t="s">
        <v>978</v>
      </c>
      <c r="F964" t="s">
        <v>2431</v>
      </c>
      <c r="G964">
        <v>0</v>
      </c>
      <c r="H964">
        <v>0.2</v>
      </c>
      <c r="I964">
        <v>7.8</v>
      </c>
      <c r="J964">
        <v>2.62</v>
      </c>
      <c r="K964" t="s">
        <v>3241</v>
      </c>
      <c r="L964">
        <v>4.29</v>
      </c>
      <c r="M964" t="s">
        <v>999</v>
      </c>
      <c r="N964" t="s">
        <v>6113</v>
      </c>
      <c r="O964" t="s">
        <v>2563</v>
      </c>
      <c r="P964" t="s">
        <v>415</v>
      </c>
      <c r="Q964">
        <v>87.77</v>
      </c>
      <c r="R964" t="s">
        <v>1748</v>
      </c>
      <c r="S964">
        <v>4.71</v>
      </c>
      <c r="T964">
        <v>34.4</v>
      </c>
      <c r="U964" t="s">
        <v>1954</v>
      </c>
      <c r="V964" t="s">
        <v>1495</v>
      </c>
      <c r="W964" t="s">
        <v>1654</v>
      </c>
      <c r="X964">
        <v>2.62</v>
      </c>
      <c r="Y964" t="s">
        <v>2334</v>
      </c>
      <c r="Z964" t="s">
        <v>2065</v>
      </c>
      <c r="AA964" t="s">
        <v>780</v>
      </c>
      <c r="AB964">
        <v>1.0900000000000001</v>
      </c>
      <c r="AC964" t="s">
        <v>5658</v>
      </c>
      <c r="AD964">
        <v>16.03</v>
      </c>
      <c r="AE964" t="s">
        <v>538</v>
      </c>
      <c r="AF964">
        <v>1.36</v>
      </c>
      <c r="AG964" t="s">
        <v>324</v>
      </c>
      <c r="AH964">
        <v>0</v>
      </c>
      <c r="AI964" s="4">
        <v>37007</v>
      </c>
    </row>
    <row r="965" spans="1:35">
      <c r="A965">
        <v>964</v>
      </c>
      <c r="B965" t="str">
        <f>"300435"</f>
        <v>300435</v>
      </c>
      <c r="C965" t="s">
        <v>6114</v>
      </c>
      <c r="D965" s="4">
        <v>43190</v>
      </c>
      <c r="E965" t="s">
        <v>3535</v>
      </c>
      <c r="F965" t="s">
        <v>6115</v>
      </c>
      <c r="G965">
        <v>9752</v>
      </c>
      <c r="H965">
        <v>0.08</v>
      </c>
      <c r="I965">
        <v>2.95</v>
      </c>
      <c r="J965">
        <v>2.62</v>
      </c>
      <c r="K965" t="s">
        <v>651</v>
      </c>
      <c r="L965">
        <v>-11.71</v>
      </c>
      <c r="M965" t="s">
        <v>6116</v>
      </c>
      <c r="N965" t="s">
        <v>6117</v>
      </c>
      <c r="O965" t="s">
        <v>4400</v>
      </c>
      <c r="P965" t="s">
        <v>6118</v>
      </c>
      <c r="Q965">
        <v>30.26</v>
      </c>
      <c r="R965" t="s">
        <v>1074</v>
      </c>
      <c r="S965">
        <v>1.17</v>
      </c>
      <c r="T965">
        <v>30.28</v>
      </c>
      <c r="U965" t="s">
        <v>263</v>
      </c>
      <c r="V965" t="s">
        <v>147</v>
      </c>
      <c r="W965" t="s">
        <v>6119</v>
      </c>
      <c r="X965">
        <v>2.62</v>
      </c>
      <c r="Y965" t="s">
        <v>6120</v>
      </c>
      <c r="Z965" t="s">
        <v>792</v>
      </c>
      <c r="AA965" t="s">
        <v>6121</v>
      </c>
      <c r="AB965">
        <v>3.66</v>
      </c>
      <c r="AC965" t="s">
        <v>3925</v>
      </c>
      <c r="AD965">
        <v>54.14</v>
      </c>
      <c r="AE965" t="s">
        <v>3332</v>
      </c>
      <c r="AF965">
        <v>0.78</v>
      </c>
      <c r="AG965">
        <v>0</v>
      </c>
      <c r="AH965">
        <v>0</v>
      </c>
      <c r="AI965" s="4">
        <v>42089</v>
      </c>
    </row>
    <row r="966" spans="1:35">
      <c r="A966">
        <v>965</v>
      </c>
      <c r="B966" t="str">
        <f>"300145"</f>
        <v>300145</v>
      </c>
      <c r="C966" t="s">
        <v>6122</v>
      </c>
      <c r="D966" s="4">
        <v>43190</v>
      </c>
      <c r="E966" t="s">
        <v>625</v>
      </c>
      <c r="F966" t="s">
        <v>1042</v>
      </c>
      <c r="G966" t="s">
        <v>2671</v>
      </c>
      <c r="H966">
        <v>0.1</v>
      </c>
      <c r="I966">
        <v>3.93</v>
      </c>
      <c r="J966">
        <v>2.62</v>
      </c>
      <c r="K966" t="s">
        <v>2955</v>
      </c>
      <c r="L966">
        <v>35.75</v>
      </c>
      <c r="M966" t="s">
        <v>2424</v>
      </c>
      <c r="N966">
        <v>0</v>
      </c>
      <c r="O966" t="s">
        <v>2034</v>
      </c>
      <c r="P966" t="s">
        <v>209</v>
      </c>
      <c r="Q966">
        <v>32.130000000000003</v>
      </c>
      <c r="R966" t="s">
        <v>1678</v>
      </c>
      <c r="S966">
        <v>1.48</v>
      </c>
      <c r="T966">
        <v>39.32</v>
      </c>
      <c r="U966" t="s">
        <v>525</v>
      </c>
      <c r="V966" t="s">
        <v>780</v>
      </c>
      <c r="W966" t="s">
        <v>4877</v>
      </c>
      <c r="X966">
        <v>2.62</v>
      </c>
      <c r="Y966" t="s">
        <v>1095</v>
      </c>
      <c r="Z966" t="s">
        <v>152</v>
      </c>
      <c r="AA966" t="s">
        <v>521</v>
      </c>
      <c r="AB966">
        <v>1.96</v>
      </c>
      <c r="AC966" t="s">
        <v>3241</v>
      </c>
      <c r="AD966">
        <v>45.15</v>
      </c>
      <c r="AE966" t="s">
        <v>833</v>
      </c>
      <c r="AF966">
        <v>1.28</v>
      </c>
      <c r="AG966">
        <v>0</v>
      </c>
      <c r="AH966">
        <v>0</v>
      </c>
      <c r="AI966" s="4">
        <v>40521</v>
      </c>
    </row>
    <row r="967" spans="1:35">
      <c r="A967">
        <v>966</v>
      </c>
      <c r="B967" t="str">
        <f>"300006"</f>
        <v>300006</v>
      </c>
      <c r="C967" t="s">
        <v>6123</v>
      </c>
      <c r="D967" s="4">
        <v>43190</v>
      </c>
      <c r="E967" t="s">
        <v>1978</v>
      </c>
      <c r="F967" t="s">
        <v>181</v>
      </c>
      <c r="G967" t="s">
        <v>5462</v>
      </c>
      <c r="H967">
        <v>0.06</v>
      </c>
      <c r="I967">
        <v>2.11</v>
      </c>
      <c r="J967">
        <v>2.62</v>
      </c>
      <c r="K967" t="s">
        <v>1400</v>
      </c>
      <c r="L967">
        <v>32.72</v>
      </c>
      <c r="M967" t="s">
        <v>6124</v>
      </c>
      <c r="N967" t="s">
        <v>6125</v>
      </c>
      <c r="O967" t="s">
        <v>6126</v>
      </c>
      <c r="P967" t="s">
        <v>5962</v>
      </c>
      <c r="Q967">
        <v>108.31</v>
      </c>
      <c r="R967" t="s">
        <v>1489</v>
      </c>
      <c r="S967">
        <v>0.3</v>
      </c>
      <c r="T967">
        <v>57.07</v>
      </c>
      <c r="U967" t="s">
        <v>1242</v>
      </c>
      <c r="V967" t="s">
        <v>124</v>
      </c>
      <c r="W967" t="s">
        <v>4306</v>
      </c>
      <c r="X967">
        <v>2.62</v>
      </c>
      <c r="Y967" t="s">
        <v>264</v>
      </c>
      <c r="Z967" t="s">
        <v>295</v>
      </c>
      <c r="AA967" t="s">
        <v>920</v>
      </c>
      <c r="AB967">
        <v>2.12</v>
      </c>
      <c r="AC967" t="s">
        <v>646</v>
      </c>
      <c r="AD967">
        <v>58.01</v>
      </c>
      <c r="AE967" t="s">
        <v>2739</v>
      </c>
      <c r="AF967">
        <v>0.72</v>
      </c>
      <c r="AG967">
        <v>0</v>
      </c>
      <c r="AH967">
        <v>0</v>
      </c>
      <c r="AI967" s="4">
        <v>40116</v>
      </c>
    </row>
    <row r="968" spans="1:35">
      <c r="A968">
        <v>967</v>
      </c>
      <c r="B968" t="str">
        <f>"603630"</f>
        <v>603630</v>
      </c>
      <c r="C968" t="s">
        <v>6127</v>
      </c>
      <c r="D968" s="4">
        <v>43190</v>
      </c>
      <c r="E968" t="s">
        <v>935</v>
      </c>
      <c r="F968" t="s">
        <v>5428</v>
      </c>
      <c r="G968">
        <v>3043</v>
      </c>
      <c r="H968">
        <v>0.2</v>
      </c>
      <c r="I968">
        <v>7.61</v>
      </c>
      <c r="J968">
        <v>2.61</v>
      </c>
      <c r="K968" t="s">
        <v>682</v>
      </c>
      <c r="L968">
        <v>-5.94</v>
      </c>
      <c r="M968" t="s">
        <v>6128</v>
      </c>
      <c r="N968" t="s">
        <v>6129</v>
      </c>
      <c r="O968" t="s">
        <v>6130</v>
      </c>
      <c r="P968" t="s">
        <v>6131</v>
      </c>
      <c r="Q968">
        <v>31.94</v>
      </c>
      <c r="R968" t="s">
        <v>1491</v>
      </c>
      <c r="S968">
        <v>2.7</v>
      </c>
      <c r="T968">
        <v>58.21</v>
      </c>
      <c r="U968" t="s">
        <v>183</v>
      </c>
      <c r="V968" t="s">
        <v>848</v>
      </c>
      <c r="W968" t="s">
        <v>1646</v>
      </c>
      <c r="X968">
        <v>2.61</v>
      </c>
      <c r="Y968" t="s">
        <v>1203</v>
      </c>
      <c r="Z968" t="s">
        <v>3111</v>
      </c>
      <c r="AA968" t="s">
        <v>6132</v>
      </c>
      <c r="AB968">
        <v>2.4300000000000002</v>
      </c>
      <c r="AC968" t="s">
        <v>867</v>
      </c>
      <c r="AD968">
        <v>91.61</v>
      </c>
      <c r="AE968" t="s">
        <v>2977</v>
      </c>
      <c r="AF968">
        <v>3.61</v>
      </c>
      <c r="AG968">
        <v>0</v>
      </c>
      <c r="AH968">
        <v>0</v>
      </c>
      <c r="AI968" s="4">
        <v>42807</v>
      </c>
    </row>
    <row r="969" spans="1:35">
      <c r="A969">
        <v>968</v>
      </c>
      <c r="B969" t="str">
        <f>"603116"</f>
        <v>603116</v>
      </c>
      <c r="C969" t="s">
        <v>6133</v>
      </c>
      <c r="D969" s="4">
        <v>43190</v>
      </c>
      <c r="E969" t="s">
        <v>2284</v>
      </c>
      <c r="F969" t="s">
        <v>1288</v>
      </c>
      <c r="G969">
        <v>6398</v>
      </c>
      <c r="H969">
        <v>0.22</v>
      </c>
      <c r="I969">
        <v>8.57</v>
      </c>
      <c r="J969">
        <v>2.61</v>
      </c>
      <c r="K969" t="s">
        <v>2035</v>
      </c>
      <c r="L969">
        <v>3.81</v>
      </c>
      <c r="M969" t="s">
        <v>1349</v>
      </c>
      <c r="N969" t="s">
        <v>3216</v>
      </c>
      <c r="O969" t="s">
        <v>1626</v>
      </c>
      <c r="P969" t="s">
        <v>6134</v>
      </c>
      <c r="Q969">
        <v>4.01</v>
      </c>
      <c r="R969" t="s">
        <v>114</v>
      </c>
      <c r="S969">
        <v>5.17</v>
      </c>
      <c r="T969">
        <v>34.56</v>
      </c>
      <c r="U969" t="s">
        <v>3653</v>
      </c>
      <c r="V969" t="s">
        <v>1391</v>
      </c>
      <c r="W969" t="s">
        <v>3238</v>
      </c>
      <c r="X969">
        <v>2.61</v>
      </c>
      <c r="Y969" t="s">
        <v>978</v>
      </c>
      <c r="Z969" t="s">
        <v>978</v>
      </c>
      <c r="AA969" t="s">
        <v>6044</v>
      </c>
      <c r="AB969">
        <v>1.49</v>
      </c>
      <c r="AC969" t="s">
        <v>1224</v>
      </c>
      <c r="AD969">
        <v>77.72</v>
      </c>
      <c r="AE969" t="s">
        <v>2329</v>
      </c>
      <c r="AF969">
        <v>2.39</v>
      </c>
      <c r="AG969">
        <v>0</v>
      </c>
      <c r="AH969">
        <v>0</v>
      </c>
      <c r="AI969" s="4">
        <v>42184</v>
      </c>
    </row>
    <row r="970" spans="1:35">
      <c r="A970">
        <v>969</v>
      </c>
      <c r="B970" t="str">
        <f>"002051"</f>
        <v>002051</v>
      </c>
      <c r="C970" t="s">
        <v>6135</v>
      </c>
      <c r="D970" s="4">
        <v>43190</v>
      </c>
      <c r="E970" t="s">
        <v>323</v>
      </c>
      <c r="F970" t="s">
        <v>323</v>
      </c>
      <c r="G970" t="s">
        <v>6136</v>
      </c>
      <c r="H970">
        <v>0.2</v>
      </c>
      <c r="I970">
        <v>7.26</v>
      </c>
      <c r="J970">
        <v>2.61</v>
      </c>
      <c r="K970" t="s">
        <v>3356</v>
      </c>
      <c r="L970">
        <v>37.96</v>
      </c>
      <c r="M970" t="s">
        <v>474</v>
      </c>
      <c r="N970" t="s">
        <v>850</v>
      </c>
      <c r="O970" t="s">
        <v>474</v>
      </c>
      <c r="P970" t="s">
        <v>696</v>
      </c>
      <c r="Q970">
        <v>10.16</v>
      </c>
      <c r="R970" t="s">
        <v>762</v>
      </c>
      <c r="S970">
        <v>4.04</v>
      </c>
      <c r="T970">
        <v>27.37</v>
      </c>
      <c r="U970" t="s">
        <v>2491</v>
      </c>
      <c r="V970" t="s">
        <v>3118</v>
      </c>
      <c r="W970" t="s">
        <v>833</v>
      </c>
      <c r="X970">
        <v>2.61</v>
      </c>
      <c r="Y970" t="s">
        <v>2601</v>
      </c>
      <c r="Z970" t="s">
        <v>1485</v>
      </c>
      <c r="AA970" t="s">
        <v>824</v>
      </c>
      <c r="AB970">
        <v>2.1</v>
      </c>
      <c r="AC970" t="s">
        <v>5647</v>
      </c>
      <c r="AD970">
        <v>47.28</v>
      </c>
      <c r="AE970" t="s">
        <v>1101</v>
      </c>
      <c r="AF970">
        <v>1.64</v>
      </c>
      <c r="AG970">
        <v>0</v>
      </c>
      <c r="AH970">
        <v>0</v>
      </c>
      <c r="AI970" s="4">
        <v>38887</v>
      </c>
    </row>
    <row r="971" spans="1:35">
      <c r="A971">
        <v>970</v>
      </c>
      <c r="B971" t="str">
        <f>"601669"</f>
        <v>601669</v>
      </c>
      <c r="C971" t="s">
        <v>6137</v>
      </c>
      <c r="D971" s="4">
        <v>43190</v>
      </c>
      <c r="E971" t="s">
        <v>1894</v>
      </c>
      <c r="F971" t="s">
        <v>558</v>
      </c>
      <c r="G971" t="s">
        <v>4047</v>
      </c>
      <c r="H971">
        <v>0.13</v>
      </c>
      <c r="I971">
        <v>4.8600000000000003</v>
      </c>
      <c r="J971">
        <v>2.6</v>
      </c>
      <c r="K971" t="s">
        <v>6138</v>
      </c>
      <c r="L971">
        <v>16.260000000000002</v>
      </c>
      <c r="M971" t="s">
        <v>239</v>
      </c>
      <c r="N971" t="s">
        <v>6139</v>
      </c>
      <c r="O971" t="s">
        <v>450</v>
      </c>
      <c r="P971" t="s">
        <v>702</v>
      </c>
      <c r="Q971">
        <v>12.43</v>
      </c>
      <c r="R971" t="s">
        <v>2019</v>
      </c>
      <c r="S971">
        <v>2.3199999999999998</v>
      </c>
      <c r="T971">
        <v>14.25</v>
      </c>
      <c r="U971" t="s">
        <v>6140</v>
      </c>
      <c r="V971" t="s">
        <v>3963</v>
      </c>
      <c r="W971" t="s">
        <v>6141</v>
      </c>
      <c r="X971">
        <v>2.6</v>
      </c>
      <c r="Y971" t="s">
        <v>6142</v>
      </c>
      <c r="Z971" t="s">
        <v>6143</v>
      </c>
      <c r="AA971" t="s">
        <v>6144</v>
      </c>
      <c r="AB971">
        <v>1.1299999999999999</v>
      </c>
      <c r="AC971" t="s">
        <v>1887</v>
      </c>
      <c r="AD971">
        <v>13.25</v>
      </c>
      <c r="AE971" t="s">
        <v>2924</v>
      </c>
      <c r="AF971">
        <v>1.51</v>
      </c>
      <c r="AG971">
        <v>0</v>
      </c>
      <c r="AH971">
        <v>0</v>
      </c>
      <c r="AI971" s="4">
        <v>40834</v>
      </c>
    </row>
    <row r="972" spans="1:35">
      <c r="A972">
        <v>971</v>
      </c>
      <c r="B972" t="str">
        <f>"600636"</f>
        <v>600636</v>
      </c>
      <c r="C972" t="s">
        <v>6145</v>
      </c>
      <c r="D972" s="4">
        <v>43190</v>
      </c>
      <c r="E972" t="s">
        <v>922</v>
      </c>
      <c r="F972" t="s">
        <v>4756</v>
      </c>
      <c r="G972" t="s">
        <v>2589</v>
      </c>
      <c r="H972">
        <v>0.15</v>
      </c>
      <c r="I972">
        <v>5.79</v>
      </c>
      <c r="J972">
        <v>2.6</v>
      </c>
      <c r="K972" t="s">
        <v>1563</v>
      </c>
      <c r="L972">
        <v>-69.12</v>
      </c>
      <c r="M972" t="s">
        <v>2468</v>
      </c>
      <c r="N972" t="s">
        <v>824</v>
      </c>
      <c r="O972" t="s">
        <v>133</v>
      </c>
      <c r="P972" t="s">
        <v>6146</v>
      </c>
      <c r="Q972">
        <v>74.239999999999995</v>
      </c>
      <c r="R972" t="s">
        <v>4176</v>
      </c>
      <c r="S972">
        <v>1.23</v>
      </c>
      <c r="T972">
        <v>3.3</v>
      </c>
      <c r="U972" t="s">
        <v>1396</v>
      </c>
      <c r="V972" t="s">
        <v>840</v>
      </c>
      <c r="W972" t="s">
        <v>470</v>
      </c>
      <c r="X972">
        <v>2.6</v>
      </c>
      <c r="Y972" t="s">
        <v>2739</v>
      </c>
      <c r="Z972" t="s">
        <v>1935</v>
      </c>
      <c r="AA972" t="s">
        <v>6147</v>
      </c>
      <c r="AB972">
        <v>2.4300000000000002</v>
      </c>
      <c r="AC972" t="s">
        <v>512</v>
      </c>
      <c r="AD972">
        <v>79.59</v>
      </c>
      <c r="AE972" t="s">
        <v>855</v>
      </c>
      <c r="AF972">
        <v>3.35</v>
      </c>
      <c r="AG972">
        <v>0</v>
      </c>
      <c r="AH972">
        <v>0</v>
      </c>
      <c r="AI972" s="4">
        <v>34044</v>
      </c>
    </row>
    <row r="973" spans="1:35">
      <c r="A973">
        <v>972</v>
      </c>
      <c r="B973" t="str">
        <f>"300716"</f>
        <v>300716</v>
      </c>
      <c r="C973" t="s">
        <v>6148</v>
      </c>
      <c r="D973" s="4">
        <v>43190</v>
      </c>
      <c r="E973" t="s">
        <v>1203</v>
      </c>
      <c r="F973" t="s">
        <v>6149</v>
      </c>
      <c r="G973">
        <v>1385</v>
      </c>
      <c r="H973">
        <v>0.13</v>
      </c>
      <c r="I973">
        <v>4.96</v>
      </c>
      <c r="J973">
        <v>2.6</v>
      </c>
      <c r="K973" t="s">
        <v>1489</v>
      </c>
      <c r="L973">
        <v>45.23</v>
      </c>
      <c r="M973" t="s">
        <v>680</v>
      </c>
      <c r="N973" t="s">
        <v>6150</v>
      </c>
      <c r="O973" t="s">
        <v>6151</v>
      </c>
      <c r="P973" t="s">
        <v>5891</v>
      </c>
      <c r="Q973">
        <v>40.83</v>
      </c>
      <c r="R973" t="s">
        <v>1202</v>
      </c>
      <c r="S973">
        <v>1.01</v>
      </c>
      <c r="T973">
        <v>22.98</v>
      </c>
      <c r="U973" t="s">
        <v>973</v>
      </c>
      <c r="V973" t="s">
        <v>116</v>
      </c>
      <c r="W973" t="s">
        <v>1530</v>
      </c>
      <c r="X973">
        <v>2.6</v>
      </c>
      <c r="Y973" t="s">
        <v>1967</v>
      </c>
      <c r="Z973" t="s">
        <v>2387</v>
      </c>
      <c r="AA973" t="s">
        <v>6152</v>
      </c>
      <c r="AB973">
        <v>3.06</v>
      </c>
      <c r="AC973" t="s">
        <v>767</v>
      </c>
      <c r="AD973">
        <v>70.540000000000006</v>
      </c>
      <c r="AE973" t="s">
        <v>44</v>
      </c>
      <c r="AF973">
        <v>2.85</v>
      </c>
      <c r="AG973">
        <v>0</v>
      </c>
      <c r="AH973">
        <v>0</v>
      </c>
      <c r="AI973" s="4">
        <v>43048</v>
      </c>
    </row>
    <row r="974" spans="1:35">
      <c r="A974">
        <v>973</v>
      </c>
      <c r="B974" t="str">
        <f>"002650"</f>
        <v>002650</v>
      </c>
      <c r="C974" t="s">
        <v>6153</v>
      </c>
      <c r="D974" s="4">
        <v>43190</v>
      </c>
      <c r="E974" t="s">
        <v>973</v>
      </c>
      <c r="F974" t="s">
        <v>6154</v>
      </c>
      <c r="G974" t="s">
        <v>2572</v>
      </c>
      <c r="H974">
        <v>0.05</v>
      </c>
      <c r="I974">
        <v>1.83</v>
      </c>
      <c r="J974">
        <v>2.6</v>
      </c>
      <c r="K974" t="s">
        <v>1799</v>
      </c>
      <c r="L974">
        <v>1.6</v>
      </c>
      <c r="M974" t="s">
        <v>5557</v>
      </c>
      <c r="N974" t="s">
        <v>6155</v>
      </c>
      <c r="O974" t="s">
        <v>5616</v>
      </c>
      <c r="P974" t="s">
        <v>6156</v>
      </c>
      <c r="Q974">
        <v>-8.23</v>
      </c>
      <c r="R974" t="s">
        <v>1907</v>
      </c>
      <c r="S974">
        <v>0.55000000000000004</v>
      </c>
      <c r="T974">
        <v>26.73</v>
      </c>
      <c r="U974" t="s">
        <v>685</v>
      </c>
      <c r="V974" t="s">
        <v>2428</v>
      </c>
      <c r="W974" t="s">
        <v>1792</v>
      </c>
      <c r="X974">
        <v>2.6</v>
      </c>
      <c r="Y974" t="s">
        <v>2149</v>
      </c>
      <c r="Z974" t="s">
        <v>675</v>
      </c>
      <c r="AA974" t="s">
        <v>6157</v>
      </c>
      <c r="AB974">
        <v>2.65</v>
      </c>
      <c r="AC974" t="s">
        <v>576</v>
      </c>
      <c r="AD974">
        <v>74.27</v>
      </c>
      <c r="AE974" t="s">
        <v>1970</v>
      </c>
      <c r="AF974">
        <v>0.18</v>
      </c>
      <c r="AG974">
        <v>0</v>
      </c>
      <c r="AH974">
        <v>0</v>
      </c>
      <c r="AI974" s="4">
        <v>40914</v>
      </c>
    </row>
    <row r="975" spans="1:35">
      <c r="A975">
        <v>974</v>
      </c>
      <c r="B975" t="str">
        <f>"002349"</f>
        <v>002349</v>
      </c>
      <c r="C975" t="s">
        <v>6158</v>
      </c>
      <c r="D975" s="4">
        <v>43190</v>
      </c>
      <c r="E975" t="s">
        <v>1802</v>
      </c>
      <c r="F975" t="s">
        <v>6159</v>
      </c>
      <c r="G975" t="s">
        <v>4573</v>
      </c>
      <c r="H975">
        <v>7.0000000000000007E-2</v>
      </c>
      <c r="I975">
        <v>2.74</v>
      </c>
      <c r="J975">
        <v>2.6</v>
      </c>
      <c r="K975" t="s">
        <v>90</v>
      </c>
      <c r="L975">
        <v>7.54</v>
      </c>
      <c r="M975" t="s">
        <v>6160</v>
      </c>
      <c r="N975" t="s">
        <v>6161</v>
      </c>
      <c r="O975" t="s">
        <v>6162</v>
      </c>
      <c r="P975" t="s">
        <v>4336</v>
      </c>
      <c r="Q975">
        <v>88.08</v>
      </c>
      <c r="R975" t="s">
        <v>2111</v>
      </c>
      <c r="S975">
        <v>0.59</v>
      </c>
      <c r="T975">
        <v>51.37</v>
      </c>
      <c r="U975" t="s">
        <v>1219</v>
      </c>
      <c r="V975" t="s">
        <v>1307</v>
      </c>
      <c r="W975" t="s">
        <v>1523</v>
      </c>
      <c r="X975">
        <v>2.6</v>
      </c>
      <c r="Y975" t="s">
        <v>1849</v>
      </c>
      <c r="Z975" t="s">
        <v>137</v>
      </c>
      <c r="AA975" t="s">
        <v>2387</v>
      </c>
      <c r="AB975">
        <v>2.23</v>
      </c>
      <c r="AC975" t="s">
        <v>242</v>
      </c>
      <c r="AD975">
        <v>69.59</v>
      </c>
      <c r="AE975" t="s">
        <v>3740</v>
      </c>
      <c r="AF975">
        <v>1.0900000000000001</v>
      </c>
      <c r="AG975">
        <v>0</v>
      </c>
      <c r="AH975">
        <v>0</v>
      </c>
      <c r="AI975" s="4">
        <v>40212</v>
      </c>
    </row>
    <row r="976" spans="1:35">
      <c r="A976">
        <v>975</v>
      </c>
      <c r="B976" t="str">
        <f>"000510"</f>
        <v>000510</v>
      </c>
      <c r="C976" t="s">
        <v>6163</v>
      </c>
      <c r="D976" s="4">
        <v>43190</v>
      </c>
      <c r="E976" t="s">
        <v>1874</v>
      </c>
      <c r="F976" t="s">
        <v>2413</v>
      </c>
      <c r="G976" t="s">
        <v>2125</v>
      </c>
      <c r="H976">
        <v>0.04</v>
      </c>
      <c r="I976">
        <v>1.4</v>
      </c>
      <c r="J976">
        <v>2.6</v>
      </c>
      <c r="K976" t="s">
        <v>4756</v>
      </c>
      <c r="L976">
        <v>10.54</v>
      </c>
      <c r="M976" t="s">
        <v>6164</v>
      </c>
      <c r="N976" t="s">
        <v>6165</v>
      </c>
      <c r="O976" t="s">
        <v>6166</v>
      </c>
      <c r="P976" t="s">
        <v>6167</v>
      </c>
      <c r="Q976">
        <v>-13.92</v>
      </c>
      <c r="R976" t="s">
        <v>2115</v>
      </c>
      <c r="S976">
        <v>0.17</v>
      </c>
      <c r="T976">
        <v>16.170000000000002</v>
      </c>
      <c r="U976" t="s">
        <v>584</v>
      </c>
      <c r="V976" t="s">
        <v>4044</v>
      </c>
      <c r="W976" t="s">
        <v>1780</v>
      </c>
      <c r="X976">
        <v>2.6</v>
      </c>
      <c r="Y976" t="s">
        <v>106</v>
      </c>
      <c r="Z976" t="s">
        <v>174</v>
      </c>
      <c r="AA976" t="s">
        <v>6168</v>
      </c>
      <c r="AB976">
        <v>3.48</v>
      </c>
      <c r="AC976" t="s">
        <v>421</v>
      </c>
      <c r="AD976">
        <v>59.83</v>
      </c>
      <c r="AE976" t="s">
        <v>6169</v>
      </c>
      <c r="AF976">
        <v>0.04</v>
      </c>
      <c r="AG976">
        <v>0</v>
      </c>
      <c r="AH976">
        <v>0</v>
      </c>
      <c r="AI976" s="4">
        <v>34096</v>
      </c>
    </row>
    <row r="977" spans="1:35">
      <c r="A977">
        <v>976</v>
      </c>
      <c r="B977" t="str">
        <f>"300441"</f>
        <v>300441</v>
      </c>
      <c r="C977" t="s">
        <v>6170</v>
      </c>
      <c r="D977" s="4">
        <v>43190</v>
      </c>
      <c r="E977" t="s">
        <v>1730</v>
      </c>
      <c r="F977" t="s">
        <v>2889</v>
      </c>
      <c r="G977">
        <v>7611</v>
      </c>
      <c r="H977">
        <v>0.06</v>
      </c>
      <c r="I977">
        <v>2.23</v>
      </c>
      <c r="J977">
        <v>2.59</v>
      </c>
      <c r="K977" t="s">
        <v>1530</v>
      </c>
      <c r="L977">
        <v>54.55</v>
      </c>
      <c r="M977" t="s">
        <v>6171</v>
      </c>
      <c r="N977" t="s">
        <v>6172</v>
      </c>
      <c r="O977" t="s">
        <v>6173</v>
      </c>
      <c r="P977" t="s">
        <v>6174</v>
      </c>
      <c r="Q977">
        <v>30.82</v>
      </c>
      <c r="R977" t="s">
        <v>1699</v>
      </c>
      <c r="S977">
        <v>0.38</v>
      </c>
      <c r="T977">
        <v>36.909999999999997</v>
      </c>
      <c r="U977" t="s">
        <v>512</v>
      </c>
      <c r="V977" t="s">
        <v>3752</v>
      </c>
      <c r="W977" t="s">
        <v>1567</v>
      </c>
      <c r="X977">
        <v>2.59</v>
      </c>
      <c r="Y977" t="s">
        <v>5598</v>
      </c>
      <c r="Z977" t="s">
        <v>1204</v>
      </c>
      <c r="AA977" t="s">
        <v>610</v>
      </c>
      <c r="AB977">
        <v>4.1100000000000003</v>
      </c>
      <c r="AC977" t="s">
        <v>547</v>
      </c>
      <c r="AD977">
        <v>58.36</v>
      </c>
      <c r="AE977" t="s">
        <v>782</v>
      </c>
      <c r="AF977">
        <v>0.79</v>
      </c>
      <c r="AG977">
        <v>0</v>
      </c>
      <c r="AH977">
        <v>0</v>
      </c>
      <c r="AI977" s="4">
        <v>42117</v>
      </c>
    </row>
    <row r="978" spans="1:35">
      <c r="A978">
        <v>977</v>
      </c>
      <c r="B978" t="str">
        <f>"300231"</f>
        <v>300231</v>
      </c>
      <c r="C978" t="s">
        <v>6175</v>
      </c>
      <c r="D978" s="4">
        <v>43190</v>
      </c>
      <c r="E978" t="s">
        <v>540</v>
      </c>
      <c r="F978" t="s">
        <v>499</v>
      </c>
      <c r="G978">
        <v>9379</v>
      </c>
      <c r="H978">
        <v>0.04</v>
      </c>
      <c r="I978">
        <v>2.86</v>
      </c>
      <c r="J978">
        <v>2.59</v>
      </c>
      <c r="K978" t="s">
        <v>1905</v>
      </c>
      <c r="L978">
        <v>44.05</v>
      </c>
      <c r="M978" t="s">
        <v>6176</v>
      </c>
      <c r="N978" t="s">
        <v>6177</v>
      </c>
      <c r="O978" t="s">
        <v>6176</v>
      </c>
      <c r="P978" t="s">
        <v>6178</v>
      </c>
      <c r="Q978">
        <v>5</v>
      </c>
      <c r="R978" t="s">
        <v>3674</v>
      </c>
      <c r="S978">
        <v>0.4</v>
      </c>
      <c r="T978">
        <v>27.84</v>
      </c>
      <c r="U978" t="s">
        <v>303</v>
      </c>
      <c r="V978" t="s">
        <v>840</v>
      </c>
      <c r="W978" t="s">
        <v>595</v>
      </c>
      <c r="X978">
        <v>2.59</v>
      </c>
      <c r="Y978" t="s">
        <v>348</v>
      </c>
      <c r="Z978" t="s">
        <v>185</v>
      </c>
      <c r="AA978" t="s">
        <v>5899</v>
      </c>
      <c r="AB978">
        <v>2.5099999999999998</v>
      </c>
      <c r="AC978" t="s">
        <v>124</v>
      </c>
      <c r="AD978">
        <v>74.27</v>
      </c>
      <c r="AE978" t="s">
        <v>3587</v>
      </c>
      <c r="AF978">
        <v>1.4</v>
      </c>
      <c r="AG978">
        <v>0</v>
      </c>
      <c r="AH978">
        <v>0</v>
      </c>
      <c r="AI978" s="4">
        <v>40709</v>
      </c>
    </row>
    <row r="979" spans="1:35">
      <c r="A979">
        <v>978</v>
      </c>
      <c r="B979" t="str">
        <f>"300026"</f>
        <v>300026</v>
      </c>
      <c r="C979" t="s">
        <v>6179</v>
      </c>
      <c r="D979" s="4">
        <v>43190</v>
      </c>
      <c r="E979" t="s">
        <v>1625</v>
      </c>
      <c r="F979" t="s">
        <v>440</v>
      </c>
      <c r="G979" t="s">
        <v>6180</v>
      </c>
      <c r="H979">
        <v>0.06</v>
      </c>
      <c r="I979">
        <v>2.14</v>
      </c>
      <c r="J979">
        <v>2.59</v>
      </c>
      <c r="K979" t="s">
        <v>1976</v>
      </c>
      <c r="L979">
        <v>31.58</v>
      </c>
      <c r="M979" t="s">
        <v>1860</v>
      </c>
      <c r="N979">
        <v>0</v>
      </c>
      <c r="O979" t="s">
        <v>1860</v>
      </c>
      <c r="P979" t="s">
        <v>321</v>
      </c>
      <c r="Q979">
        <v>25.83</v>
      </c>
      <c r="R979" t="s">
        <v>2523</v>
      </c>
      <c r="S979">
        <v>0.9</v>
      </c>
      <c r="T979">
        <v>71.75</v>
      </c>
      <c r="U979" t="s">
        <v>1172</v>
      </c>
      <c r="V979" t="s">
        <v>447</v>
      </c>
      <c r="W979" t="s">
        <v>1223</v>
      </c>
      <c r="X979">
        <v>2.59</v>
      </c>
      <c r="Y979" t="s">
        <v>299</v>
      </c>
      <c r="Z979" t="s">
        <v>1173</v>
      </c>
      <c r="AA979" t="s">
        <v>6181</v>
      </c>
      <c r="AB979">
        <v>1.64</v>
      </c>
      <c r="AC979" t="s">
        <v>3302</v>
      </c>
      <c r="AD979">
        <v>86.12</v>
      </c>
      <c r="AE979" t="s">
        <v>857</v>
      </c>
      <c r="AF979">
        <v>0.21</v>
      </c>
      <c r="AG979">
        <v>0</v>
      </c>
      <c r="AH979">
        <v>0</v>
      </c>
      <c r="AI979" s="4">
        <v>40116</v>
      </c>
    </row>
    <row r="980" spans="1:35">
      <c r="A980">
        <v>979</v>
      </c>
      <c r="B980" t="str">
        <f>"002083"</f>
        <v>002083</v>
      </c>
      <c r="C980" t="s">
        <v>6182</v>
      </c>
      <c r="D980" s="4">
        <v>43190</v>
      </c>
      <c r="E980" t="s">
        <v>2512</v>
      </c>
      <c r="F980" t="s">
        <v>519</v>
      </c>
      <c r="G980" t="s">
        <v>3091</v>
      </c>
      <c r="H980">
        <v>0.1</v>
      </c>
      <c r="I980">
        <v>3.46</v>
      </c>
      <c r="J980">
        <v>2.59</v>
      </c>
      <c r="K980" t="s">
        <v>840</v>
      </c>
      <c r="L980">
        <v>11.35</v>
      </c>
      <c r="M980" t="s">
        <v>642</v>
      </c>
      <c r="N980" t="s">
        <v>3684</v>
      </c>
      <c r="O980" t="s">
        <v>282</v>
      </c>
      <c r="P980" t="s">
        <v>6183</v>
      </c>
      <c r="Q980">
        <v>-32.92</v>
      </c>
      <c r="R980" t="s">
        <v>1094</v>
      </c>
      <c r="S980">
        <v>0.81</v>
      </c>
      <c r="T980">
        <v>20.04</v>
      </c>
      <c r="U980" t="s">
        <v>438</v>
      </c>
      <c r="V980" t="s">
        <v>1488</v>
      </c>
      <c r="W980" t="s">
        <v>700</v>
      </c>
      <c r="X980">
        <v>2.59</v>
      </c>
      <c r="Y980" t="s">
        <v>588</v>
      </c>
      <c r="Z980" t="s">
        <v>2283</v>
      </c>
      <c r="AA980" t="s">
        <v>792</v>
      </c>
      <c r="AB980">
        <v>1.49</v>
      </c>
      <c r="AC980" t="s">
        <v>817</v>
      </c>
      <c r="AD980">
        <v>46.25</v>
      </c>
      <c r="AE980" t="s">
        <v>164</v>
      </c>
      <c r="AF980">
        <v>1.39</v>
      </c>
      <c r="AG980">
        <v>0</v>
      </c>
      <c r="AH980">
        <v>0</v>
      </c>
      <c r="AI980" s="4">
        <v>39045</v>
      </c>
    </row>
    <row r="981" spans="1:35">
      <c r="A981">
        <v>980</v>
      </c>
      <c r="B981" t="str">
        <f>"603499"</f>
        <v>603499</v>
      </c>
      <c r="C981" t="s">
        <v>6184</v>
      </c>
      <c r="D981" s="4">
        <v>43190</v>
      </c>
      <c r="E981" t="s">
        <v>651</v>
      </c>
      <c r="F981" t="s">
        <v>534</v>
      </c>
      <c r="G981">
        <v>1632</v>
      </c>
      <c r="H981">
        <v>0.13</v>
      </c>
      <c r="I981">
        <v>5.46</v>
      </c>
      <c r="J981">
        <v>2.58</v>
      </c>
      <c r="K981" t="s">
        <v>6185</v>
      </c>
      <c r="L981">
        <v>19.100000000000001</v>
      </c>
      <c r="M981" t="s">
        <v>6186</v>
      </c>
      <c r="N981" t="s">
        <v>6187</v>
      </c>
      <c r="O981" t="s">
        <v>6188</v>
      </c>
      <c r="P981" t="s">
        <v>2839</v>
      </c>
      <c r="Q981">
        <v>11.23</v>
      </c>
      <c r="R981" t="s">
        <v>677</v>
      </c>
      <c r="S981">
        <v>1.17</v>
      </c>
      <c r="T981">
        <v>23.56</v>
      </c>
      <c r="U981" t="s">
        <v>2510</v>
      </c>
      <c r="V981" t="s">
        <v>2098</v>
      </c>
      <c r="W981" t="s">
        <v>509</v>
      </c>
      <c r="X981">
        <v>2.58</v>
      </c>
      <c r="Y981" t="s">
        <v>845</v>
      </c>
      <c r="Z981" t="s">
        <v>2360</v>
      </c>
      <c r="AA981" t="s">
        <v>6189</v>
      </c>
      <c r="AB981">
        <v>4.7</v>
      </c>
      <c r="AC981" t="s">
        <v>174</v>
      </c>
      <c r="AD981">
        <v>77.7</v>
      </c>
      <c r="AE981" t="s">
        <v>1791</v>
      </c>
      <c r="AF981">
        <v>3.14</v>
      </c>
      <c r="AG981">
        <v>0</v>
      </c>
      <c r="AH981">
        <v>0</v>
      </c>
      <c r="AI981" s="4">
        <v>43024</v>
      </c>
    </row>
    <row r="982" spans="1:35">
      <c r="A982">
        <v>981</v>
      </c>
      <c r="B982" t="str">
        <f>"600113"</f>
        <v>600113</v>
      </c>
      <c r="C982" t="s">
        <v>6190</v>
      </c>
      <c r="D982" s="4">
        <v>43190</v>
      </c>
      <c r="E982" t="s">
        <v>301</v>
      </c>
      <c r="F982" t="s">
        <v>301</v>
      </c>
      <c r="G982">
        <v>7630</v>
      </c>
      <c r="H982">
        <v>0.05</v>
      </c>
      <c r="I982">
        <v>2.04</v>
      </c>
      <c r="J982">
        <v>2.57</v>
      </c>
      <c r="K982" t="s">
        <v>4063</v>
      </c>
      <c r="L982">
        <v>15.92</v>
      </c>
      <c r="M982" t="s">
        <v>2579</v>
      </c>
      <c r="N982" t="s">
        <v>6191</v>
      </c>
      <c r="O982" t="s">
        <v>6192</v>
      </c>
      <c r="P982" t="s">
        <v>6193</v>
      </c>
      <c r="Q982">
        <v>21.93</v>
      </c>
      <c r="R982" t="s">
        <v>314</v>
      </c>
      <c r="S982">
        <v>1.03</v>
      </c>
      <c r="T982">
        <v>46.92</v>
      </c>
      <c r="U982" t="s">
        <v>6194</v>
      </c>
      <c r="V982" t="s">
        <v>193</v>
      </c>
      <c r="W982" t="s">
        <v>368</v>
      </c>
      <c r="X982">
        <v>2.57</v>
      </c>
      <c r="Y982" t="s">
        <v>1048</v>
      </c>
      <c r="Z982" t="s">
        <v>326</v>
      </c>
      <c r="AA982" t="s">
        <v>321</v>
      </c>
      <c r="AB982">
        <v>3.96</v>
      </c>
      <c r="AC982" t="s">
        <v>3293</v>
      </c>
      <c r="AD982">
        <v>68.39</v>
      </c>
      <c r="AE982">
        <v>0</v>
      </c>
      <c r="AF982">
        <v>0</v>
      </c>
      <c r="AG982">
        <v>0</v>
      </c>
      <c r="AH982">
        <v>0</v>
      </c>
      <c r="AI982" s="4">
        <v>35724</v>
      </c>
    </row>
    <row r="983" spans="1:35">
      <c r="A983">
        <v>982</v>
      </c>
      <c r="B983" t="str">
        <f>"300622"</f>
        <v>300622</v>
      </c>
      <c r="C983" t="s">
        <v>6195</v>
      </c>
      <c r="D983" s="4">
        <v>43190</v>
      </c>
      <c r="E983" t="s">
        <v>4058</v>
      </c>
      <c r="F983" t="s">
        <v>6196</v>
      </c>
      <c r="G983">
        <v>3680</v>
      </c>
      <c r="H983">
        <v>0.14000000000000001</v>
      </c>
      <c r="I983">
        <v>5.22</v>
      </c>
      <c r="J983">
        <v>2.57</v>
      </c>
      <c r="K983" t="s">
        <v>1038</v>
      </c>
      <c r="L983">
        <v>14.29</v>
      </c>
      <c r="M983" t="s">
        <v>4588</v>
      </c>
      <c r="N983" t="s">
        <v>2906</v>
      </c>
      <c r="O983" t="s">
        <v>6197</v>
      </c>
      <c r="P983" t="s">
        <v>4391</v>
      </c>
      <c r="Q983">
        <v>26.43</v>
      </c>
      <c r="R983" t="s">
        <v>1459</v>
      </c>
      <c r="S983">
        <v>1.05</v>
      </c>
      <c r="T983">
        <v>72.34</v>
      </c>
      <c r="U983" t="s">
        <v>1685</v>
      </c>
      <c r="V983" t="s">
        <v>1436</v>
      </c>
      <c r="W983" t="s">
        <v>6198</v>
      </c>
      <c r="X983">
        <v>2.57</v>
      </c>
      <c r="Y983" t="s">
        <v>6199</v>
      </c>
      <c r="Z983" t="s">
        <v>6200</v>
      </c>
      <c r="AA983" t="s">
        <v>3493</v>
      </c>
      <c r="AB983">
        <v>3.98</v>
      </c>
      <c r="AC983" t="s">
        <v>1659</v>
      </c>
      <c r="AD983">
        <v>82.81</v>
      </c>
      <c r="AE983" t="s">
        <v>126</v>
      </c>
      <c r="AF983">
        <v>2.91</v>
      </c>
      <c r="AG983">
        <v>0</v>
      </c>
      <c r="AH983">
        <v>0</v>
      </c>
      <c r="AI983" s="4">
        <v>42809</v>
      </c>
    </row>
    <row r="984" spans="1:35">
      <c r="A984">
        <v>983</v>
      </c>
      <c r="B984" t="str">
        <f>"002721"</f>
        <v>002721</v>
      </c>
      <c r="C984" t="s">
        <v>6201</v>
      </c>
      <c r="D984" s="4">
        <v>43190</v>
      </c>
      <c r="E984" t="s">
        <v>2035</v>
      </c>
      <c r="F984" t="s">
        <v>1076</v>
      </c>
      <c r="G984" t="s">
        <v>6078</v>
      </c>
      <c r="H984">
        <v>0.15</v>
      </c>
      <c r="I984">
        <v>5.76</v>
      </c>
      <c r="J984">
        <v>2.57</v>
      </c>
      <c r="K984" t="s">
        <v>573</v>
      </c>
      <c r="L984">
        <v>63.51</v>
      </c>
      <c r="M984" t="s">
        <v>255</v>
      </c>
      <c r="N984" t="s">
        <v>6202</v>
      </c>
      <c r="O984" t="s">
        <v>1860</v>
      </c>
      <c r="P984" t="s">
        <v>209</v>
      </c>
      <c r="Q984">
        <v>310.72000000000003</v>
      </c>
      <c r="R984" t="s">
        <v>458</v>
      </c>
      <c r="S984">
        <v>1.0900000000000001</v>
      </c>
      <c r="T984">
        <v>8.86</v>
      </c>
      <c r="U984" t="s">
        <v>4910</v>
      </c>
      <c r="V984" t="s">
        <v>1453</v>
      </c>
      <c r="W984" t="s">
        <v>442</v>
      </c>
      <c r="X984">
        <v>2.57</v>
      </c>
      <c r="Y984" t="s">
        <v>1929</v>
      </c>
      <c r="Z984" t="s">
        <v>2066</v>
      </c>
      <c r="AA984" t="s">
        <v>187</v>
      </c>
      <c r="AB984">
        <v>1.56</v>
      </c>
      <c r="AC984" t="s">
        <v>5794</v>
      </c>
      <c r="AD984">
        <v>25.8</v>
      </c>
      <c r="AE984" t="s">
        <v>756</v>
      </c>
      <c r="AF984">
        <v>3.65</v>
      </c>
      <c r="AG984">
        <v>0</v>
      </c>
      <c r="AH984">
        <v>0</v>
      </c>
      <c r="AI984" s="4">
        <v>41666</v>
      </c>
    </row>
    <row r="985" spans="1:35">
      <c r="A985">
        <v>984</v>
      </c>
      <c r="B985" t="str">
        <f>"601326"</f>
        <v>601326</v>
      </c>
      <c r="C985" t="s">
        <v>6203</v>
      </c>
      <c r="D985" s="4">
        <v>43190</v>
      </c>
      <c r="E985" t="s">
        <v>4015</v>
      </c>
      <c r="F985" t="s">
        <v>695</v>
      </c>
      <c r="G985">
        <v>0</v>
      </c>
      <c r="H985">
        <v>0.06</v>
      </c>
      <c r="I985">
        <v>2.46</v>
      </c>
      <c r="J985">
        <v>2.56</v>
      </c>
      <c r="K985" t="s">
        <v>775</v>
      </c>
      <c r="L985">
        <v>6</v>
      </c>
      <c r="M985" t="s">
        <v>1317</v>
      </c>
      <c r="N985" t="s">
        <v>6204</v>
      </c>
      <c r="O985" t="s">
        <v>1209</v>
      </c>
      <c r="P985" t="s">
        <v>1378</v>
      </c>
      <c r="Q985">
        <v>21.4</v>
      </c>
      <c r="R985" t="s">
        <v>1126</v>
      </c>
      <c r="S985">
        <v>0.32</v>
      </c>
      <c r="T985">
        <v>44.16</v>
      </c>
      <c r="U985" t="s">
        <v>1454</v>
      </c>
      <c r="V985" t="s">
        <v>907</v>
      </c>
      <c r="W985" t="s">
        <v>3912</v>
      </c>
      <c r="X985">
        <v>2.56</v>
      </c>
      <c r="Y985" t="s">
        <v>586</v>
      </c>
      <c r="Z985" t="s">
        <v>1698</v>
      </c>
      <c r="AA985" t="s">
        <v>6205</v>
      </c>
      <c r="AB985">
        <v>1.68</v>
      </c>
      <c r="AC985" t="s">
        <v>1279</v>
      </c>
      <c r="AD985">
        <v>53.47</v>
      </c>
      <c r="AE985" t="s">
        <v>1326</v>
      </c>
      <c r="AF985">
        <v>0.93</v>
      </c>
      <c r="AG985">
        <v>0</v>
      </c>
      <c r="AH985" t="s">
        <v>1415</v>
      </c>
      <c r="AI985" s="4">
        <v>42963</v>
      </c>
    </row>
    <row r="986" spans="1:35">
      <c r="A986">
        <v>985</v>
      </c>
      <c r="B986" t="str">
        <f>"300640"</f>
        <v>300640</v>
      </c>
      <c r="C986" t="s">
        <v>6206</v>
      </c>
      <c r="D986" s="4">
        <v>43190</v>
      </c>
      <c r="E986" t="s">
        <v>1016</v>
      </c>
      <c r="F986" t="s">
        <v>6207</v>
      </c>
      <c r="G986">
        <v>2520</v>
      </c>
      <c r="H986">
        <v>0.05</v>
      </c>
      <c r="I986">
        <v>1.89</v>
      </c>
      <c r="J986">
        <v>2.56</v>
      </c>
      <c r="K986" t="s">
        <v>45</v>
      </c>
      <c r="L986">
        <v>24.52</v>
      </c>
      <c r="M986" t="s">
        <v>2928</v>
      </c>
      <c r="N986">
        <v>0</v>
      </c>
      <c r="O986" t="s">
        <v>6208</v>
      </c>
      <c r="P986" t="s">
        <v>6209</v>
      </c>
      <c r="Q986">
        <v>-28.73</v>
      </c>
      <c r="R986" t="s">
        <v>6210</v>
      </c>
      <c r="S986">
        <v>0.23</v>
      </c>
      <c r="T986">
        <v>17.34</v>
      </c>
      <c r="U986" t="s">
        <v>265</v>
      </c>
      <c r="V986" t="s">
        <v>559</v>
      </c>
      <c r="W986" t="s">
        <v>6211</v>
      </c>
      <c r="X986">
        <v>2.56</v>
      </c>
      <c r="Y986" t="s">
        <v>6212</v>
      </c>
      <c r="Z986" t="s">
        <v>3092</v>
      </c>
      <c r="AA986" t="s">
        <v>4318</v>
      </c>
      <c r="AB986">
        <v>6.29</v>
      </c>
      <c r="AC986" t="s">
        <v>1124</v>
      </c>
      <c r="AD986">
        <v>80.77</v>
      </c>
      <c r="AE986" t="s">
        <v>711</v>
      </c>
      <c r="AF986">
        <v>0.51</v>
      </c>
      <c r="AG986">
        <v>0</v>
      </c>
      <c r="AH986">
        <v>0</v>
      </c>
      <c r="AI986" s="4">
        <v>42842</v>
      </c>
    </row>
    <row r="987" spans="1:35">
      <c r="A987">
        <v>986</v>
      </c>
      <c r="B987" t="str">
        <f>"000636"</f>
        <v>000636</v>
      </c>
      <c r="C987" t="s">
        <v>6213</v>
      </c>
      <c r="D987" s="4">
        <v>43190</v>
      </c>
      <c r="E987" t="s">
        <v>2593</v>
      </c>
      <c r="F987" t="s">
        <v>4936</v>
      </c>
      <c r="G987" t="s">
        <v>915</v>
      </c>
      <c r="H987">
        <v>0.13</v>
      </c>
      <c r="I987">
        <v>5.07</v>
      </c>
      <c r="J987">
        <v>2.56</v>
      </c>
      <c r="K987" t="s">
        <v>1462</v>
      </c>
      <c r="L987">
        <v>35.17</v>
      </c>
      <c r="M987" t="s">
        <v>84</v>
      </c>
      <c r="N987" t="s">
        <v>6214</v>
      </c>
      <c r="O987" t="s">
        <v>1974</v>
      </c>
      <c r="P987" t="s">
        <v>282</v>
      </c>
      <c r="Q987">
        <v>327.69</v>
      </c>
      <c r="R987" t="s">
        <v>297</v>
      </c>
      <c r="S987">
        <v>0.89</v>
      </c>
      <c r="T987">
        <v>30.37</v>
      </c>
      <c r="U987" t="s">
        <v>225</v>
      </c>
      <c r="V987" t="s">
        <v>253</v>
      </c>
      <c r="W987" t="s">
        <v>1920</v>
      </c>
      <c r="X987">
        <v>2.56</v>
      </c>
      <c r="Y987" t="s">
        <v>173</v>
      </c>
      <c r="Z987" t="s">
        <v>164</v>
      </c>
      <c r="AA987" t="s">
        <v>505</v>
      </c>
      <c r="AB987">
        <v>2.5499999999999998</v>
      </c>
      <c r="AC987" t="s">
        <v>3653</v>
      </c>
      <c r="AD987">
        <v>75.319999999999993</v>
      </c>
      <c r="AE987" t="s">
        <v>1213</v>
      </c>
      <c r="AF987">
        <v>2.69</v>
      </c>
      <c r="AG987">
        <v>0</v>
      </c>
      <c r="AH987">
        <v>0</v>
      </c>
      <c r="AI987" s="4">
        <v>35398</v>
      </c>
    </row>
    <row r="988" spans="1:35">
      <c r="A988">
        <v>987</v>
      </c>
      <c r="B988" t="str">
        <f>"603520"</f>
        <v>603520</v>
      </c>
      <c r="C988" t="s">
        <v>6215</v>
      </c>
      <c r="D988" s="4">
        <v>43190</v>
      </c>
      <c r="E988" t="s">
        <v>280</v>
      </c>
      <c r="F988" t="s">
        <v>6216</v>
      </c>
      <c r="G988">
        <v>4294</v>
      </c>
      <c r="H988">
        <v>0.18</v>
      </c>
      <c r="I988">
        <v>7.33</v>
      </c>
      <c r="J988">
        <v>2.5499999999999998</v>
      </c>
      <c r="K988" t="s">
        <v>1860</v>
      </c>
      <c r="L988">
        <v>0.39</v>
      </c>
      <c r="M988" t="s">
        <v>6217</v>
      </c>
      <c r="N988" t="s">
        <v>6218</v>
      </c>
      <c r="O988" t="s">
        <v>3915</v>
      </c>
      <c r="P988" t="s">
        <v>5015</v>
      </c>
      <c r="Q988">
        <v>-21.03</v>
      </c>
      <c r="R988" t="s">
        <v>3535</v>
      </c>
      <c r="S988">
        <v>2.08</v>
      </c>
      <c r="T988">
        <v>38.61</v>
      </c>
      <c r="U988" t="s">
        <v>159</v>
      </c>
      <c r="V988" t="s">
        <v>3557</v>
      </c>
      <c r="W988" t="s">
        <v>3632</v>
      </c>
      <c r="X988">
        <v>2.5499999999999998</v>
      </c>
      <c r="Y988" t="s">
        <v>625</v>
      </c>
      <c r="Z988" t="s">
        <v>741</v>
      </c>
      <c r="AA988" t="s">
        <v>1128</v>
      </c>
      <c r="AB988">
        <v>2.85</v>
      </c>
      <c r="AC988" t="s">
        <v>4384</v>
      </c>
      <c r="AD988">
        <v>42.03</v>
      </c>
      <c r="AE988" t="s">
        <v>2222</v>
      </c>
      <c r="AF988">
        <v>3.8</v>
      </c>
      <c r="AG988">
        <v>0</v>
      </c>
      <c r="AH988">
        <v>0</v>
      </c>
      <c r="AI988" s="4">
        <v>42438</v>
      </c>
    </row>
    <row r="989" spans="1:35">
      <c r="A989">
        <v>988</v>
      </c>
      <c r="B989" t="str">
        <f>"603086"</f>
        <v>603086</v>
      </c>
      <c r="C989" t="s">
        <v>6219</v>
      </c>
      <c r="D989" s="4">
        <v>43190</v>
      </c>
      <c r="E989" t="s">
        <v>355</v>
      </c>
      <c r="F989" t="s">
        <v>3396</v>
      </c>
      <c r="G989">
        <v>2380</v>
      </c>
      <c r="H989">
        <v>0.26</v>
      </c>
      <c r="I989">
        <v>10.17</v>
      </c>
      <c r="J989">
        <v>2.5499999999999998</v>
      </c>
      <c r="K989" t="s">
        <v>2551</v>
      </c>
      <c r="L989">
        <v>10.63</v>
      </c>
      <c r="M989" t="s">
        <v>6220</v>
      </c>
      <c r="N989" t="s">
        <v>3109</v>
      </c>
      <c r="O989" t="s">
        <v>6221</v>
      </c>
      <c r="P989" t="s">
        <v>5740</v>
      </c>
      <c r="Q989">
        <v>16.89</v>
      </c>
      <c r="R989" t="s">
        <v>169</v>
      </c>
      <c r="S989">
        <v>4.41</v>
      </c>
      <c r="T989">
        <v>29.52</v>
      </c>
      <c r="U989" t="s">
        <v>173</v>
      </c>
      <c r="V989" t="s">
        <v>1033</v>
      </c>
      <c r="W989" t="s">
        <v>603</v>
      </c>
      <c r="X989">
        <v>2.5499999999999998</v>
      </c>
      <c r="Y989" t="s">
        <v>1977</v>
      </c>
      <c r="Z989" t="s">
        <v>203</v>
      </c>
      <c r="AA989" t="s">
        <v>1737</v>
      </c>
      <c r="AB989">
        <v>2.0499999999999998</v>
      </c>
      <c r="AC989" t="s">
        <v>973</v>
      </c>
      <c r="AD989">
        <v>81.010000000000005</v>
      </c>
      <c r="AE989" t="s">
        <v>1806</v>
      </c>
      <c r="AF989">
        <v>3.97</v>
      </c>
      <c r="AG989">
        <v>0</v>
      </c>
      <c r="AH989">
        <v>0</v>
      </c>
      <c r="AI989" s="4">
        <v>42866</v>
      </c>
    </row>
    <row r="990" spans="1:35">
      <c r="A990">
        <v>989</v>
      </c>
      <c r="B990" t="str">
        <f>"600028"</f>
        <v>600028</v>
      </c>
      <c r="C990" t="s">
        <v>6222</v>
      </c>
      <c r="D990" s="4">
        <v>43190</v>
      </c>
      <c r="E990" t="s">
        <v>6223</v>
      </c>
      <c r="F990" t="s">
        <v>6224</v>
      </c>
      <c r="G990" t="s">
        <v>6225</v>
      </c>
      <c r="H990">
        <v>0.16</v>
      </c>
      <c r="I990">
        <v>5.76</v>
      </c>
      <c r="J990">
        <v>2.5499999999999998</v>
      </c>
      <c r="K990" t="s">
        <v>6226</v>
      </c>
      <c r="L990">
        <v>6.71</v>
      </c>
      <c r="M990" t="s">
        <v>394</v>
      </c>
      <c r="N990" t="s">
        <v>3073</v>
      </c>
      <c r="O990" t="s">
        <v>394</v>
      </c>
      <c r="P990" t="s">
        <v>432</v>
      </c>
      <c r="Q990">
        <v>12.85</v>
      </c>
      <c r="R990" t="s">
        <v>6227</v>
      </c>
      <c r="S990">
        <v>2.15</v>
      </c>
      <c r="T990">
        <v>19.309999999999999</v>
      </c>
      <c r="U990" t="s">
        <v>6228</v>
      </c>
      <c r="V990" t="s">
        <v>6229</v>
      </c>
      <c r="W990" t="s">
        <v>6230</v>
      </c>
      <c r="X990">
        <v>2.5499999999999998</v>
      </c>
      <c r="Y990" t="s">
        <v>6231</v>
      </c>
      <c r="Z990" t="s">
        <v>6232</v>
      </c>
      <c r="AA990" t="s">
        <v>6233</v>
      </c>
      <c r="AB990">
        <v>1.1200000000000001</v>
      </c>
      <c r="AC990" t="s">
        <v>6234</v>
      </c>
      <c r="AD990">
        <v>47.43</v>
      </c>
      <c r="AE990" t="s">
        <v>6235</v>
      </c>
      <c r="AF990">
        <v>0.99</v>
      </c>
      <c r="AG990">
        <v>0</v>
      </c>
      <c r="AH990" t="s">
        <v>3410</v>
      </c>
      <c r="AI990" s="4">
        <v>37111</v>
      </c>
    </row>
    <row r="991" spans="1:35">
      <c r="A991">
        <v>990</v>
      </c>
      <c r="B991" t="str">
        <f>"300501"</f>
        <v>300501</v>
      </c>
      <c r="C991" t="s">
        <v>6236</v>
      </c>
      <c r="D991" s="4">
        <v>43190</v>
      </c>
      <c r="E991" t="s">
        <v>651</v>
      </c>
      <c r="F991" t="s">
        <v>3504</v>
      </c>
      <c r="G991">
        <v>2573</v>
      </c>
      <c r="H991">
        <v>0.16</v>
      </c>
      <c r="I991">
        <v>5.89</v>
      </c>
      <c r="J991">
        <v>2.5499999999999998</v>
      </c>
      <c r="K991" t="s">
        <v>804</v>
      </c>
      <c r="L991">
        <v>36.03</v>
      </c>
      <c r="M991" t="s">
        <v>6237</v>
      </c>
      <c r="N991" t="s">
        <v>6238</v>
      </c>
      <c r="O991" t="s">
        <v>6239</v>
      </c>
      <c r="P991" t="s">
        <v>6240</v>
      </c>
      <c r="Q991">
        <v>6.34</v>
      </c>
      <c r="R991" t="s">
        <v>470</v>
      </c>
      <c r="S991">
        <v>1.99</v>
      </c>
      <c r="T991">
        <v>33.58</v>
      </c>
      <c r="U991" t="s">
        <v>566</v>
      </c>
      <c r="V991" t="s">
        <v>1481</v>
      </c>
      <c r="W991" t="s">
        <v>6241</v>
      </c>
      <c r="X991">
        <v>2.5499999999999998</v>
      </c>
      <c r="Y991" t="s">
        <v>6242</v>
      </c>
      <c r="Z991" t="s">
        <v>6243</v>
      </c>
      <c r="AA991" t="s">
        <v>6244</v>
      </c>
      <c r="AB991">
        <v>3.46</v>
      </c>
      <c r="AC991" t="s">
        <v>2532</v>
      </c>
      <c r="AD991">
        <v>84.25</v>
      </c>
      <c r="AE991" t="s">
        <v>1152</v>
      </c>
      <c r="AF991">
        <v>2.7</v>
      </c>
      <c r="AG991">
        <v>0</v>
      </c>
      <c r="AH991">
        <v>0</v>
      </c>
      <c r="AI991" s="4">
        <v>42404</v>
      </c>
    </row>
    <row r="992" spans="1:35">
      <c r="A992">
        <v>991</v>
      </c>
      <c r="B992" t="str">
        <f>"300485"</f>
        <v>300485</v>
      </c>
      <c r="C992" t="s">
        <v>6245</v>
      </c>
      <c r="D992" s="4">
        <v>43190</v>
      </c>
      <c r="E992" t="s">
        <v>94</v>
      </c>
      <c r="F992" t="s">
        <v>6246</v>
      </c>
      <c r="G992">
        <v>3803</v>
      </c>
      <c r="H992">
        <v>0.25</v>
      </c>
      <c r="I992">
        <v>9.91</v>
      </c>
      <c r="J992">
        <v>2.5499999999999998</v>
      </c>
      <c r="K992" t="s">
        <v>1977</v>
      </c>
      <c r="L992">
        <v>149.96</v>
      </c>
      <c r="M992" t="s">
        <v>6247</v>
      </c>
      <c r="N992" t="s">
        <v>5831</v>
      </c>
      <c r="O992" t="s">
        <v>6247</v>
      </c>
      <c r="P992" t="s">
        <v>6248</v>
      </c>
      <c r="Q992">
        <v>32.18</v>
      </c>
      <c r="R992" t="s">
        <v>2620</v>
      </c>
      <c r="S992">
        <v>4.1399999999999997</v>
      </c>
      <c r="T992">
        <v>85.47</v>
      </c>
      <c r="U992" t="s">
        <v>2542</v>
      </c>
      <c r="V992" t="s">
        <v>1126</v>
      </c>
      <c r="W992" t="s">
        <v>6249</v>
      </c>
      <c r="X992">
        <v>2.5499999999999998</v>
      </c>
      <c r="Y992" t="s">
        <v>505</v>
      </c>
      <c r="Z992" t="s">
        <v>505</v>
      </c>
      <c r="AA992" t="s">
        <v>6250</v>
      </c>
      <c r="AB992">
        <v>2.76</v>
      </c>
      <c r="AC992" t="s">
        <v>1704</v>
      </c>
      <c r="AD992">
        <v>93.73</v>
      </c>
      <c r="AE992" t="s">
        <v>978</v>
      </c>
      <c r="AF992">
        <v>4.29</v>
      </c>
      <c r="AG992">
        <v>0</v>
      </c>
      <c r="AH992">
        <v>0</v>
      </c>
      <c r="AI992" s="4">
        <v>42181</v>
      </c>
    </row>
    <row r="993" spans="1:35">
      <c r="A993">
        <v>992</v>
      </c>
      <c r="B993" t="str">
        <f>"300184"</f>
        <v>300184</v>
      </c>
      <c r="C993" t="s">
        <v>6251</v>
      </c>
      <c r="D993" s="4">
        <v>43190</v>
      </c>
      <c r="E993" t="s">
        <v>1276</v>
      </c>
      <c r="F993" t="s">
        <v>325</v>
      </c>
      <c r="G993">
        <v>9776</v>
      </c>
      <c r="H993">
        <v>0.16</v>
      </c>
      <c r="I993">
        <v>6.49</v>
      </c>
      <c r="J993">
        <v>2.5499999999999998</v>
      </c>
      <c r="K993" t="s">
        <v>789</v>
      </c>
      <c r="L993">
        <v>130.04</v>
      </c>
      <c r="M993" t="s">
        <v>595</v>
      </c>
      <c r="N993" t="s">
        <v>6252</v>
      </c>
      <c r="O993" t="s">
        <v>372</v>
      </c>
      <c r="P993" t="s">
        <v>71</v>
      </c>
      <c r="Q993">
        <v>167.27</v>
      </c>
      <c r="R993" t="s">
        <v>2586</v>
      </c>
      <c r="S993">
        <v>0.82</v>
      </c>
      <c r="T993">
        <v>8.2799999999999994</v>
      </c>
      <c r="U993" t="s">
        <v>1442</v>
      </c>
      <c r="V993" t="s">
        <v>1397</v>
      </c>
      <c r="W993" t="s">
        <v>1287</v>
      </c>
      <c r="X993">
        <v>2.5499999999999998</v>
      </c>
      <c r="Y993" t="s">
        <v>1255</v>
      </c>
      <c r="Z993" t="s">
        <v>1000</v>
      </c>
      <c r="AA993" t="s">
        <v>6253</v>
      </c>
      <c r="AB993">
        <v>1.51</v>
      </c>
      <c r="AC993" t="s">
        <v>524</v>
      </c>
      <c r="AD993">
        <v>68.22</v>
      </c>
      <c r="AE993" t="s">
        <v>2071</v>
      </c>
      <c r="AF993">
        <v>4.6900000000000004</v>
      </c>
      <c r="AG993">
        <v>0</v>
      </c>
      <c r="AH993">
        <v>0</v>
      </c>
      <c r="AI993" s="4">
        <v>40596</v>
      </c>
    </row>
    <row r="994" spans="1:35">
      <c r="A994">
        <v>993</v>
      </c>
      <c r="B994" t="str">
        <f>"002534"</f>
        <v>002534</v>
      </c>
      <c r="C994" t="s">
        <v>6254</v>
      </c>
      <c r="D994" s="4">
        <v>43190</v>
      </c>
      <c r="E994" t="s">
        <v>2913</v>
      </c>
      <c r="F994" t="s">
        <v>1837</v>
      </c>
      <c r="G994" t="s">
        <v>4905</v>
      </c>
      <c r="H994">
        <v>0.1</v>
      </c>
      <c r="I994">
        <v>3.94</v>
      </c>
      <c r="J994">
        <v>2.5499999999999998</v>
      </c>
      <c r="K994" t="s">
        <v>3281</v>
      </c>
      <c r="L994">
        <v>-32.5</v>
      </c>
      <c r="M994" t="s">
        <v>6255</v>
      </c>
      <c r="N994" t="s">
        <v>6256</v>
      </c>
      <c r="O994" t="s">
        <v>6257</v>
      </c>
      <c r="P994" t="s">
        <v>6258</v>
      </c>
      <c r="Q994">
        <v>-20.85</v>
      </c>
      <c r="R994" t="s">
        <v>1307</v>
      </c>
      <c r="S994">
        <v>1.59</v>
      </c>
      <c r="T994">
        <v>24.18</v>
      </c>
      <c r="U994" t="s">
        <v>6259</v>
      </c>
      <c r="V994" t="s">
        <v>2060</v>
      </c>
      <c r="W994" t="s">
        <v>176</v>
      </c>
      <c r="X994">
        <v>2.5499999999999998</v>
      </c>
      <c r="Y994" t="s">
        <v>3386</v>
      </c>
      <c r="Z994" t="s">
        <v>1698</v>
      </c>
      <c r="AA994" t="s">
        <v>2134</v>
      </c>
      <c r="AB994">
        <v>1.63</v>
      </c>
      <c r="AC994" t="s">
        <v>1515</v>
      </c>
      <c r="AD994">
        <v>38.14</v>
      </c>
      <c r="AE994" t="s">
        <v>605</v>
      </c>
      <c r="AF994">
        <v>1.1100000000000001</v>
      </c>
      <c r="AG994">
        <v>0</v>
      </c>
      <c r="AH994">
        <v>0</v>
      </c>
      <c r="AI994" s="4">
        <v>40553</v>
      </c>
    </row>
    <row r="995" spans="1:35">
      <c r="A995">
        <v>994</v>
      </c>
      <c r="B995" t="str">
        <f>"002097"</f>
        <v>002097</v>
      </c>
      <c r="C995" t="s">
        <v>6260</v>
      </c>
      <c r="D995" s="4">
        <v>43190</v>
      </c>
      <c r="E995" t="s">
        <v>521</v>
      </c>
      <c r="F995" t="s">
        <v>3368</v>
      </c>
      <c r="G995">
        <v>8039</v>
      </c>
      <c r="H995">
        <v>0.1</v>
      </c>
      <c r="I995">
        <v>4.0599999999999996</v>
      </c>
      <c r="J995">
        <v>2.5499999999999998</v>
      </c>
      <c r="K995" t="s">
        <v>625</v>
      </c>
      <c r="L995">
        <v>28.13</v>
      </c>
      <c r="M995" t="s">
        <v>1689</v>
      </c>
      <c r="N995" t="s">
        <v>6261</v>
      </c>
      <c r="O995" t="s">
        <v>505</v>
      </c>
      <c r="P995" t="s">
        <v>443</v>
      </c>
      <c r="Q995">
        <v>56.63</v>
      </c>
      <c r="R995" t="s">
        <v>6262</v>
      </c>
      <c r="S995">
        <v>0.68</v>
      </c>
      <c r="T995">
        <v>34.46</v>
      </c>
      <c r="U995" t="s">
        <v>1929</v>
      </c>
      <c r="V995" t="s">
        <v>1030</v>
      </c>
      <c r="W995" t="s">
        <v>1488</v>
      </c>
      <c r="X995">
        <v>2.5499999999999998</v>
      </c>
      <c r="Y995" t="s">
        <v>635</v>
      </c>
      <c r="Z995" t="s">
        <v>765</v>
      </c>
      <c r="AA995" t="s">
        <v>426</v>
      </c>
      <c r="AB995">
        <v>1.45</v>
      </c>
      <c r="AC995" t="s">
        <v>528</v>
      </c>
      <c r="AD995">
        <v>33.53</v>
      </c>
      <c r="AE995" t="s">
        <v>706</v>
      </c>
      <c r="AF995">
        <v>2.3199999999999998</v>
      </c>
      <c r="AG995">
        <v>0</v>
      </c>
      <c r="AH995">
        <v>0</v>
      </c>
      <c r="AI995" s="4">
        <v>39073</v>
      </c>
    </row>
    <row r="996" spans="1:35">
      <c r="A996">
        <v>995</v>
      </c>
      <c r="B996" t="str">
        <f>"603856"</f>
        <v>603856</v>
      </c>
      <c r="C996" t="s">
        <v>6263</v>
      </c>
      <c r="D996" s="4">
        <v>43190</v>
      </c>
      <c r="E996" t="s">
        <v>1860</v>
      </c>
      <c r="F996" t="s">
        <v>6264</v>
      </c>
      <c r="G996">
        <v>1883</v>
      </c>
      <c r="H996">
        <v>0.19</v>
      </c>
      <c r="I996">
        <v>7.44</v>
      </c>
      <c r="J996">
        <v>2.54</v>
      </c>
      <c r="K996" t="s">
        <v>296</v>
      </c>
      <c r="L996">
        <v>79.08</v>
      </c>
      <c r="M996" t="s">
        <v>6265</v>
      </c>
      <c r="N996" t="s">
        <v>3133</v>
      </c>
      <c r="O996" t="s">
        <v>6266</v>
      </c>
      <c r="P996" t="s">
        <v>6267</v>
      </c>
      <c r="Q996">
        <v>130.58000000000001</v>
      </c>
      <c r="R996" t="s">
        <v>1481</v>
      </c>
      <c r="S996">
        <v>2.5099999999999998</v>
      </c>
      <c r="T996">
        <v>21.4</v>
      </c>
      <c r="U996" t="s">
        <v>303</v>
      </c>
      <c r="V996" t="s">
        <v>161</v>
      </c>
      <c r="W996" t="s">
        <v>1287</v>
      </c>
      <c r="X996">
        <v>2.54</v>
      </c>
      <c r="Y996" t="s">
        <v>1320</v>
      </c>
      <c r="Z996" t="s">
        <v>1049</v>
      </c>
      <c r="AA996" t="s">
        <v>3425</v>
      </c>
      <c r="AB996">
        <v>2.36</v>
      </c>
      <c r="AC996" t="s">
        <v>80</v>
      </c>
      <c r="AD996">
        <v>82.02</v>
      </c>
      <c r="AE996" t="s">
        <v>2454</v>
      </c>
      <c r="AF996">
        <v>3.62</v>
      </c>
      <c r="AG996">
        <v>0</v>
      </c>
      <c r="AH996">
        <v>0</v>
      </c>
      <c r="AI996" s="4">
        <v>43045</v>
      </c>
    </row>
    <row r="997" spans="1:35">
      <c r="A997">
        <v>996</v>
      </c>
      <c r="B997" t="str">
        <f>"603768"</f>
        <v>603768</v>
      </c>
      <c r="C997" t="s">
        <v>6268</v>
      </c>
      <c r="D997" s="4">
        <v>43190</v>
      </c>
      <c r="E997" t="s">
        <v>292</v>
      </c>
      <c r="F997" t="s">
        <v>6269</v>
      </c>
      <c r="G997">
        <v>3055</v>
      </c>
      <c r="H997">
        <v>0.21</v>
      </c>
      <c r="I997">
        <v>8.14</v>
      </c>
      <c r="J997">
        <v>2.54</v>
      </c>
      <c r="K997" t="s">
        <v>97</v>
      </c>
      <c r="L997">
        <v>2.5299999999999998</v>
      </c>
      <c r="M997" t="s">
        <v>1915</v>
      </c>
      <c r="N997" t="s">
        <v>6270</v>
      </c>
      <c r="O997" t="s">
        <v>6271</v>
      </c>
      <c r="P997" t="s">
        <v>6272</v>
      </c>
      <c r="Q997">
        <v>20.96</v>
      </c>
      <c r="R997" t="s">
        <v>1714</v>
      </c>
      <c r="S997">
        <v>2.96</v>
      </c>
      <c r="T997">
        <v>23.28</v>
      </c>
      <c r="U997" t="s">
        <v>1661</v>
      </c>
      <c r="V997" t="s">
        <v>547</v>
      </c>
      <c r="W997" t="s">
        <v>523</v>
      </c>
      <c r="X997">
        <v>2.54</v>
      </c>
      <c r="Y997" t="s">
        <v>6154</v>
      </c>
      <c r="Z997" t="s">
        <v>1833</v>
      </c>
      <c r="AA997" t="s">
        <v>6273</v>
      </c>
      <c r="AB997">
        <v>1.71</v>
      </c>
      <c r="AC997" t="s">
        <v>820</v>
      </c>
      <c r="AD997">
        <v>64.27</v>
      </c>
      <c r="AE997" t="s">
        <v>2380</v>
      </c>
      <c r="AF997">
        <v>3.91</v>
      </c>
      <c r="AG997">
        <v>0</v>
      </c>
      <c r="AH997">
        <v>0</v>
      </c>
      <c r="AI997" s="4">
        <v>42818</v>
      </c>
    </row>
    <row r="998" spans="1:35">
      <c r="A998">
        <v>997</v>
      </c>
      <c r="B998" t="str">
        <f>"601618"</f>
        <v>601618</v>
      </c>
      <c r="C998" t="s">
        <v>6274</v>
      </c>
      <c r="D998" s="4">
        <v>43190</v>
      </c>
      <c r="E998" t="s">
        <v>1749</v>
      </c>
      <c r="F998" t="s">
        <v>2491</v>
      </c>
      <c r="G998">
        <v>0</v>
      </c>
      <c r="H998">
        <v>0.08</v>
      </c>
      <c r="I998">
        <v>3.19</v>
      </c>
      <c r="J998">
        <v>2.54</v>
      </c>
      <c r="K998" t="s">
        <v>3413</v>
      </c>
      <c r="L998">
        <v>24.94</v>
      </c>
      <c r="M998" t="s">
        <v>1347</v>
      </c>
      <c r="N998" t="s">
        <v>6275</v>
      </c>
      <c r="O998" t="s">
        <v>512</v>
      </c>
      <c r="P998" t="s">
        <v>298</v>
      </c>
      <c r="Q998">
        <v>15.2</v>
      </c>
      <c r="R998" t="s">
        <v>1654</v>
      </c>
      <c r="S998">
        <v>1.04</v>
      </c>
      <c r="T998">
        <v>12.65</v>
      </c>
      <c r="U998" t="s">
        <v>6276</v>
      </c>
      <c r="V998" t="s">
        <v>6277</v>
      </c>
      <c r="W998" t="s">
        <v>6278</v>
      </c>
      <c r="X998">
        <v>2.54</v>
      </c>
      <c r="Y998" t="s">
        <v>6279</v>
      </c>
      <c r="Z998" t="s">
        <v>6280</v>
      </c>
      <c r="AA998" t="s">
        <v>6281</v>
      </c>
      <c r="AB998">
        <v>1.04</v>
      </c>
      <c r="AC998" t="s">
        <v>2356</v>
      </c>
      <c r="AD998">
        <v>19.920000000000002</v>
      </c>
      <c r="AE998" t="s">
        <v>1265</v>
      </c>
      <c r="AF998">
        <v>1.08</v>
      </c>
      <c r="AG998">
        <v>0</v>
      </c>
      <c r="AH998" t="s">
        <v>1542</v>
      </c>
      <c r="AI998" s="4">
        <v>40077</v>
      </c>
    </row>
    <row r="999" spans="1:35">
      <c r="A999">
        <v>998</v>
      </c>
      <c r="B999" t="str">
        <f>"601000"</f>
        <v>601000</v>
      </c>
      <c r="C999" t="s">
        <v>6282</v>
      </c>
      <c r="D999" s="4">
        <v>43190</v>
      </c>
      <c r="E999" t="s">
        <v>3982</v>
      </c>
      <c r="F999" t="s">
        <v>2389</v>
      </c>
      <c r="G999" t="s">
        <v>377</v>
      </c>
      <c r="H999">
        <v>0.06</v>
      </c>
      <c r="I999">
        <v>2.4500000000000002</v>
      </c>
      <c r="J999">
        <v>2.54</v>
      </c>
      <c r="K999" t="s">
        <v>1101</v>
      </c>
      <c r="L999">
        <v>7.98</v>
      </c>
      <c r="M999" t="s">
        <v>735</v>
      </c>
      <c r="N999" t="s">
        <v>6283</v>
      </c>
      <c r="O999" t="s">
        <v>1695</v>
      </c>
      <c r="P999" t="s">
        <v>2751</v>
      </c>
      <c r="Q999">
        <v>5.71</v>
      </c>
      <c r="R999" t="s">
        <v>3877</v>
      </c>
      <c r="S999">
        <v>0.93</v>
      </c>
      <c r="T999">
        <v>27.47</v>
      </c>
      <c r="U999" t="s">
        <v>2616</v>
      </c>
      <c r="V999" t="s">
        <v>2692</v>
      </c>
      <c r="W999" t="s">
        <v>466</v>
      </c>
      <c r="X999">
        <v>2.54</v>
      </c>
      <c r="Y999" t="s">
        <v>3701</v>
      </c>
      <c r="Z999" t="s">
        <v>1305</v>
      </c>
      <c r="AA999" t="s">
        <v>1126</v>
      </c>
      <c r="AB999">
        <v>1.06</v>
      </c>
      <c r="AC999" t="s">
        <v>1741</v>
      </c>
      <c r="AD999">
        <v>67.459999999999994</v>
      </c>
      <c r="AE999" t="s">
        <v>4558</v>
      </c>
      <c r="AF999">
        <v>0.62</v>
      </c>
      <c r="AG999">
        <v>0</v>
      </c>
      <c r="AH999">
        <v>0</v>
      </c>
      <c r="AI999" s="4">
        <v>40364</v>
      </c>
    </row>
    <row r="1000" spans="1:35">
      <c r="A1000">
        <v>999</v>
      </c>
      <c r="B1000" t="str">
        <f>"300322"</f>
        <v>300322</v>
      </c>
      <c r="C1000" t="s">
        <v>6284</v>
      </c>
      <c r="D1000" s="4">
        <v>43190</v>
      </c>
      <c r="E1000" t="s">
        <v>48</v>
      </c>
      <c r="F1000" t="s">
        <v>2268</v>
      </c>
      <c r="G1000" t="s">
        <v>892</v>
      </c>
      <c r="H1000">
        <v>0.04</v>
      </c>
      <c r="I1000">
        <v>1.49</v>
      </c>
      <c r="J1000">
        <v>2.54</v>
      </c>
      <c r="K1000" t="s">
        <v>265</v>
      </c>
      <c r="L1000">
        <v>14.79</v>
      </c>
      <c r="M1000" t="s">
        <v>6285</v>
      </c>
      <c r="N1000">
        <v>0</v>
      </c>
      <c r="O1000" t="s">
        <v>6286</v>
      </c>
      <c r="P1000" t="s">
        <v>2657</v>
      </c>
      <c r="Q1000">
        <v>412.62</v>
      </c>
      <c r="R1000" t="s">
        <v>1370</v>
      </c>
      <c r="S1000">
        <v>0.3</v>
      </c>
      <c r="T1000">
        <v>21.83</v>
      </c>
      <c r="U1000" t="s">
        <v>187</v>
      </c>
      <c r="V1000" t="s">
        <v>295</v>
      </c>
      <c r="W1000" t="s">
        <v>2431</v>
      </c>
      <c r="X1000">
        <v>2.54</v>
      </c>
      <c r="Y1000" t="s">
        <v>973</v>
      </c>
      <c r="Z1000" t="s">
        <v>1094</v>
      </c>
      <c r="AA1000" t="s">
        <v>1016</v>
      </c>
      <c r="AB1000">
        <v>5.27</v>
      </c>
      <c r="AC1000" t="s">
        <v>792</v>
      </c>
      <c r="AD1000">
        <v>32.9</v>
      </c>
      <c r="AE1000" t="s">
        <v>6287</v>
      </c>
      <c r="AF1000">
        <v>0.12</v>
      </c>
      <c r="AG1000">
        <v>0</v>
      </c>
      <c r="AH1000">
        <v>0</v>
      </c>
      <c r="AI1000" s="4">
        <v>41068</v>
      </c>
    </row>
    <row r="1001" spans="1:35">
      <c r="A1001">
        <v>1000</v>
      </c>
      <c r="B1001" t="str">
        <f>"002475"</f>
        <v>002475</v>
      </c>
      <c r="C1001" t="s">
        <v>6288</v>
      </c>
      <c r="D1001" s="4">
        <v>43190</v>
      </c>
      <c r="E1001" t="s">
        <v>1404</v>
      </c>
      <c r="F1001" t="s">
        <v>907</v>
      </c>
      <c r="G1001" t="s">
        <v>6289</v>
      </c>
      <c r="H1001">
        <v>0.1</v>
      </c>
      <c r="I1001">
        <v>4.22</v>
      </c>
      <c r="J1001">
        <v>2.54</v>
      </c>
      <c r="K1001" t="s">
        <v>2167</v>
      </c>
      <c r="L1001">
        <v>37.409999999999997</v>
      </c>
      <c r="M1001" t="s">
        <v>156</v>
      </c>
      <c r="N1001" t="s">
        <v>6290</v>
      </c>
      <c r="O1001" t="s">
        <v>138</v>
      </c>
      <c r="P1001" t="s">
        <v>976</v>
      </c>
      <c r="Q1001">
        <v>10.51</v>
      </c>
      <c r="R1001" t="s">
        <v>4218</v>
      </c>
      <c r="S1001">
        <v>1.63</v>
      </c>
      <c r="T1001">
        <v>19.7</v>
      </c>
      <c r="U1001" t="s">
        <v>1811</v>
      </c>
      <c r="V1001" t="s">
        <v>1540</v>
      </c>
      <c r="W1001" t="s">
        <v>6291</v>
      </c>
      <c r="X1001">
        <v>2.54</v>
      </c>
      <c r="Y1001" t="s">
        <v>1089</v>
      </c>
      <c r="Z1001" t="s">
        <v>525</v>
      </c>
      <c r="AA1001" t="s">
        <v>1792</v>
      </c>
      <c r="AB1001">
        <v>5.68</v>
      </c>
      <c r="AC1001" t="s">
        <v>794</v>
      </c>
      <c r="AD1001">
        <v>50.52</v>
      </c>
      <c r="AE1001" t="s">
        <v>2702</v>
      </c>
      <c r="AF1001">
        <v>1.43</v>
      </c>
      <c r="AG1001">
        <v>0</v>
      </c>
      <c r="AH1001">
        <v>0</v>
      </c>
      <c r="AI1001" s="4">
        <v>40436</v>
      </c>
    </row>
    <row r="1002" spans="1:35">
      <c r="A1002">
        <v>1001</v>
      </c>
      <c r="B1002" t="str">
        <f>"603161"</f>
        <v>603161</v>
      </c>
      <c r="C1002" t="s">
        <v>6292</v>
      </c>
      <c r="D1002" s="4">
        <v>43190</v>
      </c>
      <c r="E1002" t="s">
        <v>45</v>
      </c>
      <c r="F1002" t="s">
        <v>6293</v>
      </c>
      <c r="G1002">
        <v>1610</v>
      </c>
      <c r="H1002">
        <v>0.19</v>
      </c>
      <c r="I1002">
        <v>9</v>
      </c>
      <c r="J1002">
        <v>2.5299999999999998</v>
      </c>
      <c r="K1002" t="s">
        <v>1810</v>
      </c>
      <c r="L1002">
        <v>44.28</v>
      </c>
      <c r="M1002" t="s">
        <v>6294</v>
      </c>
      <c r="N1002" t="s">
        <v>850</v>
      </c>
      <c r="O1002" t="s">
        <v>6107</v>
      </c>
      <c r="P1002" t="s">
        <v>6295</v>
      </c>
      <c r="Q1002">
        <v>-11.75</v>
      </c>
      <c r="R1002" t="s">
        <v>2185</v>
      </c>
      <c r="S1002">
        <v>2.35</v>
      </c>
      <c r="T1002">
        <v>27.14</v>
      </c>
      <c r="U1002" t="s">
        <v>260</v>
      </c>
      <c r="V1002" t="s">
        <v>176</v>
      </c>
      <c r="W1002" t="s">
        <v>130</v>
      </c>
      <c r="X1002">
        <v>2.5299999999999998</v>
      </c>
      <c r="Y1002" t="s">
        <v>80</v>
      </c>
      <c r="Z1002" t="s">
        <v>2383</v>
      </c>
      <c r="AA1002" t="s">
        <v>1166</v>
      </c>
      <c r="AB1002">
        <v>2.39</v>
      </c>
      <c r="AC1002" t="s">
        <v>625</v>
      </c>
      <c r="AD1002">
        <v>44.93</v>
      </c>
      <c r="AE1002" t="s">
        <v>3802</v>
      </c>
      <c r="AF1002">
        <v>5.36</v>
      </c>
      <c r="AG1002">
        <v>0</v>
      </c>
      <c r="AH1002">
        <v>0</v>
      </c>
      <c r="AI1002" s="4">
        <v>43105</v>
      </c>
    </row>
    <row r="1003" spans="1:35">
      <c r="A1003">
        <v>1002</v>
      </c>
      <c r="B1003" t="str">
        <f>"603111"</f>
        <v>603111</v>
      </c>
      <c r="C1003" t="s">
        <v>6296</v>
      </c>
      <c r="D1003" s="4">
        <v>43190</v>
      </c>
      <c r="E1003" t="s">
        <v>2620</v>
      </c>
      <c r="F1003" t="s">
        <v>3234</v>
      </c>
      <c r="G1003" t="s">
        <v>520</v>
      </c>
      <c r="H1003">
        <v>0.1</v>
      </c>
      <c r="I1003">
        <v>4.99</v>
      </c>
      <c r="J1003">
        <v>2.5299999999999998</v>
      </c>
      <c r="K1003" t="s">
        <v>2380</v>
      </c>
      <c r="L1003">
        <v>102.24</v>
      </c>
      <c r="M1003" t="s">
        <v>1626</v>
      </c>
      <c r="N1003" t="s">
        <v>6297</v>
      </c>
      <c r="O1003" t="s">
        <v>677</v>
      </c>
      <c r="P1003" t="s">
        <v>6298</v>
      </c>
      <c r="Q1003">
        <v>135.53</v>
      </c>
      <c r="R1003" t="s">
        <v>2192</v>
      </c>
      <c r="S1003">
        <v>0.68</v>
      </c>
      <c r="T1003">
        <v>34.08</v>
      </c>
      <c r="U1003" t="s">
        <v>1163</v>
      </c>
      <c r="V1003" t="s">
        <v>3125</v>
      </c>
      <c r="W1003" t="s">
        <v>695</v>
      </c>
      <c r="X1003">
        <v>2.5299999999999998</v>
      </c>
      <c r="Y1003" t="s">
        <v>2542</v>
      </c>
      <c r="Z1003" t="s">
        <v>253</v>
      </c>
      <c r="AA1003" t="s">
        <v>6299</v>
      </c>
      <c r="AB1003">
        <v>1.97</v>
      </c>
      <c r="AC1003" t="s">
        <v>2241</v>
      </c>
      <c r="AD1003">
        <v>65.91</v>
      </c>
      <c r="AE1003" t="s">
        <v>2339</v>
      </c>
      <c r="AF1003">
        <v>3.2</v>
      </c>
      <c r="AG1003">
        <v>0</v>
      </c>
      <c r="AH1003">
        <v>0</v>
      </c>
      <c r="AI1003" s="4">
        <v>41852</v>
      </c>
    </row>
    <row r="1004" spans="1:35">
      <c r="A1004">
        <v>1003</v>
      </c>
      <c r="B1004" t="str">
        <f>"601330"</f>
        <v>601330</v>
      </c>
      <c r="C1004" t="s">
        <v>6300</v>
      </c>
      <c r="D1004" s="4">
        <v>43190</v>
      </c>
      <c r="E1004" t="s">
        <v>613</v>
      </c>
      <c r="F1004" t="s">
        <v>282</v>
      </c>
      <c r="G1004">
        <v>0</v>
      </c>
      <c r="H1004">
        <v>0.05</v>
      </c>
      <c r="I1004">
        <v>2.27</v>
      </c>
      <c r="J1004">
        <v>2.5299999999999998</v>
      </c>
      <c r="K1004" t="s">
        <v>986</v>
      </c>
      <c r="L1004">
        <v>29.5</v>
      </c>
      <c r="M1004" t="s">
        <v>6301</v>
      </c>
      <c r="N1004">
        <v>0</v>
      </c>
      <c r="O1004" t="s">
        <v>6302</v>
      </c>
      <c r="P1004" t="s">
        <v>6092</v>
      </c>
      <c r="Q1004">
        <v>-1.17</v>
      </c>
      <c r="R1004" t="s">
        <v>3238</v>
      </c>
      <c r="S1004">
        <v>0.49</v>
      </c>
      <c r="T1004">
        <v>55.25</v>
      </c>
      <c r="U1004" t="s">
        <v>4690</v>
      </c>
      <c r="V1004" t="s">
        <v>147</v>
      </c>
      <c r="W1004" t="s">
        <v>6303</v>
      </c>
      <c r="X1004">
        <v>2.5299999999999998</v>
      </c>
      <c r="Y1004" t="s">
        <v>1022</v>
      </c>
      <c r="Z1004" t="s">
        <v>1033</v>
      </c>
      <c r="AA1004" t="s">
        <v>2989</v>
      </c>
      <c r="AB1004">
        <v>3.36</v>
      </c>
      <c r="AC1004" t="s">
        <v>865</v>
      </c>
      <c r="AD1004">
        <v>31.57</v>
      </c>
      <c r="AE1004" t="s">
        <v>1941</v>
      </c>
      <c r="AF1004">
        <v>0.74</v>
      </c>
      <c r="AG1004">
        <v>0</v>
      </c>
      <c r="AH1004" t="s">
        <v>78</v>
      </c>
      <c r="AI1004" s="4">
        <v>43262</v>
      </c>
    </row>
    <row r="1005" spans="1:35">
      <c r="A1005">
        <v>1004</v>
      </c>
      <c r="B1005" t="str">
        <f>"600182"</f>
        <v>600182</v>
      </c>
      <c r="C1005" t="s">
        <v>6304</v>
      </c>
      <c r="D1005" s="4">
        <v>43190</v>
      </c>
      <c r="E1005" t="s">
        <v>344</v>
      </c>
      <c r="F1005" t="s">
        <v>2069</v>
      </c>
      <c r="G1005">
        <v>5134</v>
      </c>
      <c r="H1005">
        <v>7.0000000000000007E-2</v>
      </c>
      <c r="I1005">
        <v>2.6</v>
      </c>
      <c r="J1005">
        <v>2.5299999999999998</v>
      </c>
      <c r="K1005" t="s">
        <v>619</v>
      </c>
      <c r="L1005">
        <v>-5.95</v>
      </c>
      <c r="M1005" t="s">
        <v>6305</v>
      </c>
      <c r="N1005">
        <v>0</v>
      </c>
      <c r="O1005" t="s">
        <v>4662</v>
      </c>
      <c r="P1005" t="s">
        <v>6048</v>
      </c>
      <c r="Q1005">
        <v>-21.08</v>
      </c>
      <c r="R1005" t="s">
        <v>202</v>
      </c>
      <c r="S1005">
        <v>1.24</v>
      </c>
      <c r="T1005">
        <v>16.2</v>
      </c>
      <c r="U1005" t="s">
        <v>236</v>
      </c>
      <c r="V1005" t="s">
        <v>789</v>
      </c>
      <c r="W1005" t="s">
        <v>392</v>
      </c>
      <c r="X1005">
        <v>2.5299999999999998</v>
      </c>
      <c r="Y1005" t="s">
        <v>1062</v>
      </c>
      <c r="Z1005" t="s">
        <v>1025</v>
      </c>
      <c r="AA1005" t="s">
        <v>1530</v>
      </c>
      <c r="AB1005">
        <v>9.48</v>
      </c>
      <c r="AC1005" t="s">
        <v>3546</v>
      </c>
      <c r="AD1005">
        <v>27.34</v>
      </c>
      <c r="AE1005" t="s">
        <v>6306</v>
      </c>
      <c r="AF1005">
        <v>0</v>
      </c>
      <c r="AG1005">
        <v>0</v>
      </c>
      <c r="AH1005">
        <v>0</v>
      </c>
      <c r="AI1005" s="4">
        <v>36287</v>
      </c>
    </row>
    <row r="1006" spans="1:35">
      <c r="A1006">
        <v>1005</v>
      </c>
      <c r="B1006" t="str">
        <f>"300634"</f>
        <v>300634</v>
      </c>
      <c r="C1006" t="s">
        <v>6307</v>
      </c>
      <c r="D1006" s="4">
        <v>43190</v>
      </c>
      <c r="E1006" t="s">
        <v>150</v>
      </c>
      <c r="F1006" t="s">
        <v>2417</v>
      </c>
      <c r="G1006">
        <v>518</v>
      </c>
      <c r="H1006">
        <v>0.06</v>
      </c>
      <c r="I1006">
        <v>2.77</v>
      </c>
      <c r="J1006">
        <v>2.5299999999999998</v>
      </c>
      <c r="K1006" t="s">
        <v>2306</v>
      </c>
      <c r="L1006">
        <v>23.46</v>
      </c>
      <c r="M1006" t="s">
        <v>6308</v>
      </c>
      <c r="N1006" t="s">
        <v>6309</v>
      </c>
      <c r="O1006" t="s">
        <v>6310</v>
      </c>
      <c r="P1006" t="s">
        <v>6176</v>
      </c>
      <c r="Q1006">
        <v>88.92</v>
      </c>
      <c r="R1006" t="s">
        <v>1004</v>
      </c>
      <c r="S1006">
        <v>0.55000000000000004</v>
      </c>
      <c r="T1006">
        <v>48.43</v>
      </c>
      <c r="U1006" t="s">
        <v>840</v>
      </c>
      <c r="V1006" t="s">
        <v>460</v>
      </c>
      <c r="W1006" t="s">
        <v>5321</v>
      </c>
      <c r="X1006">
        <v>2.5299999999999998</v>
      </c>
      <c r="Y1006" t="s">
        <v>1457</v>
      </c>
      <c r="Z1006" t="s">
        <v>642</v>
      </c>
      <c r="AA1006" t="s">
        <v>6311</v>
      </c>
      <c r="AB1006">
        <v>13.02</v>
      </c>
      <c r="AC1006" t="s">
        <v>323</v>
      </c>
      <c r="AD1006">
        <v>84.42</v>
      </c>
      <c r="AE1006" t="s">
        <v>771</v>
      </c>
      <c r="AF1006">
        <v>1.17</v>
      </c>
      <c r="AG1006">
        <v>0</v>
      </c>
      <c r="AH1006">
        <v>0</v>
      </c>
      <c r="AI1006" s="4">
        <v>43182</v>
      </c>
    </row>
    <row r="1007" spans="1:35">
      <c r="A1007">
        <v>1006</v>
      </c>
      <c r="B1007" t="str">
        <f>"300572"</f>
        <v>300572</v>
      </c>
      <c r="C1007" t="s">
        <v>6312</v>
      </c>
      <c r="D1007" s="4">
        <v>43190</v>
      </c>
      <c r="E1007" t="s">
        <v>1525</v>
      </c>
      <c r="F1007" t="s">
        <v>6313</v>
      </c>
      <c r="G1007">
        <v>8230</v>
      </c>
      <c r="H1007">
        <v>0.12</v>
      </c>
      <c r="I1007">
        <v>4.6100000000000003</v>
      </c>
      <c r="J1007">
        <v>2.5299999999999998</v>
      </c>
      <c r="K1007" t="s">
        <v>5075</v>
      </c>
      <c r="L1007">
        <v>17.2</v>
      </c>
      <c r="M1007" t="s">
        <v>6314</v>
      </c>
      <c r="N1007" t="s">
        <v>2204</v>
      </c>
      <c r="O1007" t="s">
        <v>6315</v>
      </c>
      <c r="P1007" t="s">
        <v>3950</v>
      </c>
      <c r="Q1007">
        <v>117.95</v>
      </c>
      <c r="R1007" t="s">
        <v>193</v>
      </c>
      <c r="S1007">
        <v>1.58</v>
      </c>
      <c r="T1007">
        <v>49.57</v>
      </c>
      <c r="U1007" t="s">
        <v>1223</v>
      </c>
      <c r="V1007" t="s">
        <v>1094</v>
      </c>
      <c r="W1007" t="s">
        <v>6316</v>
      </c>
      <c r="X1007">
        <v>2.5299999999999998</v>
      </c>
      <c r="Y1007" t="s">
        <v>944</v>
      </c>
      <c r="Z1007" t="s">
        <v>97</v>
      </c>
      <c r="AA1007" t="s">
        <v>6317</v>
      </c>
      <c r="AB1007">
        <v>9.27</v>
      </c>
      <c r="AC1007" t="s">
        <v>2450</v>
      </c>
      <c r="AD1007">
        <v>52.75</v>
      </c>
      <c r="AE1007" t="s">
        <v>1609</v>
      </c>
      <c r="AF1007">
        <v>1.88</v>
      </c>
      <c r="AG1007">
        <v>0</v>
      </c>
      <c r="AH1007">
        <v>0</v>
      </c>
      <c r="AI1007" s="4">
        <v>42710</v>
      </c>
    </row>
    <row r="1008" spans="1:35">
      <c r="A1008">
        <v>1007</v>
      </c>
      <c r="B1008" t="str">
        <f>"002397"</f>
        <v>002397</v>
      </c>
      <c r="C1008" t="s">
        <v>6318</v>
      </c>
      <c r="D1008" s="4">
        <v>43190</v>
      </c>
      <c r="E1008" t="s">
        <v>1608</v>
      </c>
      <c r="F1008" t="s">
        <v>1040</v>
      </c>
      <c r="G1008" t="s">
        <v>3219</v>
      </c>
      <c r="H1008">
        <v>7.0000000000000007E-2</v>
      </c>
      <c r="I1008">
        <v>2.67</v>
      </c>
      <c r="J1008">
        <v>2.5299999999999998</v>
      </c>
      <c r="K1008" t="s">
        <v>2681</v>
      </c>
      <c r="L1008">
        <v>46.54</v>
      </c>
      <c r="M1008" t="s">
        <v>6319</v>
      </c>
      <c r="N1008">
        <v>0</v>
      </c>
      <c r="O1008" t="s">
        <v>6320</v>
      </c>
      <c r="P1008" t="s">
        <v>6321</v>
      </c>
      <c r="Q1008">
        <v>40.85</v>
      </c>
      <c r="R1008" t="s">
        <v>545</v>
      </c>
      <c r="S1008">
        <v>0.59</v>
      </c>
      <c r="T1008">
        <v>46.53</v>
      </c>
      <c r="U1008" t="s">
        <v>638</v>
      </c>
      <c r="V1008" t="s">
        <v>876</v>
      </c>
      <c r="W1008" t="s">
        <v>2149</v>
      </c>
      <c r="X1008">
        <v>2.5299999999999998</v>
      </c>
      <c r="Y1008" t="s">
        <v>973</v>
      </c>
      <c r="Z1008" t="s">
        <v>521</v>
      </c>
      <c r="AA1008" t="s">
        <v>6322</v>
      </c>
      <c r="AB1008">
        <v>1.75</v>
      </c>
      <c r="AC1008" t="s">
        <v>1843</v>
      </c>
      <c r="AD1008">
        <v>61.52</v>
      </c>
      <c r="AE1008" t="s">
        <v>1651</v>
      </c>
      <c r="AF1008">
        <v>0.96</v>
      </c>
      <c r="AG1008">
        <v>0</v>
      </c>
      <c r="AH1008">
        <v>0</v>
      </c>
      <c r="AI1008" s="4">
        <v>40297</v>
      </c>
    </row>
    <row r="1009" spans="1:35">
      <c r="A1009">
        <v>1008</v>
      </c>
      <c r="B1009" t="str">
        <f>"000613"</f>
        <v>000613</v>
      </c>
      <c r="C1009" t="s">
        <v>6323</v>
      </c>
      <c r="D1009" s="4">
        <v>43190</v>
      </c>
      <c r="E1009" t="s">
        <v>707</v>
      </c>
      <c r="F1009" t="s">
        <v>1733</v>
      </c>
      <c r="G1009">
        <v>0</v>
      </c>
      <c r="H1009">
        <v>0.01</v>
      </c>
      <c r="I1009">
        <v>0.22</v>
      </c>
      <c r="J1009">
        <v>2.5299999999999998</v>
      </c>
      <c r="K1009" t="s">
        <v>6324</v>
      </c>
      <c r="L1009">
        <v>5.39</v>
      </c>
      <c r="M1009" t="s">
        <v>2150</v>
      </c>
      <c r="N1009">
        <v>0</v>
      </c>
      <c r="O1009" t="s">
        <v>2150</v>
      </c>
      <c r="P1009" t="s">
        <v>2150</v>
      </c>
      <c r="Q1009">
        <v>-18.12</v>
      </c>
      <c r="R1009" t="s">
        <v>6325</v>
      </c>
      <c r="S1009">
        <v>-0.93</v>
      </c>
      <c r="T1009">
        <v>68.900000000000006</v>
      </c>
      <c r="U1009" t="s">
        <v>6326</v>
      </c>
      <c r="V1009" t="s">
        <v>6327</v>
      </c>
      <c r="W1009" t="s">
        <v>6100</v>
      </c>
      <c r="X1009">
        <v>2.5299999999999998</v>
      </c>
      <c r="Y1009" t="s">
        <v>6328</v>
      </c>
      <c r="Z1009" t="s">
        <v>6329</v>
      </c>
      <c r="AA1009" t="s">
        <v>4977</v>
      </c>
      <c r="AB1009">
        <v>44</v>
      </c>
      <c r="AC1009" t="s">
        <v>6330</v>
      </c>
      <c r="AD1009">
        <v>88.92</v>
      </c>
      <c r="AE1009" t="s">
        <v>5138</v>
      </c>
      <c r="AF1009">
        <v>0.15</v>
      </c>
      <c r="AG1009" t="s">
        <v>4121</v>
      </c>
      <c r="AH1009">
        <v>0</v>
      </c>
      <c r="AI1009" s="4">
        <v>35458</v>
      </c>
    </row>
    <row r="1010" spans="1:35">
      <c r="A1010">
        <v>1009</v>
      </c>
      <c r="B1010" t="str">
        <f>"000070"</f>
        <v>000070</v>
      </c>
      <c r="C1010" t="s">
        <v>6331</v>
      </c>
      <c r="D1010" s="4">
        <v>43190</v>
      </c>
      <c r="E1010" t="s">
        <v>3490</v>
      </c>
      <c r="F1010" t="s">
        <v>734</v>
      </c>
      <c r="G1010" t="s">
        <v>4665</v>
      </c>
      <c r="H1010">
        <v>0.08</v>
      </c>
      <c r="I1010">
        <v>3.21</v>
      </c>
      <c r="J1010">
        <v>2.5299999999999998</v>
      </c>
      <c r="K1010" t="s">
        <v>982</v>
      </c>
      <c r="L1010">
        <v>10.48</v>
      </c>
      <c r="M1010" t="s">
        <v>2560</v>
      </c>
      <c r="N1010" t="s">
        <v>6332</v>
      </c>
      <c r="O1010" t="s">
        <v>6333</v>
      </c>
      <c r="P1010" t="s">
        <v>6334</v>
      </c>
      <c r="Q1010">
        <v>15.79</v>
      </c>
      <c r="R1010" t="s">
        <v>1480</v>
      </c>
      <c r="S1010">
        <v>0.94</v>
      </c>
      <c r="T1010">
        <v>15.12</v>
      </c>
      <c r="U1010" t="s">
        <v>2400</v>
      </c>
      <c r="V1010" t="s">
        <v>3926</v>
      </c>
      <c r="W1010" t="s">
        <v>695</v>
      </c>
      <c r="X1010">
        <v>2.5299999999999998</v>
      </c>
      <c r="Y1010" t="s">
        <v>2136</v>
      </c>
      <c r="Z1010" t="s">
        <v>431</v>
      </c>
      <c r="AA1010" t="s">
        <v>66</v>
      </c>
      <c r="AB1010">
        <v>2.25</v>
      </c>
      <c r="AC1010" t="s">
        <v>712</v>
      </c>
      <c r="AD1010">
        <v>32.82</v>
      </c>
      <c r="AE1010" t="s">
        <v>2913</v>
      </c>
      <c r="AF1010">
        <v>1.18</v>
      </c>
      <c r="AG1010">
        <v>0</v>
      </c>
      <c r="AH1010">
        <v>0</v>
      </c>
      <c r="AI1010" s="4">
        <v>36657</v>
      </c>
    </row>
    <row r="1011" spans="1:35">
      <c r="A1011">
        <v>1010</v>
      </c>
      <c r="B1011" t="str">
        <f>"603978"</f>
        <v>603978</v>
      </c>
      <c r="C1011" t="s">
        <v>6335</v>
      </c>
      <c r="D1011" s="4">
        <v>43190</v>
      </c>
      <c r="E1011" t="s">
        <v>1203</v>
      </c>
      <c r="F1011" t="s">
        <v>4429</v>
      </c>
      <c r="G1011">
        <v>2189</v>
      </c>
      <c r="H1011">
        <v>0.21</v>
      </c>
      <c r="I1011">
        <v>8.25</v>
      </c>
      <c r="J1011">
        <v>2.52</v>
      </c>
      <c r="K1011" t="s">
        <v>118</v>
      </c>
      <c r="L1011">
        <v>12.13</v>
      </c>
      <c r="M1011" t="s">
        <v>6336</v>
      </c>
      <c r="N1011">
        <v>0</v>
      </c>
      <c r="O1011" t="s">
        <v>5733</v>
      </c>
      <c r="P1011" t="s">
        <v>6337</v>
      </c>
      <c r="Q1011">
        <v>57.93</v>
      </c>
      <c r="R1011" t="s">
        <v>872</v>
      </c>
      <c r="S1011">
        <v>3.38</v>
      </c>
      <c r="T1011">
        <v>19.93</v>
      </c>
      <c r="U1011" t="s">
        <v>1062</v>
      </c>
      <c r="V1011" t="s">
        <v>1084</v>
      </c>
      <c r="W1011" t="s">
        <v>749</v>
      </c>
      <c r="X1011">
        <v>2.52</v>
      </c>
      <c r="Y1011" t="s">
        <v>828</v>
      </c>
      <c r="Z1011" t="s">
        <v>454</v>
      </c>
      <c r="AA1011" t="s">
        <v>6338</v>
      </c>
      <c r="AB1011">
        <v>4.01</v>
      </c>
      <c r="AC1011" t="s">
        <v>1214</v>
      </c>
      <c r="AD1011">
        <v>83.69</v>
      </c>
      <c r="AE1011" t="s">
        <v>2110</v>
      </c>
      <c r="AF1011">
        <v>3.63</v>
      </c>
      <c r="AG1011">
        <v>0</v>
      </c>
      <c r="AH1011">
        <v>0</v>
      </c>
      <c r="AI1011" s="4">
        <v>42954</v>
      </c>
    </row>
    <row r="1012" spans="1:35">
      <c r="A1012">
        <v>1011</v>
      </c>
      <c r="B1012" t="str">
        <f>"603081"</f>
        <v>603081</v>
      </c>
      <c r="C1012" t="s">
        <v>6339</v>
      </c>
      <c r="D1012" s="4">
        <v>43190</v>
      </c>
      <c r="E1012" t="s">
        <v>498</v>
      </c>
      <c r="F1012" t="s">
        <v>6340</v>
      </c>
      <c r="G1012">
        <v>5194</v>
      </c>
      <c r="H1012">
        <v>0.1</v>
      </c>
      <c r="I1012">
        <v>3.79</v>
      </c>
      <c r="J1012">
        <v>2.52</v>
      </c>
      <c r="K1012" t="s">
        <v>120</v>
      </c>
      <c r="L1012">
        <v>13.22</v>
      </c>
      <c r="M1012" t="s">
        <v>6341</v>
      </c>
      <c r="N1012" t="s">
        <v>6342</v>
      </c>
      <c r="O1012" t="s">
        <v>6343</v>
      </c>
      <c r="P1012" t="s">
        <v>6344</v>
      </c>
      <c r="Q1012">
        <v>6.24</v>
      </c>
      <c r="R1012" t="s">
        <v>1241</v>
      </c>
      <c r="S1012">
        <v>1.41</v>
      </c>
      <c r="T1012">
        <v>33.81</v>
      </c>
      <c r="U1012" t="s">
        <v>1504</v>
      </c>
      <c r="V1012" t="s">
        <v>1693</v>
      </c>
      <c r="W1012" t="s">
        <v>986</v>
      </c>
      <c r="X1012">
        <v>2.52</v>
      </c>
      <c r="Y1012" t="s">
        <v>895</v>
      </c>
      <c r="Z1012" t="s">
        <v>2705</v>
      </c>
      <c r="AA1012" t="s">
        <v>6345</v>
      </c>
      <c r="AB1012">
        <v>3.81</v>
      </c>
      <c r="AC1012" t="s">
        <v>848</v>
      </c>
      <c r="AD1012">
        <v>60.93</v>
      </c>
      <c r="AE1012" t="s">
        <v>362</v>
      </c>
      <c r="AF1012">
        <v>1.19</v>
      </c>
      <c r="AG1012">
        <v>0</v>
      </c>
      <c r="AH1012">
        <v>0</v>
      </c>
      <c r="AI1012" s="4">
        <v>42845</v>
      </c>
    </row>
    <row r="1013" spans="1:35">
      <c r="A1013">
        <v>1012</v>
      </c>
      <c r="B1013" t="str">
        <f>"601966"</f>
        <v>601966</v>
      </c>
      <c r="C1013" t="s">
        <v>6346</v>
      </c>
      <c r="D1013" s="4">
        <v>43190</v>
      </c>
      <c r="E1013" t="s">
        <v>625</v>
      </c>
      <c r="F1013" t="s">
        <v>1939</v>
      </c>
      <c r="G1013">
        <v>5482</v>
      </c>
      <c r="H1013">
        <v>0.19</v>
      </c>
      <c r="I1013">
        <v>7.08</v>
      </c>
      <c r="J1013">
        <v>2.52</v>
      </c>
      <c r="K1013" t="s">
        <v>1225</v>
      </c>
      <c r="L1013">
        <v>4.08</v>
      </c>
      <c r="M1013" t="s">
        <v>1489</v>
      </c>
      <c r="N1013" t="s">
        <v>6347</v>
      </c>
      <c r="O1013" t="s">
        <v>3674</v>
      </c>
      <c r="P1013" t="s">
        <v>509</v>
      </c>
      <c r="Q1013">
        <v>-12.08</v>
      </c>
      <c r="R1013" t="s">
        <v>551</v>
      </c>
      <c r="S1013">
        <v>3.63</v>
      </c>
      <c r="T1013">
        <v>24.17</v>
      </c>
      <c r="U1013" t="s">
        <v>1151</v>
      </c>
      <c r="V1013" t="s">
        <v>1086</v>
      </c>
      <c r="W1013" t="s">
        <v>5302</v>
      </c>
      <c r="X1013">
        <v>2.52</v>
      </c>
      <c r="Y1013" t="s">
        <v>841</v>
      </c>
      <c r="Z1013" t="s">
        <v>1171</v>
      </c>
      <c r="AA1013" t="s">
        <v>733</v>
      </c>
      <c r="AB1013">
        <v>2.17</v>
      </c>
      <c r="AC1013" t="s">
        <v>1171</v>
      </c>
      <c r="AD1013">
        <v>42.5</v>
      </c>
      <c r="AE1013" t="s">
        <v>260</v>
      </c>
      <c r="AF1013">
        <v>2.2200000000000002</v>
      </c>
      <c r="AG1013">
        <v>0</v>
      </c>
      <c r="AH1013">
        <v>0</v>
      </c>
      <c r="AI1013" s="4">
        <v>42557</v>
      </c>
    </row>
    <row r="1014" spans="1:35">
      <c r="A1014">
        <v>1013</v>
      </c>
      <c r="B1014" t="str">
        <f>"600529"</f>
        <v>600529</v>
      </c>
      <c r="C1014" t="s">
        <v>6348</v>
      </c>
      <c r="D1014" s="4">
        <v>43190</v>
      </c>
      <c r="E1014" t="s">
        <v>145</v>
      </c>
      <c r="F1014" t="s">
        <v>217</v>
      </c>
      <c r="G1014" t="s">
        <v>168</v>
      </c>
      <c r="H1014">
        <v>0.27</v>
      </c>
      <c r="I1014">
        <v>10.99</v>
      </c>
      <c r="J1014">
        <v>2.52</v>
      </c>
      <c r="K1014" t="s">
        <v>941</v>
      </c>
      <c r="L1014">
        <v>12.15</v>
      </c>
      <c r="M1014" t="s">
        <v>6349</v>
      </c>
      <c r="N1014" t="s">
        <v>6350</v>
      </c>
      <c r="O1014" t="s">
        <v>6351</v>
      </c>
      <c r="P1014" t="s">
        <v>5022</v>
      </c>
      <c r="Q1014">
        <v>28.23</v>
      </c>
      <c r="R1014" t="s">
        <v>391</v>
      </c>
      <c r="S1014">
        <v>5.05</v>
      </c>
      <c r="T1014">
        <v>31.71</v>
      </c>
      <c r="U1014" t="s">
        <v>2694</v>
      </c>
      <c r="V1014" t="s">
        <v>2523</v>
      </c>
      <c r="W1014" t="s">
        <v>982</v>
      </c>
      <c r="X1014">
        <v>2.52</v>
      </c>
      <c r="Y1014" t="s">
        <v>1852</v>
      </c>
      <c r="Z1014" t="s">
        <v>179</v>
      </c>
      <c r="AA1014" t="s">
        <v>6352</v>
      </c>
      <c r="AB1014">
        <v>2.19</v>
      </c>
      <c r="AC1014" t="s">
        <v>1488</v>
      </c>
      <c r="AD1014">
        <v>79.069999999999993</v>
      </c>
      <c r="AE1014" t="s">
        <v>625</v>
      </c>
      <c r="AF1014">
        <v>3.97</v>
      </c>
      <c r="AG1014">
        <v>0</v>
      </c>
      <c r="AH1014">
        <v>0</v>
      </c>
      <c r="AI1014" s="4">
        <v>37410</v>
      </c>
    </row>
    <row r="1015" spans="1:35">
      <c r="A1015">
        <v>1014</v>
      </c>
      <c r="B1015" t="str">
        <f>"600522"</f>
        <v>600522</v>
      </c>
      <c r="C1015" t="s">
        <v>6353</v>
      </c>
      <c r="D1015" s="4">
        <v>43190</v>
      </c>
      <c r="E1015" t="s">
        <v>1345</v>
      </c>
      <c r="F1015" t="s">
        <v>426</v>
      </c>
      <c r="G1015" t="s">
        <v>2323</v>
      </c>
      <c r="H1015">
        <v>0.15</v>
      </c>
      <c r="I1015">
        <v>5.85</v>
      </c>
      <c r="J1015">
        <v>2.52</v>
      </c>
      <c r="K1015" t="s">
        <v>1592</v>
      </c>
      <c r="L1015">
        <v>22.76</v>
      </c>
      <c r="M1015" t="s">
        <v>943</v>
      </c>
      <c r="N1015" t="s">
        <v>6354</v>
      </c>
      <c r="O1015" t="s">
        <v>2178</v>
      </c>
      <c r="P1015" t="s">
        <v>545</v>
      </c>
      <c r="Q1015">
        <v>0.53</v>
      </c>
      <c r="R1015" t="s">
        <v>1701</v>
      </c>
      <c r="S1015">
        <v>2.0099999999999998</v>
      </c>
      <c r="T1015">
        <v>17.010000000000002</v>
      </c>
      <c r="U1015" t="s">
        <v>4409</v>
      </c>
      <c r="V1015" t="s">
        <v>2761</v>
      </c>
      <c r="W1015" t="s">
        <v>2211</v>
      </c>
      <c r="X1015">
        <v>2.52</v>
      </c>
      <c r="Y1015" t="s">
        <v>1254</v>
      </c>
      <c r="Z1015" t="s">
        <v>5647</v>
      </c>
      <c r="AA1015" t="s">
        <v>833</v>
      </c>
      <c r="AB1015">
        <v>1.47</v>
      </c>
      <c r="AC1015" t="s">
        <v>2491</v>
      </c>
      <c r="AD1015">
        <v>63.85</v>
      </c>
      <c r="AE1015" t="s">
        <v>3167</v>
      </c>
      <c r="AF1015">
        <v>2.4900000000000002</v>
      </c>
      <c r="AG1015">
        <v>0</v>
      </c>
      <c r="AH1015">
        <v>0</v>
      </c>
      <c r="AI1015" s="4">
        <v>37553</v>
      </c>
    </row>
    <row r="1016" spans="1:35">
      <c r="A1016">
        <v>1015</v>
      </c>
      <c r="B1016" t="str">
        <f>"002843"</f>
        <v>002843</v>
      </c>
      <c r="C1016" t="s">
        <v>6355</v>
      </c>
      <c r="D1016" s="4">
        <v>43190</v>
      </c>
      <c r="E1016" t="s">
        <v>920</v>
      </c>
      <c r="F1016" t="s">
        <v>6356</v>
      </c>
      <c r="G1016">
        <v>4801</v>
      </c>
      <c r="H1016">
        <v>0.11</v>
      </c>
      <c r="I1016">
        <v>4.4400000000000004</v>
      </c>
      <c r="J1016">
        <v>2.52</v>
      </c>
      <c r="K1016" t="s">
        <v>4576</v>
      </c>
      <c r="L1016">
        <v>24.89</v>
      </c>
      <c r="M1016" t="s">
        <v>6357</v>
      </c>
      <c r="N1016" t="s">
        <v>6358</v>
      </c>
      <c r="O1016" t="s">
        <v>6359</v>
      </c>
      <c r="P1016" t="s">
        <v>2618</v>
      </c>
      <c r="Q1016">
        <v>45.61</v>
      </c>
      <c r="R1016" t="s">
        <v>828</v>
      </c>
      <c r="S1016">
        <v>1.86</v>
      </c>
      <c r="T1016">
        <v>40.58</v>
      </c>
      <c r="U1016" t="s">
        <v>523</v>
      </c>
      <c r="V1016" t="s">
        <v>806</v>
      </c>
      <c r="W1016" t="s">
        <v>1264</v>
      </c>
      <c r="X1016">
        <v>2.52</v>
      </c>
      <c r="Y1016" t="s">
        <v>6283</v>
      </c>
      <c r="Z1016" t="s">
        <v>6360</v>
      </c>
      <c r="AA1016" t="s">
        <v>4686</v>
      </c>
      <c r="AB1016">
        <v>3.29</v>
      </c>
      <c r="AC1016" t="s">
        <v>1941</v>
      </c>
      <c r="AD1016">
        <v>88.65</v>
      </c>
      <c r="AE1016" t="s">
        <v>293</v>
      </c>
      <c r="AF1016">
        <v>1.41</v>
      </c>
      <c r="AG1016">
        <v>0</v>
      </c>
      <c r="AH1016">
        <v>0</v>
      </c>
      <c r="AI1016" s="4">
        <v>42755</v>
      </c>
    </row>
    <row r="1017" spans="1:35">
      <c r="A1017">
        <v>1016</v>
      </c>
      <c r="B1017" t="str">
        <f>"002678"</f>
        <v>002678</v>
      </c>
      <c r="C1017" t="s">
        <v>6361</v>
      </c>
      <c r="D1017" s="4">
        <v>43190</v>
      </c>
      <c r="E1017" t="s">
        <v>919</v>
      </c>
      <c r="F1017" t="s">
        <v>4953</v>
      </c>
      <c r="G1017" t="s">
        <v>6362</v>
      </c>
      <c r="H1017">
        <v>0.05</v>
      </c>
      <c r="I1017">
        <v>3.1</v>
      </c>
      <c r="J1017">
        <v>2.52</v>
      </c>
      <c r="K1017" t="s">
        <v>362</v>
      </c>
      <c r="L1017">
        <v>12.73</v>
      </c>
      <c r="M1017" t="s">
        <v>6363</v>
      </c>
      <c r="N1017" t="s">
        <v>4381</v>
      </c>
      <c r="O1017" t="s">
        <v>6364</v>
      </c>
      <c r="P1017" t="s">
        <v>6365</v>
      </c>
      <c r="Q1017">
        <v>6.21</v>
      </c>
      <c r="R1017" t="s">
        <v>1957</v>
      </c>
      <c r="S1017">
        <v>0.74</v>
      </c>
      <c r="T1017">
        <v>33.54</v>
      </c>
      <c r="U1017" t="s">
        <v>1742</v>
      </c>
      <c r="V1017" t="s">
        <v>1213</v>
      </c>
      <c r="W1017" t="s">
        <v>615</v>
      </c>
      <c r="X1017">
        <v>2.52</v>
      </c>
      <c r="Y1017" t="s">
        <v>1651</v>
      </c>
      <c r="Z1017" t="s">
        <v>92</v>
      </c>
      <c r="AA1017" t="s">
        <v>845</v>
      </c>
      <c r="AB1017">
        <v>2.72</v>
      </c>
      <c r="AC1017" t="s">
        <v>249</v>
      </c>
      <c r="AD1017">
        <v>80.88</v>
      </c>
      <c r="AE1017" t="s">
        <v>101</v>
      </c>
      <c r="AF1017">
        <v>1.24</v>
      </c>
      <c r="AG1017">
        <v>0</v>
      </c>
      <c r="AH1017">
        <v>0</v>
      </c>
      <c r="AI1017" s="4">
        <v>41059</v>
      </c>
    </row>
    <row r="1018" spans="1:35">
      <c r="A1018">
        <v>1017</v>
      </c>
      <c r="B1018" t="str">
        <f>"000059"</f>
        <v>000059</v>
      </c>
      <c r="C1018" t="s">
        <v>6366</v>
      </c>
      <c r="D1018" s="4">
        <v>43190</v>
      </c>
      <c r="E1018" t="s">
        <v>847</v>
      </c>
      <c r="F1018" t="s">
        <v>847</v>
      </c>
      <c r="G1018" t="s">
        <v>4553</v>
      </c>
      <c r="H1018">
        <v>0.19</v>
      </c>
      <c r="I1018">
        <v>7.81</v>
      </c>
      <c r="J1018">
        <v>2.52</v>
      </c>
      <c r="K1018" t="s">
        <v>760</v>
      </c>
      <c r="L1018">
        <v>4.51</v>
      </c>
      <c r="M1018" t="s">
        <v>1209</v>
      </c>
      <c r="N1018">
        <v>0</v>
      </c>
      <c r="O1018" t="s">
        <v>1476</v>
      </c>
      <c r="P1018" t="s">
        <v>679</v>
      </c>
      <c r="Q1018">
        <v>-30.73</v>
      </c>
      <c r="R1018" t="s">
        <v>1677</v>
      </c>
      <c r="S1018">
        <v>2.57</v>
      </c>
      <c r="T1018">
        <v>20.09</v>
      </c>
      <c r="U1018" t="s">
        <v>6367</v>
      </c>
      <c r="V1018" t="s">
        <v>463</v>
      </c>
      <c r="W1018" t="s">
        <v>246</v>
      </c>
      <c r="X1018">
        <v>2.52</v>
      </c>
      <c r="Y1018" t="s">
        <v>928</v>
      </c>
      <c r="Z1018" t="s">
        <v>787</v>
      </c>
      <c r="AA1018" t="s">
        <v>3006</v>
      </c>
      <c r="AB1018">
        <v>0.87</v>
      </c>
      <c r="AC1018" t="s">
        <v>1745</v>
      </c>
      <c r="AD1018">
        <v>40.479999999999997</v>
      </c>
      <c r="AE1018" t="s">
        <v>6368</v>
      </c>
      <c r="AF1018">
        <v>3.88</v>
      </c>
      <c r="AG1018">
        <v>0</v>
      </c>
      <c r="AH1018">
        <v>0</v>
      </c>
      <c r="AI1018" s="4">
        <v>35460</v>
      </c>
    </row>
    <row r="1019" spans="1:35">
      <c r="A1019">
        <v>1018</v>
      </c>
      <c r="B1019" t="str">
        <f>"603178"</f>
        <v>603178</v>
      </c>
      <c r="C1019" t="s">
        <v>6369</v>
      </c>
      <c r="D1019" s="4">
        <v>43190</v>
      </c>
      <c r="E1019" t="s">
        <v>975</v>
      </c>
      <c r="F1019" t="s">
        <v>2785</v>
      </c>
      <c r="G1019">
        <v>3024</v>
      </c>
      <c r="H1019">
        <v>0.1</v>
      </c>
      <c r="I1019">
        <v>3.99</v>
      </c>
      <c r="J1019">
        <v>2.5099999999999998</v>
      </c>
      <c r="K1019" t="s">
        <v>218</v>
      </c>
      <c r="L1019">
        <v>-3.16</v>
      </c>
      <c r="M1019" t="s">
        <v>6370</v>
      </c>
      <c r="N1019" t="s">
        <v>6371</v>
      </c>
      <c r="O1019" t="s">
        <v>6372</v>
      </c>
      <c r="P1019" t="s">
        <v>1834</v>
      </c>
      <c r="Q1019">
        <v>-17.149999999999999</v>
      </c>
      <c r="R1019" t="s">
        <v>1621</v>
      </c>
      <c r="S1019">
        <v>1.32</v>
      </c>
      <c r="T1019">
        <v>21.79</v>
      </c>
      <c r="U1019" t="s">
        <v>418</v>
      </c>
      <c r="V1019" t="s">
        <v>5703</v>
      </c>
      <c r="W1019" t="s">
        <v>2517</v>
      </c>
      <c r="X1019">
        <v>2.5099999999999998</v>
      </c>
      <c r="Y1019" t="s">
        <v>835</v>
      </c>
      <c r="Z1019" t="s">
        <v>3643</v>
      </c>
      <c r="AA1019" t="s">
        <v>91</v>
      </c>
      <c r="AB1019">
        <v>3.01</v>
      </c>
      <c r="AC1019" t="s">
        <v>1462</v>
      </c>
      <c r="AD1019">
        <v>41.62</v>
      </c>
      <c r="AE1019" t="s">
        <v>1578</v>
      </c>
      <c r="AF1019">
        <v>1.67</v>
      </c>
      <c r="AG1019">
        <v>0</v>
      </c>
      <c r="AH1019">
        <v>0</v>
      </c>
      <c r="AI1019" s="4">
        <v>42822</v>
      </c>
    </row>
    <row r="1020" spans="1:35">
      <c r="A1020">
        <v>1019</v>
      </c>
      <c r="B1020" t="str">
        <f>"300199"</f>
        <v>300199</v>
      </c>
      <c r="C1020" t="s">
        <v>6373</v>
      </c>
      <c r="D1020" s="4">
        <v>43190</v>
      </c>
      <c r="E1020" t="s">
        <v>2134</v>
      </c>
      <c r="F1020" t="s">
        <v>1121</v>
      </c>
      <c r="G1020" t="s">
        <v>1092</v>
      </c>
      <c r="H1020">
        <v>0.11</v>
      </c>
      <c r="I1020">
        <v>4.04</v>
      </c>
      <c r="J1020">
        <v>2.5099999999999998</v>
      </c>
      <c r="K1020" t="s">
        <v>3011</v>
      </c>
      <c r="L1020">
        <v>30.39</v>
      </c>
      <c r="M1020" t="s">
        <v>198</v>
      </c>
      <c r="N1020">
        <v>0</v>
      </c>
      <c r="O1020" t="s">
        <v>1475</v>
      </c>
      <c r="P1020" t="s">
        <v>6374</v>
      </c>
      <c r="Q1020">
        <v>25.22</v>
      </c>
      <c r="R1020" t="s">
        <v>101</v>
      </c>
      <c r="S1020">
        <v>1.18</v>
      </c>
      <c r="T1020">
        <v>87.04</v>
      </c>
      <c r="U1020" t="s">
        <v>3877</v>
      </c>
      <c r="V1020" t="s">
        <v>1380</v>
      </c>
      <c r="W1020" t="s">
        <v>130</v>
      </c>
      <c r="X1020">
        <v>2.5099999999999998</v>
      </c>
      <c r="Y1020" t="s">
        <v>389</v>
      </c>
      <c r="Z1020" t="s">
        <v>895</v>
      </c>
      <c r="AA1020" t="s">
        <v>1998</v>
      </c>
      <c r="AB1020">
        <v>3.57</v>
      </c>
      <c r="AC1020" t="s">
        <v>588</v>
      </c>
      <c r="AD1020">
        <v>67.42</v>
      </c>
      <c r="AE1020" t="s">
        <v>510</v>
      </c>
      <c r="AF1020">
        <v>1.98</v>
      </c>
      <c r="AG1020">
        <v>0</v>
      </c>
      <c r="AH1020">
        <v>0</v>
      </c>
      <c r="AI1020" s="4">
        <v>40640</v>
      </c>
    </row>
    <row r="1021" spans="1:35">
      <c r="A1021">
        <v>1020</v>
      </c>
      <c r="B1021" t="str">
        <f>"002668"</f>
        <v>002668</v>
      </c>
      <c r="C1021" t="s">
        <v>6375</v>
      </c>
      <c r="D1021" s="4">
        <v>43190</v>
      </c>
      <c r="E1021" t="s">
        <v>448</v>
      </c>
      <c r="F1021" t="s">
        <v>479</v>
      </c>
      <c r="G1021" t="s">
        <v>2097</v>
      </c>
      <c r="H1021">
        <v>0.14000000000000001</v>
      </c>
      <c r="I1021">
        <v>5.63</v>
      </c>
      <c r="J1021">
        <v>2.5099999999999998</v>
      </c>
      <c r="K1021" t="s">
        <v>1569</v>
      </c>
      <c r="L1021">
        <v>36.19</v>
      </c>
      <c r="M1021" t="s">
        <v>6376</v>
      </c>
      <c r="N1021" t="s">
        <v>6377</v>
      </c>
      <c r="O1021" t="s">
        <v>6378</v>
      </c>
      <c r="P1021" t="s">
        <v>2672</v>
      </c>
      <c r="Q1021">
        <v>82.06</v>
      </c>
      <c r="R1021" t="s">
        <v>115</v>
      </c>
      <c r="S1021">
        <v>2.65</v>
      </c>
      <c r="T1021">
        <v>29.99</v>
      </c>
      <c r="U1021" t="s">
        <v>716</v>
      </c>
      <c r="V1021" t="s">
        <v>2501</v>
      </c>
      <c r="W1021" t="s">
        <v>1082</v>
      </c>
      <c r="X1021">
        <v>2.5099999999999998</v>
      </c>
      <c r="Y1021" t="s">
        <v>6379</v>
      </c>
      <c r="Z1021" t="s">
        <v>780</v>
      </c>
      <c r="AA1021" t="s">
        <v>867</v>
      </c>
      <c r="AB1021">
        <v>3.57</v>
      </c>
      <c r="AC1021" t="s">
        <v>1593</v>
      </c>
      <c r="AD1021">
        <v>35.049999999999997</v>
      </c>
      <c r="AE1021" t="s">
        <v>354</v>
      </c>
      <c r="AF1021">
        <v>1.78</v>
      </c>
      <c r="AG1021">
        <v>0</v>
      </c>
      <c r="AH1021">
        <v>0</v>
      </c>
      <c r="AI1021" s="4">
        <v>41015</v>
      </c>
    </row>
    <row r="1022" spans="1:35">
      <c r="A1022">
        <v>1021</v>
      </c>
      <c r="B1022" t="str">
        <f>"002449"</f>
        <v>002449</v>
      </c>
      <c r="C1022" t="s">
        <v>6380</v>
      </c>
      <c r="D1022" s="4">
        <v>43190</v>
      </c>
      <c r="E1022" t="s">
        <v>2996</v>
      </c>
      <c r="F1022" t="s">
        <v>1438</v>
      </c>
      <c r="G1022" t="s">
        <v>4389</v>
      </c>
      <c r="H1022">
        <v>0.13</v>
      </c>
      <c r="I1022">
        <v>4.99</v>
      </c>
      <c r="J1022">
        <v>2.5099999999999998</v>
      </c>
      <c r="K1022" t="s">
        <v>605</v>
      </c>
      <c r="L1022">
        <v>25.79</v>
      </c>
      <c r="M1022" t="s">
        <v>6381</v>
      </c>
      <c r="N1022" t="s">
        <v>6382</v>
      </c>
      <c r="O1022" t="s">
        <v>6383</v>
      </c>
      <c r="P1022" t="s">
        <v>5743</v>
      </c>
      <c r="Q1022">
        <v>55.32</v>
      </c>
      <c r="R1022" t="s">
        <v>2421</v>
      </c>
      <c r="S1022">
        <v>1.32</v>
      </c>
      <c r="T1022">
        <v>22.56</v>
      </c>
      <c r="U1022" t="s">
        <v>2196</v>
      </c>
      <c r="V1022" t="s">
        <v>2093</v>
      </c>
      <c r="W1022" t="s">
        <v>576</v>
      </c>
      <c r="X1022">
        <v>2.5099999999999998</v>
      </c>
      <c r="Y1022" t="s">
        <v>1313</v>
      </c>
      <c r="Z1022" t="s">
        <v>451</v>
      </c>
      <c r="AA1022" t="s">
        <v>2769</v>
      </c>
      <c r="AB1022">
        <v>2.1</v>
      </c>
      <c r="AC1022" t="s">
        <v>249</v>
      </c>
      <c r="AD1022">
        <v>53.47</v>
      </c>
      <c r="AE1022" t="s">
        <v>1244</v>
      </c>
      <c r="AF1022">
        <v>2.4</v>
      </c>
      <c r="AG1022">
        <v>0</v>
      </c>
      <c r="AH1022">
        <v>0</v>
      </c>
      <c r="AI1022" s="4">
        <v>40375</v>
      </c>
    </row>
    <row r="1023" spans="1:35">
      <c r="A1023">
        <v>1022</v>
      </c>
      <c r="B1023" t="str">
        <f>"002138"</f>
        <v>002138</v>
      </c>
      <c r="C1023" t="s">
        <v>6384</v>
      </c>
      <c r="D1023" s="4">
        <v>43190</v>
      </c>
      <c r="E1023" t="s">
        <v>782</v>
      </c>
      <c r="F1023" t="s">
        <v>424</v>
      </c>
      <c r="G1023" t="s">
        <v>1755</v>
      </c>
      <c r="H1023">
        <v>0.12</v>
      </c>
      <c r="I1023">
        <v>4.63</v>
      </c>
      <c r="J1023">
        <v>2.5099999999999998</v>
      </c>
      <c r="K1023" t="s">
        <v>1615</v>
      </c>
      <c r="L1023">
        <v>36.700000000000003</v>
      </c>
      <c r="M1023" t="s">
        <v>282</v>
      </c>
      <c r="N1023" t="s">
        <v>3915</v>
      </c>
      <c r="O1023" t="s">
        <v>642</v>
      </c>
      <c r="P1023" t="s">
        <v>533</v>
      </c>
      <c r="Q1023">
        <v>57.07</v>
      </c>
      <c r="R1023" t="s">
        <v>1856</v>
      </c>
      <c r="S1023">
        <v>1.01</v>
      </c>
      <c r="T1023">
        <v>33.31</v>
      </c>
      <c r="U1023" t="s">
        <v>2567</v>
      </c>
      <c r="V1023" t="s">
        <v>775</v>
      </c>
      <c r="W1023" t="s">
        <v>243</v>
      </c>
      <c r="X1023">
        <v>2.5099999999999998</v>
      </c>
      <c r="Y1023" t="s">
        <v>652</v>
      </c>
      <c r="Z1023" t="s">
        <v>1979</v>
      </c>
      <c r="AA1023" t="s">
        <v>6385</v>
      </c>
      <c r="AB1023">
        <v>3.32</v>
      </c>
      <c r="AC1023" t="s">
        <v>5550</v>
      </c>
      <c r="AD1023">
        <v>81.55</v>
      </c>
      <c r="AE1023" t="s">
        <v>3356</v>
      </c>
      <c r="AF1023">
        <v>2.5299999999999998</v>
      </c>
      <c r="AG1023">
        <v>0</v>
      </c>
      <c r="AH1023">
        <v>0</v>
      </c>
      <c r="AI1023" s="4">
        <v>39246</v>
      </c>
    </row>
    <row r="1024" spans="1:35">
      <c r="A1024">
        <v>1023</v>
      </c>
      <c r="B1024" t="str">
        <f>"000961"</f>
        <v>000961</v>
      </c>
      <c r="C1024" t="s">
        <v>6386</v>
      </c>
      <c r="D1024" s="4">
        <v>43190</v>
      </c>
      <c r="E1024" t="s">
        <v>2725</v>
      </c>
      <c r="F1024" t="s">
        <v>2871</v>
      </c>
      <c r="G1024" t="s">
        <v>5780</v>
      </c>
      <c r="H1024">
        <v>0.1</v>
      </c>
      <c r="I1024">
        <v>4.0199999999999996</v>
      </c>
      <c r="J1024">
        <v>2.5099999999999998</v>
      </c>
      <c r="K1024" t="s">
        <v>466</v>
      </c>
      <c r="L1024">
        <v>98.65</v>
      </c>
      <c r="M1024" t="s">
        <v>1847</v>
      </c>
      <c r="N1024" t="s">
        <v>6387</v>
      </c>
      <c r="O1024" t="s">
        <v>1993</v>
      </c>
      <c r="P1024" t="s">
        <v>1682</v>
      </c>
      <c r="Q1024">
        <v>205.57</v>
      </c>
      <c r="R1024" t="s">
        <v>4463</v>
      </c>
      <c r="S1024">
        <v>2.21</v>
      </c>
      <c r="T1024">
        <v>19.79</v>
      </c>
      <c r="U1024" t="s">
        <v>6388</v>
      </c>
      <c r="V1024" t="s">
        <v>6389</v>
      </c>
      <c r="W1024" t="s">
        <v>2941</v>
      </c>
      <c r="X1024">
        <v>2.5099999999999998</v>
      </c>
      <c r="Y1024" t="s">
        <v>6390</v>
      </c>
      <c r="Z1024" t="s">
        <v>6391</v>
      </c>
      <c r="AA1024" t="s">
        <v>5236</v>
      </c>
      <c r="AB1024">
        <v>1.84</v>
      </c>
      <c r="AC1024" t="s">
        <v>1741</v>
      </c>
      <c r="AD1024">
        <v>7.84</v>
      </c>
      <c r="AE1024" t="s">
        <v>1661</v>
      </c>
      <c r="AF1024">
        <v>0.71</v>
      </c>
      <c r="AG1024">
        <v>0</v>
      </c>
      <c r="AH1024">
        <v>0</v>
      </c>
      <c r="AI1024" s="4">
        <v>36586</v>
      </c>
    </row>
    <row r="1025" spans="1:35">
      <c r="A1025">
        <v>1024</v>
      </c>
      <c r="B1025" t="str">
        <f>"300488"</f>
        <v>300488</v>
      </c>
      <c r="C1025" t="s">
        <v>6392</v>
      </c>
      <c r="D1025" s="4">
        <v>43190</v>
      </c>
      <c r="E1025" t="s">
        <v>198</v>
      </c>
      <c r="F1025" t="s">
        <v>6393</v>
      </c>
      <c r="G1025">
        <v>3379</v>
      </c>
      <c r="H1025">
        <v>0.21</v>
      </c>
      <c r="I1025">
        <v>8.6</v>
      </c>
      <c r="J1025">
        <v>2.5</v>
      </c>
      <c r="K1025" t="s">
        <v>6394</v>
      </c>
      <c r="L1025">
        <v>50.44</v>
      </c>
      <c r="M1025" t="s">
        <v>4860</v>
      </c>
      <c r="N1025" t="s">
        <v>6395</v>
      </c>
      <c r="O1025" t="s">
        <v>6396</v>
      </c>
      <c r="P1025" t="s">
        <v>6397</v>
      </c>
      <c r="Q1025">
        <v>65.959999999999994</v>
      </c>
      <c r="R1025" t="s">
        <v>645</v>
      </c>
      <c r="S1025">
        <v>4.3099999999999996</v>
      </c>
      <c r="T1025">
        <v>55.85</v>
      </c>
      <c r="U1025" t="s">
        <v>521</v>
      </c>
      <c r="V1025" t="s">
        <v>335</v>
      </c>
      <c r="W1025" t="s">
        <v>593</v>
      </c>
      <c r="X1025">
        <v>2.5</v>
      </c>
      <c r="Y1025" t="s">
        <v>382</v>
      </c>
      <c r="Z1025" t="s">
        <v>2307</v>
      </c>
      <c r="AA1025" t="s">
        <v>6398</v>
      </c>
      <c r="AB1025">
        <v>3.17</v>
      </c>
      <c r="AC1025" t="s">
        <v>3494</v>
      </c>
      <c r="AD1025">
        <v>85.14</v>
      </c>
      <c r="AE1025" t="s">
        <v>1967</v>
      </c>
      <c r="AF1025">
        <v>3.18</v>
      </c>
      <c r="AG1025">
        <v>0</v>
      </c>
      <c r="AH1025">
        <v>0</v>
      </c>
      <c r="AI1025" s="4">
        <v>42186</v>
      </c>
    </row>
    <row r="1026" spans="1:35">
      <c r="A1026">
        <v>1025</v>
      </c>
      <c r="B1026" t="str">
        <f>"300418"</f>
        <v>300418</v>
      </c>
      <c r="C1026" t="s">
        <v>6399</v>
      </c>
      <c r="D1026" s="4">
        <v>43190</v>
      </c>
      <c r="E1026" t="s">
        <v>973</v>
      </c>
      <c r="F1026" t="s">
        <v>792</v>
      </c>
      <c r="G1026">
        <v>7599</v>
      </c>
      <c r="H1026">
        <v>0.17</v>
      </c>
      <c r="I1026">
        <v>6.41</v>
      </c>
      <c r="J1026">
        <v>2.5</v>
      </c>
      <c r="K1026" t="s">
        <v>2955</v>
      </c>
      <c r="L1026">
        <v>4</v>
      </c>
      <c r="M1026" t="s">
        <v>1789</v>
      </c>
      <c r="N1026" t="s">
        <v>6020</v>
      </c>
      <c r="O1026" t="s">
        <v>597</v>
      </c>
      <c r="P1026" t="s">
        <v>148</v>
      </c>
      <c r="Q1026">
        <v>3.39</v>
      </c>
      <c r="R1026" t="s">
        <v>2273</v>
      </c>
      <c r="S1026">
        <v>1.97</v>
      </c>
      <c r="T1026">
        <v>87.19</v>
      </c>
      <c r="U1026" t="s">
        <v>689</v>
      </c>
      <c r="V1026" t="s">
        <v>514</v>
      </c>
      <c r="W1026" t="s">
        <v>6400</v>
      </c>
      <c r="X1026">
        <v>2.5</v>
      </c>
      <c r="Y1026" t="s">
        <v>1486</v>
      </c>
      <c r="Z1026" t="s">
        <v>774</v>
      </c>
      <c r="AA1026" t="s">
        <v>1033</v>
      </c>
      <c r="AB1026">
        <v>2.88</v>
      </c>
      <c r="AC1026" t="s">
        <v>688</v>
      </c>
      <c r="AD1026">
        <v>65.23</v>
      </c>
      <c r="AE1026" t="s">
        <v>1721</v>
      </c>
      <c r="AF1026">
        <v>0.41</v>
      </c>
      <c r="AG1026">
        <v>0</v>
      </c>
      <c r="AH1026">
        <v>0</v>
      </c>
      <c r="AI1026" s="4">
        <v>42025</v>
      </c>
    </row>
    <row r="1027" spans="1:35">
      <c r="A1027">
        <v>1026</v>
      </c>
      <c r="B1027" t="str">
        <f>"300058"</f>
        <v>300058</v>
      </c>
      <c r="C1027" t="s">
        <v>6401</v>
      </c>
      <c r="D1027" s="4">
        <v>43190</v>
      </c>
      <c r="E1027" t="s">
        <v>789</v>
      </c>
      <c r="F1027" t="s">
        <v>298</v>
      </c>
      <c r="G1027" t="s">
        <v>6402</v>
      </c>
      <c r="H1027">
        <v>7.0000000000000007E-2</v>
      </c>
      <c r="I1027">
        <v>2.8</v>
      </c>
      <c r="J1027">
        <v>2.5</v>
      </c>
      <c r="K1027" t="s">
        <v>5270</v>
      </c>
      <c r="L1027">
        <v>70.62</v>
      </c>
      <c r="M1027" t="s">
        <v>37</v>
      </c>
      <c r="N1027" t="s">
        <v>6403</v>
      </c>
      <c r="O1027" t="s">
        <v>608</v>
      </c>
      <c r="P1027" t="s">
        <v>452</v>
      </c>
      <c r="Q1027">
        <v>89.69</v>
      </c>
      <c r="R1027" t="s">
        <v>275</v>
      </c>
      <c r="S1027">
        <v>0.89</v>
      </c>
      <c r="T1027">
        <v>13.01</v>
      </c>
      <c r="U1027" t="s">
        <v>4411</v>
      </c>
      <c r="V1027" t="s">
        <v>6404</v>
      </c>
      <c r="W1027" t="s">
        <v>677</v>
      </c>
      <c r="X1027">
        <v>2.5</v>
      </c>
      <c r="Y1027" t="s">
        <v>1159</v>
      </c>
      <c r="Z1027" t="s">
        <v>760</v>
      </c>
      <c r="AA1027" t="s">
        <v>2100</v>
      </c>
      <c r="AB1027">
        <v>1.9</v>
      </c>
      <c r="AC1027" t="s">
        <v>1878</v>
      </c>
      <c r="AD1027">
        <v>35.630000000000003</v>
      </c>
      <c r="AE1027" t="s">
        <v>1308</v>
      </c>
      <c r="AF1027">
        <v>1.22</v>
      </c>
      <c r="AG1027">
        <v>0</v>
      </c>
      <c r="AH1027">
        <v>0</v>
      </c>
      <c r="AI1027" s="4">
        <v>40235</v>
      </c>
    </row>
    <row r="1028" spans="1:35">
      <c r="A1028">
        <v>1027</v>
      </c>
      <c r="B1028" t="str">
        <f>"002608"</f>
        <v>002608</v>
      </c>
      <c r="C1028" t="s">
        <v>6405</v>
      </c>
      <c r="D1028" s="4">
        <v>43190</v>
      </c>
      <c r="E1028" t="s">
        <v>1211</v>
      </c>
      <c r="F1028" t="s">
        <v>1212</v>
      </c>
      <c r="G1028" t="s">
        <v>5500</v>
      </c>
      <c r="H1028">
        <v>0.12</v>
      </c>
      <c r="I1028">
        <v>5.81</v>
      </c>
      <c r="J1028">
        <v>2.5</v>
      </c>
      <c r="K1028" t="s">
        <v>1344</v>
      </c>
      <c r="L1028">
        <v>42.84</v>
      </c>
      <c r="M1028" t="s">
        <v>43</v>
      </c>
      <c r="N1028" t="s">
        <v>81</v>
      </c>
      <c r="O1028" t="s">
        <v>189</v>
      </c>
      <c r="P1028" t="s">
        <v>123</v>
      </c>
      <c r="Q1028">
        <v>19.059999999999999</v>
      </c>
      <c r="R1028" t="s">
        <v>6406</v>
      </c>
      <c r="S1028">
        <v>-0.62</v>
      </c>
      <c r="T1028">
        <v>9.61</v>
      </c>
      <c r="U1028" t="s">
        <v>6407</v>
      </c>
      <c r="V1028" t="s">
        <v>2800</v>
      </c>
      <c r="W1028" t="s">
        <v>3088</v>
      </c>
      <c r="X1028">
        <v>2.5</v>
      </c>
      <c r="Y1028" t="s">
        <v>2863</v>
      </c>
      <c r="Z1028" t="s">
        <v>1097</v>
      </c>
      <c r="AA1028" t="s">
        <v>5750</v>
      </c>
      <c r="AB1028">
        <v>1.1100000000000001</v>
      </c>
      <c r="AC1028" t="s">
        <v>1292</v>
      </c>
      <c r="AD1028">
        <v>38.700000000000003</v>
      </c>
      <c r="AE1028" t="s">
        <v>1784</v>
      </c>
      <c r="AF1028">
        <v>4.38</v>
      </c>
      <c r="AG1028">
        <v>0</v>
      </c>
      <c r="AH1028">
        <v>0</v>
      </c>
      <c r="AI1028" s="4">
        <v>40765</v>
      </c>
    </row>
    <row r="1029" spans="1:35">
      <c r="A1029">
        <v>1028</v>
      </c>
      <c r="B1029" t="str">
        <f>"002145"</f>
        <v>002145</v>
      </c>
      <c r="C1029" t="s">
        <v>6408</v>
      </c>
      <c r="D1029" s="4">
        <v>43190</v>
      </c>
      <c r="E1029" t="s">
        <v>983</v>
      </c>
      <c r="F1029" t="s">
        <v>147</v>
      </c>
      <c r="G1029" t="s">
        <v>2589</v>
      </c>
      <c r="H1029">
        <v>0.05</v>
      </c>
      <c r="I1029">
        <v>1.9</v>
      </c>
      <c r="J1029">
        <v>2.5</v>
      </c>
      <c r="K1029" t="s">
        <v>3570</v>
      </c>
      <c r="L1029">
        <v>-3.41</v>
      </c>
      <c r="M1029" t="s">
        <v>6409</v>
      </c>
      <c r="N1029" t="s">
        <v>2033</v>
      </c>
      <c r="O1029" t="s">
        <v>4222</v>
      </c>
      <c r="P1029" t="s">
        <v>6410</v>
      </c>
      <c r="Q1029">
        <v>-36.14</v>
      </c>
      <c r="R1029" t="s">
        <v>1212</v>
      </c>
      <c r="S1029">
        <v>0.32</v>
      </c>
      <c r="T1029">
        <v>25.18</v>
      </c>
      <c r="U1029" t="s">
        <v>2419</v>
      </c>
      <c r="V1029" t="s">
        <v>420</v>
      </c>
      <c r="W1029" t="s">
        <v>646</v>
      </c>
      <c r="X1029">
        <v>2.5</v>
      </c>
      <c r="Y1029" t="s">
        <v>370</v>
      </c>
      <c r="Z1029" t="s">
        <v>2753</v>
      </c>
      <c r="AA1029" t="s">
        <v>1476</v>
      </c>
      <c r="AB1029">
        <v>1.8</v>
      </c>
      <c r="AC1029" t="s">
        <v>1515</v>
      </c>
      <c r="AD1029">
        <v>54.02</v>
      </c>
      <c r="AE1029" t="s">
        <v>2235</v>
      </c>
      <c r="AF1029">
        <v>0.55000000000000004</v>
      </c>
      <c r="AG1029">
        <v>0</v>
      </c>
      <c r="AH1029">
        <v>0</v>
      </c>
      <c r="AI1029" s="4">
        <v>39297</v>
      </c>
    </row>
    <row r="1030" spans="1:35">
      <c r="A1030">
        <v>1029</v>
      </c>
      <c r="B1030" t="str">
        <f>"601186"</f>
        <v>601186</v>
      </c>
      <c r="C1030" t="s">
        <v>6411</v>
      </c>
      <c r="D1030" s="4">
        <v>43190</v>
      </c>
      <c r="E1030" t="s">
        <v>413</v>
      </c>
      <c r="F1030" t="s">
        <v>689</v>
      </c>
      <c r="G1030">
        <v>0</v>
      </c>
      <c r="H1030">
        <v>0.25</v>
      </c>
      <c r="I1030">
        <v>10.23</v>
      </c>
      <c r="J1030">
        <v>2.4900000000000002</v>
      </c>
      <c r="K1030" t="s">
        <v>6412</v>
      </c>
      <c r="L1030">
        <v>6.97</v>
      </c>
      <c r="M1030" t="s">
        <v>2059</v>
      </c>
      <c r="N1030" t="s">
        <v>6413</v>
      </c>
      <c r="O1030" t="s">
        <v>551</v>
      </c>
      <c r="P1030" t="s">
        <v>1263</v>
      </c>
      <c r="Q1030">
        <v>18.86</v>
      </c>
      <c r="R1030" t="s">
        <v>6414</v>
      </c>
      <c r="S1030">
        <v>6.07</v>
      </c>
      <c r="T1030">
        <v>9.91</v>
      </c>
      <c r="U1030" t="s">
        <v>6415</v>
      </c>
      <c r="V1030" t="s">
        <v>6416</v>
      </c>
      <c r="W1030" t="s">
        <v>6417</v>
      </c>
      <c r="X1030">
        <v>2.4900000000000002</v>
      </c>
      <c r="Y1030" t="s">
        <v>6418</v>
      </c>
      <c r="Z1030" t="s">
        <v>6419</v>
      </c>
      <c r="AA1030" t="s">
        <v>3304</v>
      </c>
      <c r="AB1030">
        <v>0.84</v>
      </c>
      <c r="AC1030" t="s">
        <v>5273</v>
      </c>
      <c r="AD1030">
        <v>18.82</v>
      </c>
      <c r="AE1030" t="s">
        <v>6420</v>
      </c>
      <c r="AF1030">
        <v>2.98</v>
      </c>
      <c r="AG1030">
        <v>0</v>
      </c>
      <c r="AH1030" t="s">
        <v>877</v>
      </c>
      <c r="AI1030" s="4">
        <v>39517</v>
      </c>
    </row>
    <row r="1031" spans="1:35">
      <c r="A1031">
        <v>1030</v>
      </c>
      <c r="B1031" t="str">
        <f>"300204"</f>
        <v>300204</v>
      </c>
      <c r="C1031" t="s">
        <v>6421</v>
      </c>
      <c r="D1031" s="4">
        <v>43190</v>
      </c>
      <c r="E1031" t="s">
        <v>1806</v>
      </c>
      <c r="F1031" t="s">
        <v>771</v>
      </c>
      <c r="G1031" t="s">
        <v>5183</v>
      </c>
      <c r="H1031">
        <v>0.12</v>
      </c>
      <c r="I1031">
        <v>4.47</v>
      </c>
      <c r="J1031">
        <v>2.4900000000000002</v>
      </c>
      <c r="K1031" t="s">
        <v>2774</v>
      </c>
      <c r="L1031">
        <v>-17.170000000000002</v>
      </c>
      <c r="M1031" t="s">
        <v>6422</v>
      </c>
      <c r="N1031" t="s">
        <v>6060</v>
      </c>
      <c r="O1031" t="s">
        <v>6422</v>
      </c>
      <c r="P1031" t="s">
        <v>4748</v>
      </c>
      <c r="Q1031">
        <v>-18.34</v>
      </c>
      <c r="R1031" t="s">
        <v>1575</v>
      </c>
      <c r="S1031">
        <v>1.75</v>
      </c>
      <c r="T1031">
        <v>92.25</v>
      </c>
      <c r="U1031" t="s">
        <v>370</v>
      </c>
      <c r="V1031" t="s">
        <v>775</v>
      </c>
      <c r="W1031" t="s">
        <v>1245</v>
      </c>
      <c r="X1031">
        <v>2.4900000000000002</v>
      </c>
      <c r="Y1031" t="s">
        <v>1006</v>
      </c>
      <c r="Z1031" t="s">
        <v>241</v>
      </c>
      <c r="AA1031" t="s">
        <v>6423</v>
      </c>
      <c r="AB1031">
        <v>2.39</v>
      </c>
      <c r="AC1031" t="s">
        <v>514</v>
      </c>
      <c r="AD1031">
        <v>81.89</v>
      </c>
      <c r="AE1031" t="s">
        <v>2111</v>
      </c>
      <c r="AF1031">
        <v>1.1200000000000001</v>
      </c>
      <c r="AG1031">
        <v>0</v>
      </c>
      <c r="AH1031">
        <v>0</v>
      </c>
      <c r="AI1031" s="4">
        <v>40648</v>
      </c>
    </row>
    <row r="1032" spans="1:35">
      <c r="A1032">
        <v>1031</v>
      </c>
      <c r="B1032" t="str">
        <f>"300035"</f>
        <v>300035</v>
      </c>
      <c r="C1032" t="s">
        <v>6424</v>
      </c>
      <c r="D1032" s="4">
        <v>43190</v>
      </c>
      <c r="E1032" t="s">
        <v>2230</v>
      </c>
      <c r="F1032" t="s">
        <v>69</v>
      </c>
      <c r="G1032">
        <v>9288</v>
      </c>
      <c r="H1032">
        <v>0.05</v>
      </c>
      <c r="I1032">
        <v>2.2000000000000002</v>
      </c>
      <c r="J1032">
        <v>2.4900000000000002</v>
      </c>
      <c r="K1032" t="s">
        <v>1475</v>
      </c>
      <c r="L1032">
        <v>87.68</v>
      </c>
      <c r="M1032" t="s">
        <v>6425</v>
      </c>
      <c r="N1032" t="s">
        <v>5942</v>
      </c>
      <c r="O1032" t="s">
        <v>6426</v>
      </c>
      <c r="P1032" t="s">
        <v>6427</v>
      </c>
      <c r="Q1032">
        <v>161.24</v>
      </c>
      <c r="R1032" t="s">
        <v>1287</v>
      </c>
      <c r="S1032">
        <v>0.4</v>
      </c>
      <c r="T1032">
        <v>34.630000000000003</v>
      </c>
      <c r="U1032" t="s">
        <v>1678</v>
      </c>
      <c r="V1032" t="s">
        <v>3193</v>
      </c>
      <c r="W1032" t="s">
        <v>1732</v>
      </c>
      <c r="X1032">
        <v>2.4900000000000002</v>
      </c>
      <c r="Y1032" t="s">
        <v>2517</v>
      </c>
      <c r="Z1032" t="s">
        <v>318</v>
      </c>
      <c r="AA1032" t="s">
        <v>2116</v>
      </c>
      <c r="AB1032">
        <v>2.2799999999999998</v>
      </c>
      <c r="AC1032" t="s">
        <v>973</v>
      </c>
      <c r="AD1032">
        <v>64.72</v>
      </c>
      <c r="AE1032" t="s">
        <v>138</v>
      </c>
      <c r="AF1032">
        <v>0.72</v>
      </c>
      <c r="AG1032">
        <v>0</v>
      </c>
      <c r="AH1032">
        <v>0</v>
      </c>
      <c r="AI1032" s="4">
        <v>40172</v>
      </c>
    </row>
    <row r="1033" spans="1:35">
      <c r="A1033">
        <v>1032</v>
      </c>
      <c r="B1033" t="str">
        <f>"603669"</f>
        <v>603669</v>
      </c>
      <c r="C1033" t="s">
        <v>6428</v>
      </c>
      <c r="D1033" s="4">
        <v>43190</v>
      </c>
      <c r="E1033" t="s">
        <v>707</v>
      </c>
      <c r="F1033" t="s">
        <v>707</v>
      </c>
      <c r="G1033">
        <v>3846</v>
      </c>
      <c r="H1033">
        <v>0.09</v>
      </c>
      <c r="I1033">
        <v>3.37</v>
      </c>
      <c r="J1033">
        <v>2.48</v>
      </c>
      <c r="K1033" t="s">
        <v>89</v>
      </c>
      <c r="L1033">
        <v>168.18</v>
      </c>
      <c r="M1033" t="s">
        <v>3977</v>
      </c>
      <c r="N1033" t="s">
        <v>6429</v>
      </c>
      <c r="O1033" t="s">
        <v>3505</v>
      </c>
      <c r="P1033" t="s">
        <v>4831</v>
      </c>
      <c r="Q1033">
        <v>15.54</v>
      </c>
      <c r="R1033" t="s">
        <v>143</v>
      </c>
      <c r="S1033">
        <v>0.65</v>
      </c>
      <c r="T1033">
        <v>85.49</v>
      </c>
      <c r="U1033" t="s">
        <v>1190</v>
      </c>
      <c r="V1033" t="s">
        <v>973</v>
      </c>
      <c r="W1033" t="s">
        <v>81</v>
      </c>
      <c r="X1033">
        <v>2.48</v>
      </c>
      <c r="Y1033" t="s">
        <v>976</v>
      </c>
      <c r="Z1033" t="s">
        <v>682</v>
      </c>
      <c r="AA1033" t="s">
        <v>355</v>
      </c>
      <c r="AB1033">
        <v>3.31</v>
      </c>
      <c r="AC1033" t="s">
        <v>124</v>
      </c>
      <c r="AD1033">
        <v>79.989999999999995</v>
      </c>
      <c r="AE1033" t="s">
        <v>4002</v>
      </c>
      <c r="AF1033">
        <v>1.49</v>
      </c>
      <c r="AG1033">
        <v>0</v>
      </c>
      <c r="AH1033">
        <v>0</v>
      </c>
      <c r="AI1033" s="4">
        <v>42152</v>
      </c>
    </row>
    <row r="1034" spans="1:35">
      <c r="A1034">
        <v>1033</v>
      </c>
      <c r="B1034" t="str">
        <f>"601789"</f>
        <v>601789</v>
      </c>
      <c r="C1034" t="s">
        <v>6430</v>
      </c>
      <c r="D1034" s="4">
        <v>43190</v>
      </c>
      <c r="E1034" t="s">
        <v>4514</v>
      </c>
      <c r="F1034" t="s">
        <v>4514</v>
      </c>
      <c r="G1034" t="s">
        <v>3640</v>
      </c>
      <c r="H1034">
        <v>7.0000000000000007E-2</v>
      </c>
      <c r="I1034">
        <v>2.71</v>
      </c>
      <c r="J1034">
        <v>2.48</v>
      </c>
      <c r="K1034" t="s">
        <v>527</v>
      </c>
      <c r="L1034">
        <v>31.92</v>
      </c>
      <c r="M1034" t="s">
        <v>5835</v>
      </c>
      <c r="N1034" t="s">
        <v>6431</v>
      </c>
      <c r="O1034" t="s">
        <v>6432</v>
      </c>
      <c r="P1034" t="s">
        <v>6433</v>
      </c>
      <c r="Q1034">
        <v>23.5</v>
      </c>
      <c r="R1034" t="s">
        <v>521</v>
      </c>
      <c r="S1034">
        <v>1.0900000000000001</v>
      </c>
      <c r="T1034">
        <v>6.02</v>
      </c>
      <c r="U1034" t="s">
        <v>1279</v>
      </c>
      <c r="V1034" t="s">
        <v>1089</v>
      </c>
      <c r="W1034" t="s">
        <v>3117</v>
      </c>
      <c r="X1034">
        <v>2.48</v>
      </c>
      <c r="Y1034" t="s">
        <v>2066</v>
      </c>
      <c r="Z1034" t="s">
        <v>900</v>
      </c>
      <c r="AA1034" t="s">
        <v>144</v>
      </c>
      <c r="AB1034">
        <v>1.29</v>
      </c>
      <c r="AC1034" t="s">
        <v>1661</v>
      </c>
      <c r="AD1034">
        <v>19.14</v>
      </c>
      <c r="AE1034" t="s">
        <v>1731</v>
      </c>
      <c r="AF1034">
        <v>0.53</v>
      </c>
      <c r="AG1034">
        <v>0</v>
      </c>
      <c r="AH1034">
        <v>0</v>
      </c>
      <c r="AI1034" s="4">
        <v>40771</v>
      </c>
    </row>
    <row r="1035" spans="1:35">
      <c r="A1035">
        <v>1034</v>
      </c>
      <c r="B1035" t="str">
        <f>"600742"</f>
        <v>600742</v>
      </c>
      <c r="C1035" t="s">
        <v>6434</v>
      </c>
      <c r="D1035" s="4">
        <v>43190</v>
      </c>
      <c r="E1035" t="s">
        <v>1012</v>
      </c>
      <c r="F1035" t="s">
        <v>1012</v>
      </c>
      <c r="G1035" t="s">
        <v>5531</v>
      </c>
      <c r="H1035">
        <v>0.23</v>
      </c>
      <c r="I1035">
        <v>8.7899999999999991</v>
      </c>
      <c r="J1035">
        <v>2.48</v>
      </c>
      <c r="K1035" t="s">
        <v>1051</v>
      </c>
      <c r="L1035">
        <v>-0.19</v>
      </c>
      <c r="M1035" t="s">
        <v>2031</v>
      </c>
      <c r="N1035" t="s">
        <v>6435</v>
      </c>
      <c r="O1035" t="s">
        <v>2031</v>
      </c>
      <c r="P1035" t="s">
        <v>1627</v>
      </c>
      <c r="Q1035">
        <v>-23.47</v>
      </c>
      <c r="R1035" t="s">
        <v>1285</v>
      </c>
      <c r="S1035">
        <v>5.74</v>
      </c>
      <c r="T1035">
        <v>7.86</v>
      </c>
      <c r="U1035" t="s">
        <v>4810</v>
      </c>
      <c r="V1035" t="s">
        <v>2106</v>
      </c>
      <c r="W1035" t="s">
        <v>971</v>
      </c>
      <c r="X1035">
        <v>2.48</v>
      </c>
      <c r="Y1035" t="s">
        <v>2833</v>
      </c>
      <c r="Z1035" t="s">
        <v>3073</v>
      </c>
      <c r="AA1035" t="s">
        <v>1184</v>
      </c>
      <c r="AB1035">
        <v>1.29</v>
      </c>
      <c r="AC1035" t="s">
        <v>553</v>
      </c>
      <c r="AD1035">
        <v>52.53</v>
      </c>
      <c r="AE1035" t="s">
        <v>123</v>
      </c>
      <c r="AF1035">
        <v>0.88</v>
      </c>
      <c r="AG1035">
        <v>0</v>
      </c>
      <c r="AH1035">
        <v>0</v>
      </c>
      <c r="AI1035" s="4">
        <v>35303</v>
      </c>
    </row>
    <row r="1036" spans="1:35">
      <c r="A1036">
        <v>1035</v>
      </c>
      <c r="B1036" t="str">
        <f>"300580"</f>
        <v>300580</v>
      </c>
      <c r="C1036" t="s">
        <v>6436</v>
      </c>
      <c r="D1036" s="4">
        <v>43190</v>
      </c>
      <c r="E1036" t="s">
        <v>293</v>
      </c>
      <c r="F1036" t="s">
        <v>4355</v>
      </c>
      <c r="G1036">
        <v>3013</v>
      </c>
      <c r="H1036">
        <v>0.16</v>
      </c>
      <c r="I1036">
        <v>6.43</v>
      </c>
      <c r="J1036">
        <v>2.48</v>
      </c>
      <c r="K1036" t="s">
        <v>1597</v>
      </c>
      <c r="L1036">
        <v>22.17</v>
      </c>
      <c r="M1036" t="s">
        <v>6437</v>
      </c>
      <c r="N1036" t="s">
        <v>6438</v>
      </c>
      <c r="O1036" t="s">
        <v>6437</v>
      </c>
      <c r="P1036" t="s">
        <v>6439</v>
      </c>
      <c r="Q1036">
        <v>2.29</v>
      </c>
      <c r="R1036" t="s">
        <v>1359</v>
      </c>
      <c r="S1036">
        <v>1.79</v>
      </c>
      <c r="T1036">
        <v>37.93</v>
      </c>
      <c r="U1036" t="s">
        <v>391</v>
      </c>
      <c r="V1036" t="s">
        <v>2380</v>
      </c>
      <c r="W1036" t="s">
        <v>944</v>
      </c>
      <c r="X1036">
        <v>2.48</v>
      </c>
      <c r="Y1036" t="s">
        <v>219</v>
      </c>
      <c r="Z1036" t="s">
        <v>1364</v>
      </c>
      <c r="AA1036" t="s">
        <v>2845</v>
      </c>
      <c r="AB1036">
        <v>2.56</v>
      </c>
      <c r="AC1036" t="s">
        <v>101</v>
      </c>
      <c r="AD1036">
        <v>83.94</v>
      </c>
      <c r="AE1036" t="s">
        <v>1238</v>
      </c>
      <c r="AF1036">
        <v>3.4</v>
      </c>
      <c r="AG1036">
        <v>0</v>
      </c>
      <c r="AH1036">
        <v>0</v>
      </c>
      <c r="AI1036" s="4">
        <v>42746</v>
      </c>
    </row>
    <row r="1037" spans="1:35">
      <c r="A1037">
        <v>1036</v>
      </c>
      <c r="B1037" t="str">
        <f>"002789"</f>
        <v>002789</v>
      </c>
      <c r="C1037" t="s">
        <v>6440</v>
      </c>
      <c r="D1037" s="4">
        <v>43190</v>
      </c>
      <c r="E1037" t="s">
        <v>1830</v>
      </c>
      <c r="F1037" t="s">
        <v>6441</v>
      </c>
      <c r="G1037">
        <v>2794</v>
      </c>
      <c r="H1037">
        <v>0.36</v>
      </c>
      <c r="I1037">
        <v>14.74</v>
      </c>
      <c r="J1037">
        <v>2.48</v>
      </c>
      <c r="K1037" t="s">
        <v>3900</v>
      </c>
      <c r="L1037">
        <v>13.47</v>
      </c>
      <c r="M1037" t="s">
        <v>6442</v>
      </c>
      <c r="N1037" t="s">
        <v>5984</v>
      </c>
      <c r="O1037" t="s">
        <v>1560</v>
      </c>
      <c r="P1037" t="s">
        <v>6443</v>
      </c>
      <c r="Q1037">
        <v>4.49</v>
      </c>
      <c r="R1037" t="s">
        <v>123</v>
      </c>
      <c r="S1037">
        <v>5.48</v>
      </c>
      <c r="T1037">
        <v>12.61</v>
      </c>
      <c r="U1037" t="s">
        <v>948</v>
      </c>
      <c r="V1037" t="s">
        <v>238</v>
      </c>
      <c r="W1037" t="s">
        <v>6444</v>
      </c>
      <c r="X1037">
        <v>2.48</v>
      </c>
      <c r="Y1037" t="s">
        <v>1908</v>
      </c>
      <c r="Z1037" t="s">
        <v>2100</v>
      </c>
      <c r="AA1037" t="s">
        <v>6445</v>
      </c>
      <c r="AB1037">
        <v>2.37</v>
      </c>
      <c r="AC1037" t="s">
        <v>625</v>
      </c>
      <c r="AD1037">
        <v>30.82</v>
      </c>
      <c r="AE1037" t="s">
        <v>2674</v>
      </c>
      <c r="AF1037">
        <v>7.52</v>
      </c>
      <c r="AG1037">
        <v>0</v>
      </c>
      <c r="AH1037">
        <v>0</v>
      </c>
      <c r="AI1037" s="4">
        <v>42440</v>
      </c>
    </row>
    <row r="1038" spans="1:35">
      <c r="A1038">
        <v>1037</v>
      </c>
      <c r="B1038" t="str">
        <f>"002281"</f>
        <v>002281</v>
      </c>
      <c r="C1038" t="s">
        <v>6446</v>
      </c>
      <c r="D1038" s="4">
        <v>43190</v>
      </c>
      <c r="E1038" t="s">
        <v>690</v>
      </c>
      <c r="F1038" t="s">
        <v>3250</v>
      </c>
      <c r="G1038" t="s">
        <v>2305</v>
      </c>
      <c r="H1038">
        <v>0.12</v>
      </c>
      <c r="I1038">
        <v>4.75</v>
      </c>
      <c r="J1038">
        <v>2.48</v>
      </c>
      <c r="K1038" t="s">
        <v>264</v>
      </c>
      <c r="L1038">
        <v>-4.75</v>
      </c>
      <c r="M1038" t="s">
        <v>6447</v>
      </c>
      <c r="N1038">
        <v>0</v>
      </c>
      <c r="O1038" t="s">
        <v>6448</v>
      </c>
      <c r="P1038" t="s">
        <v>6449</v>
      </c>
      <c r="Q1038">
        <v>-19.38</v>
      </c>
      <c r="R1038" t="s">
        <v>124</v>
      </c>
      <c r="S1038">
        <v>1.88</v>
      </c>
      <c r="T1038">
        <v>16.809999999999999</v>
      </c>
      <c r="U1038" t="s">
        <v>4015</v>
      </c>
      <c r="V1038" t="s">
        <v>893</v>
      </c>
      <c r="W1038" t="s">
        <v>2177</v>
      </c>
      <c r="X1038">
        <v>2.48</v>
      </c>
      <c r="Y1038" t="s">
        <v>244</v>
      </c>
      <c r="Z1038" t="s">
        <v>789</v>
      </c>
      <c r="AA1038" t="s">
        <v>1597</v>
      </c>
      <c r="AB1038">
        <v>4.3499999999999996</v>
      </c>
      <c r="AC1038" t="s">
        <v>1404</v>
      </c>
      <c r="AD1038">
        <v>56.68</v>
      </c>
      <c r="AE1038" t="s">
        <v>548</v>
      </c>
      <c r="AF1038">
        <v>1.93</v>
      </c>
      <c r="AG1038">
        <v>0</v>
      </c>
      <c r="AH1038">
        <v>0</v>
      </c>
      <c r="AI1038" s="4">
        <v>40046</v>
      </c>
    </row>
    <row r="1039" spans="1:35">
      <c r="A1039">
        <v>1038</v>
      </c>
      <c r="B1039" t="str">
        <f>"002092"</f>
        <v>002092</v>
      </c>
      <c r="C1039" t="s">
        <v>6450</v>
      </c>
      <c r="D1039" s="4">
        <v>43190</v>
      </c>
      <c r="E1039" t="s">
        <v>449</v>
      </c>
      <c r="F1039" t="s">
        <v>712</v>
      </c>
      <c r="G1039" t="s">
        <v>5811</v>
      </c>
      <c r="H1039">
        <v>0.2</v>
      </c>
      <c r="I1039">
        <v>7.92</v>
      </c>
      <c r="J1039">
        <v>2.48</v>
      </c>
      <c r="K1039" t="s">
        <v>1820</v>
      </c>
      <c r="L1039">
        <v>52.74</v>
      </c>
      <c r="M1039" t="s">
        <v>1012</v>
      </c>
      <c r="N1039" t="s">
        <v>6451</v>
      </c>
      <c r="O1039" t="s">
        <v>1018</v>
      </c>
      <c r="P1039" t="s">
        <v>599</v>
      </c>
      <c r="Q1039">
        <v>-39.130000000000003</v>
      </c>
      <c r="R1039" t="s">
        <v>1776</v>
      </c>
      <c r="S1039">
        <v>2.39</v>
      </c>
      <c r="T1039">
        <v>15.26</v>
      </c>
      <c r="U1039" t="s">
        <v>6452</v>
      </c>
      <c r="V1039" t="s">
        <v>1931</v>
      </c>
      <c r="W1039" t="s">
        <v>1811</v>
      </c>
      <c r="X1039">
        <v>2.48</v>
      </c>
      <c r="Y1039" t="s">
        <v>6453</v>
      </c>
      <c r="Z1039" t="s">
        <v>3511</v>
      </c>
      <c r="AA1039" t="s">
        <v>1254</v>
      </c>
      <c r="AB1039">
        <v>1.26</v>
      </c>
      <c r="AC1039" t="s">
        <v>432</v>
      </c>
      <c r="AD1039">
        <v>31.75</v>
      </c>
      <c r="AE1039" t="s">
        <v>4995</v>
      </c>
      <c r="AF1039">
        <v>4.32</v>
      </c>
      <c r="AG1039">
        <v>0</v>
      </c>
      <c r="AH1039">
        <v>0</v>
      </c>
      <c r="AI1039" s="4">
        <v>39059</v>
      </c>
    </row>
    <row r="1040" spans="1:35">
      <c r="A1040">
        <v>1039</v>
      </c>
      <c r="B1040" t="str">
        <f>"603826"</f>
        <v>603826</v>
      </c>
      <c r="C1040" t="s">
        <v>6454</v>
      </c>
      <c r="D1040" s="4">
        <v>43190</v>
      </c>
      <c r="E1040" t="s">
        <v>735</v>
      </c>
      <c r="F1040" t="s">
        <v>905</v>
      </c>
      <c r="G1040">
        <v>3759</v>
      </c>
      <c r="H1040">
        <v>0.08</v>
      </c>
      <c r="I1040">
        <v>2.42</v>
      </c>
      <c r="J1040">
        <v>2.4700000000000002</v>
      </c>
      <c r="K1040" t="s">
        <v>1626</v>
      </c>
      <c r="L1040">
        <v>13.46</v>
      </c>
      <c r="M1040" t="s">
        <v>6455</v>
      </c>
      <c r="N1040" t="s">
        <v>6456</v>
      </c>
      <c r="O1040" t="s">
        <v>6457</v>
      </c>
      <c r="P1040" t="s">
        <v>4960</v>
      </c>
      <c r="Q1040">
        <v>39.33</v>
      </c>
      <c r="R1040" t="s">
        <v>1995</v>
      </c>
      <c r="S1040">
        <v>0.51</v>
      </c>
      <c r="T1040">
        <v>44.27</v>
      </c>
      <c r="U1040" t="s">
        <v>300</v>
      </c>
      <c r="V1040" t="s">
        <v>1015</v>
      </c>
      <c r="W1040" t="s">
        <v>165</v>
      </c>
      <c r="X1040">
        <v>2.4700000000000002</v>
      </c>
      <c r="Y1040" t="s">
        <v>6458</v>
      </c>
      <c r="Z1040" t="s">
        <v>6459</v>
      </c>
      <c r="AA1040" t="s">
        <v>6460</v>
      </c>
      <c r="AB1040">
        <v>4.21</v>
      </c>
      <c r="AC1040" t="s">
        <v>613</v>
      </c>
      <c r="AD1040">
        <v>92.49</v>
      </c>
      <c r="AE1040" t="s">
        <v>1615</v>
      </c>
      <c r="AF1040">
        <v>0.82</v>
      </c>
      <c r="AG1040">
        <v>0</v>
      </c>
      <c r="AH1040">
        <v>0</v>
      </c>
      <c r="AI1040" s="4">
        <v>42839</v>
      </c>
    </row>
    <row r="1041" spans="1:35">
      <c r="A1041">
        <v>1040</v>
      </c>
      <c r="B1041" t="str">
        <f>"603158"</f>
        <v>603158</v>
      </c>
      <c r="C1041" t="s">
        <v>6461</v>
      </c>
      <c r="D1041" s="4">
        <v>43190</v>
      </c>
      <c r="E1041" t="s">
        <v>66</v>
      </c>
      <c r="F1041" t="s">
        <v>1364</v>
      </c>
      <c r="G1041" t="s">
        <v>1577</v>
      </c>
      <c r="H1041">
        <v>0.11</v>
      </c>
      <c r="I1041">
        <v>4.5</v>
      </c>
      <c r="J1041">
        <v>2.4700000000000002</v>
      </c>
      <c r="K1041" t="s">
        <v>726</v>
      </c>
      <c r="L1041">
        <v>15.63</v>
      </c>
      <c r="M1041" t="s">
        <v>6462</v>
      </c>
      <c r="N1041" t="s">
        <v>6463</v>
      </c>
      <c r="O1041" t="s">
        <v>6464</v>
      </c>
      <c r="P1041" t="s">
        <v>6465</v>
      </c>
      <c r="Q1041">
        <v>-21.71</v>
      </c>
      <c r="R1041" t="s">
        <v>169</v>
      </c>
      <c r="S1041">
        <v>2.13</v>
      </c>
      <c r="T1041">
        <v>29.28</v>
      </c>
      <c r="U1041" t="s">
        <v>848</v>
      </c>
      <c r="V1041" t="s">
        <v>125</v>
      </c>
      <c r="W1041" t="s">
        <v>1035</v>
      </c>
      <c r="X1041">
        <v>2.4700000000000002</v>
      </c>
      <c r="Y1041" t="s">
        <v>155</v>
      </c>
      <c r="Z1041" t="s">
        <v>2665</v>
      </c>
      <c r="AA1041" t="s">
        <v>6466</v>
      </c>
      <c r="AB1041">
        <v>3.78</v>
      </c>
      <c r="AC1041" t="s">
        <v>1496</v>
      </c>
      <c r="AD1041">
        <v>65.08</v>
      </c>
      <c r="AE1041" t="s">
        <v>286</v>
      </c>
      <c r="AF1041">
        <v>1.33</v>
      </c>
      <c r="AG1041">
        <v>0</v>
      </c>
      <c r="AH1041">
        <v>0</v>
      </c>
      <c r="AI1041" s="4">
        <v>42083</v>
      </c>
    </row>
    <row r="1042" spans="1:35">
      <c r="A1042">
        <v>1041</v>
      </c>
      <c r="B1042" t="str">
        <f>"600015"</f>
        <v>600015</v>
      </c>
      <c r="C1042" t="s">
        <v>6467</v>
      </c>
      <c r="D1042" s="4">
        <v>43190</v>
      </c>
      <c r="E1042" t="s">
        <v>311</v>
      </c>
      <c r="F1042" t="s">
        <v>311</v>
      </c>
      <c r="G1042" t="s">
        <v>6468</v>
      </c>
      <c r="H1042">
        <v>0.35</v>
      </c>
      <c r="I1042">
        <v>11.88</v>
      </c>
      <c r="J1042">
        <v>2.4700000000000002</v>
      </c>
      <c r="K1042" t="s">
        <v>3912</v>
      </c>
      <c r="L1042">
        <v>-2.61</v>
      </c>
      <c r="M1042" t="s">
        <v>2196</v>
      </c>
      <c r="N1042" t="s">
        <v>6469</v>
      </c>
      <c r="O1042" t="s">
        <v>2196</v>
      </c>
      <c r="P1042" t="s">
        <v>152</v>
      </c>
      <c r="Q1042">
        <v>1.1100000000000001</v>
      </c>
      <c r="R1042" t="s">
        <v>6470</v>
      </c>
      <c r="S1042">
        <v>5.59</v>
      </c>
      <c r="T1042">
        <v>0</v>
      </c>
      <c r="U1042" t="s">
        <v>6471</v>
      </c>
      <c r="V1042">
        <v>0</v>
      </c>
      <c r="W1042" t="s">
        <v>2504</v>
      </c>
      <c r="X1042">
        <v>2.4700000000000002</v>
      </c>
      <c r="Y1042" t="s">
        <v>6472</v>
      </c>
      <c r="Z1042">
        <v>0</v>
      </c>
      <c r="AA1042">
        <v>0</v>
      </c>
      <c r="AB1042">
        <v>0.65</v>
      </c>
      <c r="AC1042" t="s">
        <v>6473</v>
      </c>
      <c r="AD1042">
        <v>6.77</v>
      </c>
      <c r="AE1042" t="s">
        <v>2342</v>
      </c>
      <c r="AF1042">
        <v>2.08</v>
      </c>
      <c r="AG1042">
        <v>0</v>
      </c>
      <c r="AH1042">
        <v>0</v>
      </c>
      <c r="AI1042" s="4">
        <v>37876</v>
      </c>
    </row>
    <row r="1043" spans="1:35">
      <c r="A1043">
        <v>1042</v>
      </c>
      <c r="B1043" t="str">
        <f>"300387"</f>
        <v>300387</v>
      </c>
      <c r="C1043" t="s">
        <v>6474</v>
      </c>
      <c r="D1043" s="4">
        <v>43190</v>
      </c>
      <c r="E1043" t="s">
        <v>1484</v>
      </c>
      <c r="F1043" t="s">
        <v>1435</v>
      </c>
      <c r="G1043" t="s">
        <v>4389</v>
      </c>
      <c r="H1043">
        <v>0.08</v>
      </c>
      <c r="I1043">
        <v>3.5</v>
      </c>
      <c r="J1043">
        <v>2.4700000000000002</v>
      </c>
      <c r="K1043" t="s">
        <v>1936</v>
      </c>
      <c r="L1043">
        <v>21.2</v>
      </c>
      <c r="M1043" t="s">
        <v>6475</v>
      </c>
      <c r="N1043">
        <v>1123</v>
      </c>
      <c r="O1043" t="s">
        <v>6476</v>
      </c>
      <c r="P1043" t="s">
        <v>6477</v>
      </c>
      <c r="Q1043">
        <v>15.76</v>
      </c>
      <c r="R1043" t="s">
        <v>1934</v>
      </c>
      <c r="S1043">
        <v>1.67</v>
      </c>
      <c r="T1043">
        <v>34.25</v>
      </c>
      <c r="U1043" t="s">
        <v>759</v>
      </c>
      <c r="V1043" t="s">
        <v>627</v>
      </c>
      <c r="W1043" t="s">
        <v>200</v>
      </c>
      <c r="X1043">
        <v>2.4700000000000002</v>
      </c>
      <c r="Y1043" t="s">
        <v>1405</v>
      </c>
      <c r="Z1043" t="s">
        <v>675</v>
      </c>
      <c r="AA1043" t="s">
        <v>3693</v>
      </c>
      <c r="AB1043">
        <v>2.0699999999999998</v>
      </c>
      <c r="AC1043" t="s">
        <v>539</v>
      </c>
      <c r="AD1043">
        <v>53.64</v>
      </c>
      <c r="AE1043" t="s">
        <v>492</v>
      </c>
      <c r="AF1043">
        <v>0.72</v>
      </c>
      <c r="AG1043">
        <v>0</v>
      </c>
      <c r="AH1043">
        <v>0</v>
      </c>
      <c r="AI1043" s="4">
        <v>41822</v>
      </c>
    </row>
    <row r="1044" spans="1:35">
      <c r="A1044">
        <v>1043</v>
      </c>
      <c r="B1044" t="str">
        <f>"002802"</f>
        <v>002802</v>
      </c>
      <c r="C1044" t="s">
        <v>6478</v>
      </c>
      <c r="D1044" s="4">
        <v>43190</v>
      </c>
      <c r="E1044" t="s">
        <v>71</v>
      </c>
      <c r="F1044" t="s">
        <v>6479</v>
      </c>
      <c r="G1044">
        <v>2474</v>
      </c>
      <c r="H1044">
        <v>0.14000000000000001</v>
      </c>
      <c r="I1044">
        <v>5.38</v>
      </c>
      <c r="J1044">
        <v>2.46</v>
      </c>
      <c r="K1044" t="s">
        <v>443</v>
      </c>
      <c r="L1044">
        <v>47.89</v>
      </c>
      <c r="M1044" t="s">
        <v>6480</v>
      </c>
      <c r="N1044" t="s">
        <v>6481</v>
      </c>
      <c r="O1044" t="s">
        <v>4657</v>
      </c>
      <c r="P1044" t="s">
        <v>5883</v>
      </c>
      <c r="Q1044">
        <v>14.14</v>
      </c>
      <c r="R1044" t="s">
        <v>474</v>
      </c>
      <c r="S1044">
        <v>1.9</v>
      </c>
      <c r="T1044">
        <v>26.41</v>
      </c>
      <c r="U1044" t="s">
        <v>4552</v>
      </c>
      <c r="V1044" t="s">
        <v>123</v>
      </c>
      <c r="W1044" t="s">
        <v>84</v>
      </c>
      <c r="X1044">
        <v>2.46</v>
      </c>
      <c r="Y1044" t="s">
        <v>6482</v>
      </c>
      <c r="Z1044" t="s">
        <v>6483</v>
      </c>
      <c r="AA1044" t="s">
        <v>6484</v>
      </c>
      <c r="AB1044">
        <v>4.29</v>
      </c>
      <c r="AC1044" t="s">
        <v>661</v>
      </c>
      <c r="AD1044">
        <v>92.65</v>
      </c>
      <c r="AE1044" t="s">
        <v>3674</v>
      </c>
      <c r="AF1044">
        <v>2.25</v>
      </c>
      <c r="AG1044">
        <v>0</v>
      </c>
      <c r="AH1044">
        <v>0</v>
      </c>
      <c r="AI1044" s="4">
        <v>42550</v>
      </c>
    </row>
    <row r="1045" spans="1:35">
      <c r="A1045">
        <v>1044</v>
      </c>
      <c r="B1045" t="str">
        <f>"000810"</f>
        <v>000810</v>
      </c>
      <c r="C1045" t="s">
        <v>6485</v>
      </c>
      <c r="D1045" s="4">
        <v>43190</v>
      </c>
      <c r="E1045" t="s">
        <v>295</v>
      </c>
      <c r="F1045" t="s">
        <v>4539</v>
      </c>
      <c r="G1045" t="s">
        <v>2015</v>
      </c>
      <c r="H1045">
        <v>0.06</v>
      </c>
      <c r="I1045">
        <v>2.61</v>
      </c>
      <c r="J1045">
        <v>2.46</v>
      </c>
      <c r="K1045" t="s">
        <v>1101</v>
      </c>
      <c r="L1045">
        <v>11.24</v>
      </c>
      <c r="M1045" t="s">
        <v>6486</v>
      </c>
      <c r="N1045" t="s">
        <v>2033</v>
      </c>
      <c r="O1045" t="s">
        <v>6487</v>
      </c>
      <c r="P1045" t="s">
        <v>6488</v>
      </c>
      <c r="Q1045">
        <v>119.01</v>
      </c>
      <c r="R1045" t="s">
        <v>173</v>
      </c>
      <c r="S1045">
        <v>1.33</v>
      </c>
      <c r="T1045">
        <v>16.14</v>
      </c>
      <c r="U1045" t="s">
        <v>2842</v>
      </c>
      <c r="V1045" t="s">
        <v>4672</v>
      </c>
      <c r="W1045" t="s">
        <v>453</v>
      </c>
      <c r="X1045">
        <v>2.46</v>
      </c>
      <c r="Y1045" t="s">
        <v>1410</v>
      </c>
      <c r="Z1045" t="s">
        <v>2005</v>
      </c>
      <c r="AA1045" t="s">
        <v>1001</v>
      </c>
      <c r="AB1045">
        <v>3.41</v>
      </c>
      <c r="AC1045" t="s">
        <v>502</v>
      </c>
      <c r="AD1045">
        <v>35.76</v>
      </c>
      <c r="AE1045" t="s">
        <v>2284</v>
      </c>
      <c r="AF1045">
        <v>0.39</v>
      </c>
      <c r="AG1045">
        <v>0</v>
      </c>
      <c r="AH1045">
        <v>0</v>
      </c>
      <c r="AI1045" s="4">
        <v>35948</v>
      </c>
    </row>
    <row r="1046" spans="1:35">
      <c r="A1046">
        <v>1045</v>
      </c>
      <c r="B1046" t="str">
        <f>"603876"</f>
        <v>603876</v>
      </c>
      <c r="C1046" t="s">
        <v>6489</v>
      </c>
      <c r="D1046" s="4">
        <v>43190</v>
      </c>
      <c r="E1046" t="s">
        <v>914</v>
      </c>
      <c r="F1046" t="s">
        <v>1063</v>
      </c>
      <c r="G1046">
        <v>0</v>
      </c>
      <c r="H1046">
        <v>0.14000000000000001</v>
      </c>
      <c r="I1046">
        <v>7.46</v>
      </c>
      <c r="J1046">
        <v>2.4500000000000002</v>
      </c>
      <c r="K1046" t="s">
        <v>2280</v>
      </c>
      <c r="L1046">
        <v>25.18</v>
      </c>
      <c r="M1046" t="s">
        <v>6490</v>
      </c>
      <c r="N1046" t="s">
        <v>6491</v>
      </c>
      <c r="O1046" t="s">
        <v>6492</v>
      </c>
      <c r="P1046" t="s">
        <v>6493</v>
      </c>
      <c r="Q1046">
        <v>29.98</v>
      </c>
      <c r="R1046" t="s">
        <v>602</v>
      </c>
      <c r="S1046">
        <v>2.57</v>
      </c>
      <c r="T1046">
        <v>9.91</v>
      </c>
      <c r="U1046" t="s">
        <v>3775</v>
      </c>
      <c r="V1046" t="s">
        <v>3578</v>
      </c>
      <c r="W1046" t="s">
        <v>728</v>
      </c>
      <c r="X1046">
        <v>2.4500000000000002</v>
      </c>
      <c r="Y1046" t="s">
        <v>1160</v>
      </c>
      <c r="Z1046" t="s">
        <v>2447</v>
      </c>
      <c r="AA1046" t="s">
        <v>3986</v>
      </c>
      <c r="AB1046">
        <v>3.84</v>
      </c>
      <c r="AC1046" t="s">
        <v>1213</v>
      </c>
      <c r="AD1046">
        <v>28.45</v>
      </c>
      <c r="AE1046" t="s">
        <v>782</v>
      </c>
      <c r="AF1046">
        <v>3.61</v>
      </c>
      <c r="AG1046">
        <v>0</v>
      </c>
      <c r="AH1046">
        <v>0</v>
      </c>
      <c r="AI1046" s="4">
        <v>43208</v>
      </c>
    </row>
    <row r="1047" spans="1:35">
      <c r="A1047">
        <v>1046</v>
      </c>
      <c r="B1047" t="str">
        <f>"600270"</f>
        <v>600270</v>
      </c>
      <c r="C1047" t="s">
        <v>6494</v>
      </c>
      <c r="D1047" s="4">
        <v>43190</v>
      </c>
      <c r="E1047" t="s">
        <v>460</v>
      </c>
      <c r="F1047" t="s">
        <v>460</v>
      </c>
      <c r="G1047" t="s">
        <v>1694</v>
      </c>
      <c r="H1047">
        <v>0.22</v>
      </c>
      <c r="I1047">
        <v>9.26</v>
      </c>
      <c r="J1047">
        <v>2.4500000000000002</v>
      </c>
      <c r="K1047" t="s">
        <v>141</v>
      </c>
      <c r="L1047">
        <v>21.57</v>
      </c>
      <c r="M1047" t="s">
        <v>292</v>
      </c>
      <c r="N1047" t="s">
        <v>454</v>
      </c>
      <c r="O1047" t="s">
        <v>292</v>
      </c>
      <c r="P1047" t="s">
        <v>975</v>
      </c>
      <c r="Q1047">
        <v>6.46</v>
      </c>
      <c r="R1047" t="s">
        <v>2180</v>
      </c>
      <c r="S1047">
        <v>7.13</v>
      </c>
      <c r="T1047">
        <v>8.58</v>
      </c>
      <c r="U1047" t="s">
        <v>716</v>
      </c>
      <c r="V1047" t="s">
        <v>2243</v>
      </c>
      <c r="W1047" t="s">
        <v>2767</v>
      </c>
      <c r="X1047">
        <v>2.4500000000000002</v>
      </c>
      <c r="Y1047" t="s">
        <v>1678</v>
      </c>
      <c r="Z1047" t="s">
        <v>867</v>
      </c>
      <c r="AA1047" t="s">
        <v>3614</v>
      </c>
      <c r="AB1047">
        <v>2.2200000000000002</v>
      </c>
      <c r="AC1047" t="s">
        <v>4940</v>
      </c>
      <c r="AD1047">
        <v>82.47</v>
      </c>
      <c r="AE1047" t="s">
        <v>2587</v>
      </c>
      <c r="AF1047">
        <v>0.59</v>
      </c>
      <c r="AG1047">
        <v>0</v>
      </c>
      <c r="AH1047">
        <v>0</v>
      </c>
      <c r="AI1047" s="4">
        <v>36888</v>
      </c>
    </row>
    <row r="1048" spans="1:35">
      <c r="A1048">
        <v>1047</v>
      </c>
      <c r="B1048" t="str">
        <f>"002632"</f>
        <v>002632</v>
      </c>
      <c r="C1048" t="s">
        <v>6495</v>
      </c>
      <c r="D1048" s="4">
        <v>43190</v>
      </c>
      <c r="E1048" t="s">
        <v>2517</v>
      </c>
      <c r="F1048" t="s">
        <v>483</v>
      </c>
      <c r="G1048" t="s">
        <v>6078</v>
      </c>
      <c r="H1048">
        <v>7.0000000000000007E-2</v>
      </c>
      <c r="I1048">
        <v>2.94</v>
      </c>
      <c r="J1048">
        <v>2.4500000000000002</v>
      </c>
      <c r="K1048" t="s">
        <v>531</v>
      </c>
      <c r="L1048">
        <v>74.47</v>
      </c>
      <c r="M1048" t="s">
        <v>6496</v>
      </c>
      <c r="N1048" t="s">
        <v>6497</v>
      </c>
      <c r="O1048" t="s">
        <v>6498</v>
      </c>
      <c r="P1048" t="s">
        <v>4688</v>
      </c>
      <c r="Q1048">
        <v>130.18</v>
      </c>
      <c r="R1048" t="s">
        <v>48</v>
      </c>
      <c r="S1048">
        <v>0.6</v>
      </c>
      <c r="T1048">
        <v>40.56</v>
      </c>
      <c r="U1048" t="s">
        <v>1875</v>
      </c>
      <c r="V1048" t="s">
        <v>1065</v>
      </c>
      <c r="W1048" t="s">
        <v>792</v>
      </c>
      <c r="X1048">
        <v>2.4500000000000002</v>
      </c>
      <c r="Y1048" t="s">
        <v>824</v>
      </c>
      <c r="Z1048" t="s">
        <v>2729</v>
      </c>
      <c r="AA1048" t="s">
        <v>6499</v>
      </c>
      <c r="AB1048">
        <v>3.05</v>
      </c>
      <c r="AC1048" t="s">
        <v>516</v>
      </c>
      <c r="AD1048">
        <v>85.1</v>
      </c>
      <c r="AE1048" t="s">
        <v>1868</v>
      </c>
      <c r="AF1048">
        <v>1.29</v>
      </c>
      <c r="AG1048">
        <v>0</v>
      </c>
      <c r="AH1048">
        <v>0</v>
      </c>
      <c r="AI1048" s="4">
        <v>40869</v>
      </c>
    </row>
    <row r="1049" spans="1:35">
      <c r="A1049">
        <v>1048</v>
      </c>
      <c r="B1049" t="str">
        <f>"603168"</f>
        <v>603168</v>
      </c>
      <c r="C1049" t="s">
        <v>6500</v>
      </c>
      <c r="D1049" s="4">
        <v>43190</v>
      </c>
      <c r="E1049" t="s">
        <v>1797</v>
      </c>
      <c r="F1049" t="s">
        <v>2132</v>
      </c>
      <c r="G1049">
        <v>6990</v>
      </c>
      <c r="H1049">
        <v>0.13</v>
      </c>
      <c r="I1049">
        <v>5.1100000000000003</v>
      </c>
      <c r="J1049">
        <v>2.44</v>
      </c>
      <c r="K1049" t="s">
        <v>383</v>
      </c>
      <c r="L1049">
        <v>-15.52</v>
      </c>
      <c r="M1049" t="s">
        <v>6501</v>
      </c>
      <c r="N1049" t="s">
        <v>6502</v>
      </c>
      <c r="O1049" t="s">
        <v>5187</v>
      </c>
      <c r="P1049" t="s">
        <v>6503</v>
      </c>
      <c r="Q1049">
        <v>-18.399999999999999</v>
      </c>
      <c r="R1049" t="s">
        <v>4002</v>
      </c>
      <c r="S1049">
        <v>1.85</v>
      </c>
      <c r="T1049">
        <v>73.66</v>
      </c>
      <c r="U1049" t="s">
        <v>187</v>
      </c>
      <c r="V1049" t="s">
        <v>77</v>
      </c>
      <c r="W1049" t="s">
        <v>2178</v>
      </c>
      <c r="X1049">
        <v>2.44</v>
      </c>
      <c r="Y1049" t="s">
        <v>1839</v>
      </c>
      <c r="Z1049" t="s">
        <v>1839</v>
      </c>
      <c r="AA1049">
        <v>0</v>
      </c>
      <c r="AB1049">
        <v>1.68</v>
      </c>
      <c r="AC1049" t="s">
        <v>820</v>
      </c>
      <c r="AD1049">
        <v>90.4</v>
      </c>
      <c r="AE1049" t="s">
        <v>1493</v>
      </c>
      <c r="AF1049">
        <v>1.92</v>
      </c>
      <c r="AG1049">
        <v>0</v>
      </c>
      <c r="AH1049">
        <v>0</v>
      </c>
      <c r="AI1049" s="4">
        <v>41822</v>
      </c>
    </row>
    <row r="1050" spans="1:35">
      <c r="A1050">
        <v>1049</v>
      </c>
      <c r="B1050" t="str">
        <f>"603108"</f>
        <v>603108</v>
      </c>
      <c r="C1050" t="s">
        <v>6504</v>
      </c>
      <c r="D1050" s="4">
        <v>43190</v>
      </c>
      <c r="E1050" t="s">
        <v>1502</v>
      </c>
      <c r="F1050" t="s">
        <v>1012</v>
      </c>
      <c r="G1050" t="s">
        <v>1448</v>
      </c>
      <c r="H1050">
        <v>0.1</v>
      </c>
      <c r="I1050">
        <v>3.97</v>
      </c>
      <c r="J1050">
        <v>2.44</v>
      </c>
      <c r="K1050" t="s">
        <v>1025</v>
      </c>
      <c r="L1050">
        <v>70.58</v>
      </c>
      <c r="M1050" t="s">
        <v>280</v>
      </c>
      <c r="N1050" t="s">
        <v>1630</v>
      </c>
      <c r="O1050" t="s">
        <v>2360</v>
      </c>
      <c r="P1050" t="s">
        <v>6505</v>
      </c>
      <c r="Q1050">
        <v>69.989999999999995</v>
      </c>
      <c r="R1050" t="s">
        <v>1394</v>
      </c>
      <c r="S1050">
        <v>1.1299999999999999</v>
      </c>
      <c r="T1050">
        <v>26.81</v>
      </c>
      <c r="U1050" t="s">
        <v>3858</v>
      </c>
      <c r="V1050" t="s">
        <v>1412</v>
      </c>
      <c r="W1050" t="s">
        <v>3741</v>
      </c>
      <c r="X1050">
        <v>2.44</v>
      </c>
      <c r="Y1050" t="s">
        <v>811</v>
      </c>
      <c r="Z1050" t="s">
        <v>2212</v>
      </c>
      <c r="AA1050" t="s">
        <v>625</v>
      </c>
      <c r="AB1050">
        <v>3.04</v>
      </c>
      <c r="AC1050" t="s">
        <v>242</v>
      </c>
      <c r="AD1050">
        <v>31.17</v>
      </c>
      <c r="AE1050" t="s">
        <v>1496</v>
      </c>
      <c r="AF1050">
        <v>1.77</v>
      </c>
      <c r="AG1050">
        <v>0</v>
      </c>
      <c r="AH1050">
        <v>0</v>
      </c>
      <c r="AI1050" s="4">
        <v>42151</v>
      </c>
    </row>
    <row r="1051" spans="1:35">
      <c r="A1051">
        <v>1050</v>
      </c>
      <c r="B1051" t="str">
        <f>"600597"</f>
        <v>600597</v>
      </c>
      <c r="C1051" t="s">
        <v>6506</v>
      </c>
      <c r="D1051" s="4">
        <v>43190</v>
      </c>
      <c r="E1051" t="s">
        <v>982</v>
      </c>
      <c r="F1051" t="s">
        <v>982</v>
      </c>
      <c r="G1051" t="s">
        <v>2376</v>
      </c>
      <c r="H1051">
        <v>0.11</v>
      </c>
      <c r="I1051">
        <v>4.3899999999999997</v>
      </c>
      <c r="J1051">
        <v>2.44</v>
      </c>
      <c r="K1051" t="s">
        <v>1327</v>
      </c>
      <c r="L1051">
        <v>-4.9800000000000004</v>
      </c>
      <c r="M1051" t="s">
        <v>186</v>
      </c>
      <c r="N1051" t="s">
        <v>6507</v>
      </c>
      <c r="O1051" t="s">
        <v>1810</v>
      </c>
      <c r="P1051" t="s">
        <v>595</v>
      </c>
      <c r="Q1051">
        <v>-28.55</v>
      </c>
      <c r="R1051" t="s">
        <v>420</v>
      </c>
      <c r="S1051">
        <v>1.58</v>
      </c>
      <c r="T1051">
        <v>34.299999999999997</v>
      </c>
      <c r="U1051" t="s">
        <v>2634</v>
      </c>
      <c r="V1051" t="s">
        <v>3468</v>
      </c>
      <c r="W1051" t="s">
        <v>530</v>
      </c>
      <c r="X1051">
        <v>2.44</v>
      </c>
      <c r="Y1051" t="s">
        <v>3450</v>
      </c>
      <c r="Z1051" t="s">
        <v>6508</v>
      </c>
      <c r="AA1051" t="s">
        <v>1575</v>
      </c>
      <c r="AB1051">
        <v>2.33</v>
      </c>
      <c r="AC1051" t="s">
        <v>1110</v>
      </c>
      <c r="AD1051">
        <v>33.71</v>
      </c>
      <c r="AE1051" t="s">
        <v>646</v>
      </c>
      <c r="AF1051">
        <v>1.4</v>
      </c>
      <c r="AG1051">
        <v>0</v>
      </c>
      <c r="AH1051">
        <v>0</v>
      </c>
      <c r="AI1051" s="4">
        <v>37496</v>
      </c>
    </row>
    <row r="1052" spans="1:35">
      <c r="A1052">
        <v>1051</v>
      </c>
      <c r="B1052" t="str">
        <f>"300697"</f>
        <v>300697</v>
      </c>
      <c r="C1052" t="s">
        <v>6509</v>
      </c>
      <c r="D1052" s="4">
        <v>43190</v>
      </c>
      <c r="E1052" t="s">
        <v>415</v>
      </c>
      <c r="F1052" t="s">
        <v>5745</v>
      </c>
      <c r="G1052">
        <v>1740</v>
      </c>
      <c r="H1052">
        <v>0.08</v>
      </c>
      <c r="I1052">
        <v>3.37</v>
      </c>
      <c r="J1052">
        <v>2.44</v>
      </c>
      <c r="K1052" t="s">
        <v>499</v>
      </c>
      <c r="L1052">
        <v>17.600000000000001</v>
      </c>
      <c r="M1052" t="s">
        <v>6510</v>
      </c>
      <c r="N1052" t="s">
        <v>6511</v>
      </c>
      <c r="O1052" t="s">
        <v>6512</v>
      </c>
      <c r="P1052" t="s">
        <v>6513</v>
      </c>
      <c r="Q1052">
        <v>4.09</v>
      </c>
      <c r="R1052" t="s">
        <v>95</v>
      </c>
      <c r="S1052">
        <v>0.85</v>
      </c>
      <c r="T1052">
        <v>11.22</v>
      </c>
      <c r="U1052" t="s">
        <v>699</v>
      </c>
      <c r="V1052" t="s">
        <v>821</v>
      </c>
      <c r="W1052" t="s">
        <v>1349</v>
      </c>
      <c r="X1052">
        <v>2.44</v>
      </c>
      <c r="Y1052" t="s">
        <v>1461</v>
      </c>
      <c r="Z1052" t="s">
        <v>1461</v>
      </c>
      <c r="AA1052">
        <v>0</v>
      </c>
      <c r="AB1052">
        <v>4.5599999999999996</v>
      </c>
      <c r="AC1052" t="s">
        <v>889</v>
      </c>
      <c r="AD1052">
        <v>66.12</v>
      </c>
      <c r="AE1052" t="s">
        <v>340</v>
      </c>
      <c r="AF1052">
        <v>1.52</v>
      </c>
      <c r="AG1052">
        <v>0</v>
      </c>
      <c r="AH1052">
        <v>0</v>
      </c>
      <c r="AI1052" s="4">
        <v>42985</v>
      </c>
    </row>
    <row r="1053" spans="1:35">
      <c r="A1053">
        <v>1052</v>
      </c>
      <c r="B1053" t="str">
        <f>"300487"</f>
        <v>300487</v>
      </c>
      <c r="C1053" t="s">
        <v>6514</v>
      </c>
      <c r="D1053" s="4">
        <v>43190</v>
      </c>
      <c r="E1053" t="s">
        <v>1853</v>
      </c>
      <c r="F1053" t="s">
        <v>4350</v>
      </c>
      <c r="G1053">
        <v>4005</v>
      </c>
      <c r="H1053">
        <v>0.1</v>
      </c>
      <c r="I1053">
        <v>4.03</v>
      </c>
      <c r="J1053">
        <v>2.44</v>
      </c>
      <c r="K1053" t="s">
        <v>2306</v>
      </c>
      <c r="L1053">
        <v>34.049999999999997</v>
      </c>
      <c r="M1053" t="s">
        <v>5671</v>
      </c>
      <c r="N1053" t="s">
        <v>6515</v>
      </c>
      <c r="O1053" t="s">
        <v>5163</v>
      </c>
      <c r="P1053" t="s">
        <v>6516</v>
      </c>
      <c r="Q1053">
        <v>35.86</v>
      </c>
      <c r="R1053" t="s">
        <v>1320</v>
      </c>
      <c r="S1053">
        <v>1.51</v>
      </c>
      <c r="T1053">
        <v>38.729999999999997</v>
      </c>
      <c r="U1053" t="s">
        <v>323</v>
      </c>
      <c r="V1053" t="s">
        <v>2853</v>
      </c>
      <c r="W1053" t="s">
        <v>863</v>
      </c>
      <c r="X1053">
        <v>2.44</v>
      </c>
      <c r="Y1053" t="s">
        <v>2774</v>
      </c>
      <c r="Z1053" t="s">
        <v>1049</v>
      </c>
      <c r="AA1053" t="s">
        <v>6517</v>
      </c>
      <c r="AB1053">
        <v>9.83</v>
      </c>
      <c r="AC1053" t="s">
        <v>1561</v>
      </c>
      <c r="AD1053">
        <v>74.790000000000006</v>
      </c>
      <c r="AE1053" t="s">
        <v>2102</v>
      </c>
      <c r="AF1053">
        <v>1.41</v>
      </c>
      <c r="AG1053">
        <v>0</v>
      </c>
      <c r="AH1053">
        <v>0</v>
      </c>
      <c r="AI1053" s="4">
        <v>42187</v>
      </c>
    </row>
    <row r="1054" spans="1:35">
      <c r="A1054">
        <v>1053</v>
      </c>
      <c r="B1054" t="str">
        <f>"300073"</f>
        <v>300073</v>
      </c>
      <c r="C1054" t="s">
        <v>6518</v>
      </c>
      <c r="D1054" s="4">
        <v>43190</v>
      </c>
      <c r="E1054" t="s">
        <v>4794</v>
      </c>
      <c r="F1054" t="s">
        <v>681</v>
      </c>
      <c r="G1054">
        <v>6803</v>
      </c>
      <c r="H1054">
        <v>0.09</v>
      </c>
      <c r="I1054">
        <v>6.99</v>
      </c>
      <c r="J1054">
        <v>2.44</v>
      </c>
      <c r="K1054" t="s">
        <v>4552</v>
      </c>
      <c r="L1054">
        <v>113.76</v>
      </c>
      <c r="M1054" t="s">
        <v>6519</v>
      </c>
      <c r="N1054">
        <v>0</v>
      </c>
      <c r="O1054" t="s">
        <v>6520</v>
      </c>
      <c r="P1054" t="s">
        <v>6521</v>
      </c>
      <c r="Q1054">
        <v>98.97</v>
      </c>
      <c r="R1054" t="s">
        <v>3119</v>
      </c>
      <c r="S1054">
        <v>0.84</v>
      </c>
      <c r="T1054">
        <v>14.21</v>
      </c>
      <c r="U1054" t="s">
        <v>3125</v>
      </c>
      <c r="V1054" t="s">
        <v>2212</v>
      </c>
      <c r="W1054" t="s">
        <v>2222</v>
      </c>
      <c r="X1054">
        <v>2.44</v>
      </c>
      <c r="Y1054" t="s">
        <v>173</v>
      </c>
      <c r="Z1054" t="s">
        <v>1082</v>
      </c>
      <c r="AA1054" t="s">
        <v>1724</v>
      </c>
      <c r="AB1054">
        <v>4.07</v>
      </c>
      <c r="AC1054" t="s">
        <v>2057</v>
      </c>
      <c r="AD1054">
        <v>68.62</v>
      </c>
      <c r="AE1054" t="s">
        <v>1390</v>
      </c>
      <c r="AF1054">
        <v>5.05</v>
      </c>
      <c r="AG1054">
        <v>0</v>
      </c>
      <c r="AH1054">
        <v>0</v>
      </c>
      <c r="AI1054" s="4">
        <v>40295</v>
      </c>
    </row>
    <row r="1055" spans="1:35">
      <c r="A1055">
        <v>1054</v>
      </c>
      <c r="B1055" t="str">
        <f>"000906"</f>
        <v>000906</v>
      </c>
      <c r="C1055" t="s">
        <v>6522</v>
      </c>
      <c r="D1055" s="4">
        <v>43190</v>
      </c>
      <c r="E1055" t="s">
        <v>1671</v>
      </c>
      <c r="F1055" t="s">
        <v>2392</v>
      </c>
      <c r="G1055" t="s">
        <v>224</v>
      </c>
      <c r="H1055">
        <v>0.08</v>
      </c>
      <c r="I1055">
        <v>2.83</v>
      </c>
      <c r="J1055">
        <v>2.44</v>
      </c>
      <c r="K1055" t="s">
        <v>463</v>
      </c>
      <c r="L1055">
        <v>47.1</v>
      </c>
      <c r="M1055" t="s">
        <v>6523</v>
      </c>
      <c r="N1055" t="s">
        <v>6524</v>
      </c>
      <c r="O1055" t="s">
        <v>6525</v>
      </c>
      <c r="P1055" t="s">
        <v>6526</v>
      </c>
      <c r="Q1055">
        <v>26.55</v>
      </c>
      <c r="R1055" t="s">
        <v>181</v>
      </c>
      <c r="S1055">
        <v>0.79</v>
      </c>
      <c r="T1055">
        <v>2.19</v>
      </c>
      <c r="U1055" t="s">
        <v>315</v>
      </c>
      <c r="V1055" t="s">
        <v>1254</v>
      </c>
      <c r="W1055" t="s">
        <v>985</v>
      </c>
      <c r="X1055">
        <v>2.44</v>
      </c>
      <c r="Y1055" t="s">
        <v>5902</v>
      </c>
      <c r="Z1055" t="s">
        <v>6527</v>
      </c>
      <c r="AA1055" t="s">
        <v>2429</v>
      </c>
      <c r="AB1055">
        <v>1.81</v>
      </c>
      <c r="AC1055" t="s">
        <v>1661</v>
      </c>
      <c r="AD1055">
        <v>22.75</v>
      </c>
      <c r="AE1055" t="s">
        <v>1042</v>
      </c>
      <c r="AF1055">
        <v>0.94</v>
      </c>
      <c r="AG1055">
        <v>0</v>
      </c>
      <c r="AH1055">
        <v>0</v>
      </c>
      <c r="AI1055" s="4">
        <v>36348</v>
      </c>
    </row>
    <row r="1056" spans="1:35">
      <c r="A1056">
        <v>1055</v>
      </c>
      <c r="B1056" t="str">
        <f>"600068"</f>
        <v>600068</v>
      </c>
      <c r="C1056" t="s">
        <v>6528</v>
      </c>
      <c r="D1056" s="4">
        <v>43190</v>
      </c>
      <c r="E1056" t="s">
        <v>3653</v>
      </c>
      <c r="F1056" t="s">
        <v>3653</v>
      </c>
      <c r="G1056" t="s">
        <v>3258</v>
      </c>
      <c r="H1056">
        <v>0.16</v>
      </c>
      <c r="I1056">
        <v>5.51</v>
      </c>
      <c r="J1056">
        <v>2.44</v>
      </c>
      <c r="K1056" t="s">
        <v>2617</v>
      </c>
      <c r="L1056">
        <v>-9.92</v>
      </c>
      <c r="M1056" t="s">
        <v>350</v>
      </c>
      <c r="N1056" t="s">
        <v>595</v>
      </c>
      <c r="O1056" t="s">
        <v>624</v>
      </c>
      <c r="P1056" t="s">
        <v>650</v>
      </c>
      <c r="Q1056">
        <v>1.51</v>
      </c>
      <c r="R1056" t="s">
        <v>404</v>
      </c>
      <c r="S1056">
        <v>2.4700000000000002</v>
      </c>
      <c r="T1056">
        <v>15.73</v>
      </c>
      <c r="U1056" t="s">
        <v>6529</v>
      </c>
      <c r="V1056" t="s">
        <v>6530</v>
      </c>
      <c r="W1056" t="s">
        <v>398</v>
      </c>
      <c r="X1056">
        <v>2.44</v>
      </c>
      <c r="Y1056" t="s">
        <v>6531</v>
      </c>
      <c r="Z1056" t="s">
        <v>6532</v>
      </c>
      <c r="AA1056" t="s">
        <v>6533</v>
      </c>
      <c r="AB1056">
        <v>1.3</v>
      </c>
      <c r="AC1056" t="s">
        <v>3591</v>
      </c>
      <c r="AD1056">
        <v>21.18</v>
      </c>
      <c r="AE1056" t="s">
        <v>634</v>
      </c>
      <c r="AF1056">
        <v>1.64</v>
      </c>
      <c r="AG1056">
        <v>0</v>
      </c>
      <c r="AH1056">
        <v>0</v>
      </c>
      <c r="AI1056" s="4">
        <v>35576</v>
      </c>
    </row>
    <row r="1057" spans="1:35">
      <c r="A1057">
        <v>1056</v>
      </c>
      <c r="B1057" t="str">
        <f>"603611"</f>
        <v>603611</v>
      </c>
      <c r="C1057" t="s">
        <v>6534</v>
      </c>
      <c r="D1057" s="4">
        <v>43190</v>
      </c>
      <c r="E1057" t="s">
        <v>1666</v>
      </c>
      <c r="F1057" t="s">
        <v>509</v>
      </c>
      <c r="G1057" t="s">
        <v>70</v>
      </c>
      <c r="H1057">
        <v>0.15</v>
      </c>
      <c r="I1057">
        <v>5.71</v>
      </c>
      <c r="J1057">
        <v>2.4300000000000002</v>
      </c>
      <c r="K1057" t="s">
        <v>128</v>
      </c>
      <c r="L1057">
        <v>21.7</v>
      </c>
      <c r="M1057" t="s">
        <v>6535</v>
      </c>
      <c r="N1057" t="s">
        <v>6536</v>
      </c>
      <c r="O1057" t="s">
        <v>473</v>
      </c>
      <c r="P1057" t="s">
        <v>6537</v>
      </c>
      <c r="Q1057">
        <v>14.79</v>
      </c>
      <c r="R1057" t="s">
        <v>4279</v>
      </c>
      <c r="S1057">
        <v>1.92</v>
      </c>
      <c r="T1057">
        <v>24.82</v>
      </c>
      <c r="U1057" t="s">
        <v>1546</v>
      </c>
      <c r="V1057" t="s">
        <v>389</v>
      </c>
      <c r="W1057" t="s">
        <v>916</v>
      </c>
      <c r="X1057">
        <v>2.4300000000000002</v>
      </c>
      <c r="Y1057" t="s">
        <v>300</v>
      </c>
      <c r="Z1057" t="s">
        <v>982</v>
      </c>
      <c r="AA1057" t="s">
        <v>6538</v>
      </c>
      <c r="AB1057">
        <v>2.41</v>
      </c>
      <c r="AC1057" t="s">
        <v>1244</v>
      </c>
      <c r="AD1057">
        <v>55.93</v>
      </c>
      <c r="AE1057" t="s">
        <v>1047</v>
      </c>
      <c r="AF1057">
        <v>2.84</v>
      </c>
      <c r="AG1057">
        <v>0</v>
      </c>
      <c r="AH1057">
        <v>0</v>
      </c>
      <c r="AI1057" s="4">
        <v>42032</v>
      </c>
    </row>
    <row r="1058" spans="1:35">
      <c r="A1058">
        <v>1057</v>
      </c>
      <c r="B1058" t="str">
        <f>"600577"</f>
        <v>600577</v>
      </c>
      <c r="C1058" t="s">
        <v>6539</v>
      </c>
      <c r="D1058" s="4">
        <v>43190</v>
      </c>
      <c r="E1058" t="s">
        <v>419</v>
      </c>
      <c r="F1058" t="s">
        <v>419</v>
      </c>
      <c r="G1058" t="s">
        <v>268</v>
      </c>
      <c r="H1058">
        <v>0.04</v>
      </c>
      <c r="I1058">
        <v>1.48</v>
      </c>
      <c r="J1058">
        <v>2.4300000000000002</v>
      </c>
      <c r="K1058" t="s">
        <v>2700</v>
      </c>
      <c r="L1058">
        <v>26.45</v>
      </c>
      <c r="M1058" t="s">
        <v>677</v>
      </c>
      <c r="N1058">
        <v>0</v>
      </c>
      <c r="O1058" t="s">
        <v>1525</v>
      </c>
      <c r="P1058" t="s">
        <v>6540</v>
      </c>
      <c r="Q1058">
        <v>12.46</v>
      </c>
      <c r="R1058" t="s">
        <v>6541</v>
      </c>
      <c r="S1058">
        <v>0.4</v>
      </c>
      <c r="T1058">
        <v>8.92</v>
      </c>
      <c r="U1058" t="s">
        <v>3577</v>
      </c>
      <c r="V1058" t="s">
        <v>830</v>
      </c>
      <c r="W1058" t="s">
        <v>1506</v>
      </c>
      <c r="X1058">
        <v>2.4300000000000002</v>
      </c>
      <c r="Y1058" t="s">
        <v>451</v>
      </c>
      <c r="Z1058" t="s">
        <v>370</v>
      </c>
      <c r="AA1058" t="s">
        <v>3688</v>
      </c>
      <c r="AB1058">
        <v>2.27</v>
      </c>
      <c r="AC1058" t="s">
        <v>1161</v>
      </c>
      <c r="AD1058">
        <v>49.53</v>
      </c>
      <c r="AE1058" t="s">
        <v>6542</v>
      </c>
      <c r="AF1058">
        <v>0.01</v>
      </c>
      <c r="AG1058">
        <v>0</v>
      </c>
      <c r="AH1058">
        <v>0</v>
      </c>
      <c r="AI1058" s="4">
        <v>37510</v>
      </c>
    </row>
    <row r="1059" spans="1:35">
      <c r="A1059">
        <v>1058</v>
      </c>
      <c r="B1059" t="str">
        <f>"600153"</f>
        <v>600153</v>
      </c>
      <c r="C1059" t="s">
        <v>6543</v>
      </c>
      <c r="D1059" s="4">
        <v>43190</v>
      </c>
      <c r="E1059" t="s">
        <v>1329</v>
      </c>
      <c r="F1059" t="s">
        <v>1329</v>
      </c>
      <c r="G1059" t="s">
        <v>6544</v>
      </c>
      <c r="H1059">
        <v>0.2</v>
      </c>
      <c r="I1059">
        <v>8.5299999999999994</v>
      </c>
      <c r="J1059">
        <v>2.4300000000000002</v>
      </c>
      <c r="K1059" t="s">
        <v>2333</v>
      </c>
      <c r="L1059">
        <v>24.74</v>
      </c>
      <c r="M1059" t="s">
        <v>1215</v>
      </c>
      <c r="N1059" t="s">
        <v>290</v>
      </c>
      <c r="O1059" t="s">
        <v>6545</v>
      </c>
      <c r="P1059" t="s">
        <v>108</v>
      </c>
      <c r="Q1059">
        <v>37.64</v>
      </c>
      <c r="R1059" t="s">
        <v>5633</v>
      </c>
      <c r="S1059">
        <v>6.22</v>
      </c>
      <c r="T1059">
        <v>4.9800000000000004</v>
      </c>
      <c r="U1059" t="s">
        <v>6546</v>
      </c>
      <c r="V1059" t="s">
        <v>6547</v>
      </c>
      <c r="W1059" t="s">
        <v>1214</v>
      </c>
      <c r="X1059">
        <v>2.4300000000000002</v>
      </c>
      <c r="Y1059" t="s">
        <v>6548</v>
      </c>
      <c r="Z1059" t="s">
        <v>6549</v>
      </c>
      <c r="AA1059" t="s">
        <v>6550</v>
      </c>
      <c r="AB1059">
        <v>1.1299999999999999</v>
      </c>
      <c r="AC1059" t="s">
        <v>1547</v>
      </c>
      <c r="AD1059">
        <v>11.72</v>
      </c>
      <c r="AE1059" t="s">
        <v>352</v>
      </c>
      <c r="AF1059">
        <v>0.86</v>
      </c>
      <c r="AG1059">
        <v>0</v>
      </c>
      <c r="AH1059">
        <v>0</v>
      </c>
      <c r="AI1059" s="4">
        <v>35962</v>
      </c>
    </row>
    <row r="1060" spans="1:35">
      <c r="A1060">
        <v>1059</v>
      </c>
      <c r="B1060" t="str">
        <f>"300226"</f>
        <v>300226</v>
      </c>
      <c r="C1060" t="s">
        <v>6551</v>
      </c>
      <c r="D1060" s="4">
        <v>43190</v>
      </c>
      <c r="E1060" t="s">
        <v>1689</v>
      </c>
      <c r="F1060" t="s">
        <v>2034</v>
      </c>
      <c r="G1060">
        <v>9808</v>
      </c>
      <c r="H1060">
        <v>0.13</v>
      </c>
      <c r="I1060">
        <v>5.32</v>
      </c>
      <c r="J1060">
        <v>2.4300000000000002</v>
      </c>
      <c r="K1060" t="s">
        <v>2491</v>
      </c>
      <c r="L1060">
        <v>31.8</v>
      </c>
      <c r="M1060" t="s">
        <v>6552</v>
      </c>
      <c r="N1060" t="s">
        <v>875</v>
      </c>
      <c r="O1060" t="s">
        <v>6553</v>
      </c>
      <c r="P1060" t="s">
        <v>6554</v>
      </c>
      <c r="Q1060">
        <v>246.36</v>
      </c>
      <c r="R1060" t="s">
        <v>6555</v>
      </c>
      <c r="S1060">
        <v>-0.37</v>
      </c>
      <c r="T1060">
        <v>0.77</v>
      </c>
      <c r="U1060" t="s">
        <v>3472</v>
      </c>
      <c r="V1060" t="s">
        <v>1820</v>
      </c>
      <c r="W1060" t="s">
        <v>95</v>
      </c>
      <c r="X1060">
        <v>2.4300000000000002</v>
      </c>
      <c r="Y1060" t="s">
        <v>2641</v>
      </c>
      <c r="Z1060" t="s">
        <v>3775</v>
      </c>
      <c r="AA1060" t="s">
        <v>6556</v>
      </c>
      <c r="AB1060">
        <v>10.3</v>
      </c>
      <c r="AC1060" t="s">
        <v>4790</v>
      </c>
      <c r="AD1060">
        <v>7.91</v>
      </c>
      <c r="AE1060" t="s">
        <v>201</v>
      </c>
      <c r="AF1060">
        <v>4.55</v>
      </c>
      <c r="AG1060">
        <v>0</v>
      </c>
      <c r="AH1060">
        <v>0</v>
      </c>
      <c r="AI1060" s="4">
        <v>40702</v>
      </c>
    </row>
    <row r="1061" spans="1:35">
      <c r="A1061">
        <v>1060</v>
      </c>
      <c r="B1061" t="str">
        <f>"002186"</f>
        <v>002186</v>
      </c>
      <c r="C1061" t="s">
        <v>6557</v>
      </c>
      <c r="D1061" s="4">
        <v>43190</v>
      </c>
      <c r="E1061" t="s">
        <v>325</v>
      </c>
      <c r="F1061" t="s">
        <v>1152</v>
      </c>
      <c r="G1061" t="s">
        <v>1862</v>
      </c>
      <c r="H1061">
        <v>0.12</v>
      </c>
      <c r="I1061">
        <v>4.76</v>
      </c>
      <c r="J1061">
        <v>2.4300000000000002</v>
      </c>
      <c r="K1061" t="s">
        <v>1563</v>
      </c>
      <c r="L1061">
        <v>1.51</v>
      </c>
      <c r="M1061" t="s">
        <v>5745</v>
      </c>
      <c r="N1061" t="s">
        <v>6558</v>
      </c>
      <c r="O1061" t="s">
        <v>5968</v>
      </c>
      <c r="P1061" t="s">
        <v>6559</v>
      </c>
      <c r="Q1061">
        <v>4.6399999999999997</v>
      </c>
      <c r="R1061" t="s">
        <v>506</v>
      </c>
      <c r="S1061">
        <v>1.54</v>
      </c>
      <c r="T1061">
        <v>59.6</v>
      </c>
      <c r="U1061" t="s">
        <v>1843</v>
      </c>
      <c r="V1061" t="s">
        <v>1033</v>
      </c>
      <c r="W1061" t="s">
        <v>1972</v>
      </c>
      <c r="X1061">
        <v>2.4300000000000002</v>
      </c>
      <c r="Y1061" t="s">
        <v>133</v>
      </c>
      <c r="Z1061" t="s">
        <v>501</v>
      </c>
      <c r="AA1061" t="s">
        <v>6560</v>
      </c>
      <c r="AB1061">
        <v>3.01</v>
      </c>
      <c r="AC1061" t="s">
        <v>747</v>
      </c>
      <c r="AD1061">
        <v>75.77</v>
      </c>
      <c r="AE1061" t="s">
        <v>858</v>
      </c>
      <c r="AF1061">
        <v>1.75</v>
      </c>
      <c r="AG1061">
        <v>0</v>
      </c>
      <c r="AH1061">
        <v>0</v>
      </c>
      <c r="AI1061" s="4">
        <v>39406</v>
      </c>
    </row>
    <row r="1062" spans="1:35">
      <c r="A1062">
        <v>1061</v>
      </c>
      <c r="B1062" t="str">
        <f>"000889"</f>
        <v>000889</v>
      </c>
      <c r="C1062" t="s">
        <v>6561</v>
      </c>
      <c r="D1062" s="4">
        <v>43190</v>
      </c>
      <c r="E1062" t="s">
        <v>1869</v>
      </c>
      <c r="F1062" t="s">
        <v>1869</v>
      </c>
      <c r="G1062" t="s">
        <v>520</v>
      </c>
      <c r="H1062">
        <v>0.11</v>
      </c>
      <c r="I1062">
        <v>4.38</v>
      </c>
      <c r="J1062">
        <v>2.4300000000000002</v>
      </c>
      <c r="K1062" t="s">
        <v>2851</v>
      </c>
      <c r="L1062">
        <v>50.05</v>
      </c>
      <c r="M1062" t="s">
        <v>4314</v>
      </c>
      <c r="N1062" t="s">
        <v>6562</v>
      </c>
      <c r="O1062" t="s">
        <v>6563</v>
      </c>
      <c r="P1062" t="s">
        <v>6564</v>
      </c>
      <c r="Q1062">
        <v>43.27</v>
      </c>
      <c r="R1062" t="s">
        <v>1833</v>
      </c>
      <c r="S1062">
        <v>1.46</v>
      </c>
      <c r="T1062">
        <v>21.12</v>
      </c>
      <c r="U1062" t="s">
        <v>273</v>
      </c>
      <c r="V1062" t="s">
        <v>538</v>
      </c>
      <c r="W1062" t="s">
        <v>6565</v>
      </c>
      <c r="X1062">
        <v>2.4300000000000002</v>
      </c>
      <c r="Y1062" t="s">
        <v>318</v>
      </c>
      <c r="Z1062" t="s">
        <v>734</v>
      </c>
      <c r="AA1062" t="s">
        <v>6566</v>
      </c>
      <c r="AB1062">
        <v>2.97</v>
      </c>
      <c r="AC1062" t="s">
        <v>426</v>
      </c>
      <c r="AD1062">
        <v>83.37</v>
      </c>
      <c r="AE1062" t="s">
        <v>602</v>
      </c>
      <c r="AF1062">
        <v>1.78</v>
      </c>
      <c r="AG1062">
        <v>0</v>
      </c>
      <c r="AH1062">
        <v>0</v>
      </c>
      <c r="AI1062" s="4">
        <v>35782</v>
      </c>
    </row>
    <row r="1063" spans="1:35">
      <c r="A1063">
        <v>1062</v>
      </c>
      <c r="B1063" t="str">
        <f>"600551"</f>
        <v>600551</v>
      </c>
      <c r="C1063" t="s">
        <v>6567</v>
      </c>
      <c r="D1063" s="4">
        <v>43190</v>
      </c>
      <c r="E1063" t="s">
        <v>169</v>
      </c>
      <c r="F1063" t="s">
        <v>169</v>
      </c>
      <c r="G1063" t="s">
        <v>6568</v>
      </c>
      <c r="H1063">
        <v>0.23</v>
      </c>
      <c r="I1063">
        <v>9.51</v>
      </c>
      <c r="J1063">
        <v>2.42</v>
      </c>
      <c r="K1063" t="s">
        <v>141</v>
      </c>
      <c r="L1063">
        <v>-19.07</v>
      </c>
      <c r="M1063" t="s">
        <v>1626</v>
      </c>
      <c r="N1063" t="s">
        <v>6569</v>
      </c>
      <c r="O1063" t="s">
        <v>677</v>
      </c>
      <c r="P1063" t="s">
        <v>1626</v>
      </c>
      <c r="Q1063">
        <v>1.43</v>
      </c>
      <c r="R1063" t="s">
        <v>1687</v>
      </c>
      <c r="S1063">
        <v>4.8899999999999997</v>
      </c>
      <c r="T1063">
        <v>13.9</v>
      </c>
      <c r="U1063" t="s">
        <v>1195</v>
      </c>
      <c r="V1063" t="s">
        <v>2106</v>
      </c>
      <c r="W1063" t="s">
        <v>116</v>
      </c>
      <c r="X1063">
        <v>2.42</v>
      </c>
      <c r="Y1063" t="s">
        <v>1101</v>
      </c>
      <c r="Z1063" t="s">
        <v>1190</v>
      </c>
      <c r="AA1063" t="s">
        <v>863</v>
      </c>
      <c r="AB1063">
        <v>0.93</v>
      </c>
      <c r="AC1063" t="s">
        <v>5794</v>
      </c>
      <c r="AD1063">
        <v>71.09</v>
      </c>
      <c r="AE1063" t="s">
        <v>924</v>
      </c>
      <c r="AF1063">
        <v>2.66</v>
      </c>
      <c r="AG1063">
        <v>0</v>
      </c>
      <c r="AH1063">
        <v>0</v>
      </c>
      <c r="AI1063" s="4">
        <v>37504</v>
      </c>
    </row>
    <row r="1064" spans="1:35">
      <c r="A1064">
        <v>1063</v>
      </c>
      <c r="B1064" t="str">
        <f>"600125"</f>
        <v>600125</v>
      </c>
      <c r="C1064" t="s">
        <v>6570</v>
      </c>
      <c r="D1064" s="4">
        <v>43190</v>
      </c>
      <c r="E1064" t="s">
        <v>840</v>
      </c>
      <c r="F1064" t="s">
        <v>840</v>
      </c>
      <c r="G1064" t="s">
        <v>4216</v>
      </c>
      <c r="H1064">
        <v>0.1</v>
      </c>
      <c r="I1064">
        <v>4.13</v>
      </c>
      <c r="J1064">
        <v>2.41</v>
      </c>
      <c r="K1064" t="s">
        <v>371</v>
      </c>
      <c r="L1064">
        <v>41.84</v>
      </c>
      <c r="M1064" t="s">
        <v>1855</v>
      </c>
      <c r="N1064" t="s">
        <v>5334</v>
      </c>
      <c r="O1064" t="s">
        <v>1200</v>
      </c>
      <c r="P1064" t="s">
        <v>1038</v>
      </c>
      <c r="Q1064">
        <v>45.68</v>
      </c>
      <c r="R1064" t="s">
        <v>1219</v>
      </c>
      <c r="S1064">
        <v>2.58</v>
      </c>
      <c r="T1064">
        <v>8.48</v>
      </c>
      <c r="U1064" t="s">
        <v>1952</v>
      </c>
      <c r="V1064" t="s">
        <v>3380</v>
      </c>
      <c r="W1064" t="s">
        <v>1345</v>
      </c>
      <c r="X1064">
        <v>2.41</v>
      </c>
      <c r="Y1064" t="s">
        <v>5550</v>
      </c>
      <c r="Z1064" t="s">
        <v>785</v>
      </c>
      <c r="AA1064" t="s">
        <v>258</v>
      </c>
      <c r="AB1064">
        <v>2.06</v>
      </c>
      <c r="AC1064" t="s">
        <v>3159</v>
      </c>
      <c r="AD1064">
        <v>57.64</v>
      </c>
      <c r="AE1064" t="s">
        <v>505</v>
      </c>
      <c r="AF1064">
        <v>0.12</v>
      </c>
      <c r="AG1064">
        <v>0</v>
      </c>
      <c r="AH1064">
        <v>0</v>
      </c>
      <c r="AI1064" s="4">
        <v>35926</v>
      </c>
    </row>
    <row r="1065" spans="1:35">
      <c r="A1065">
        <v>1064</v>
      </c>
      <c r="B1065" t="str">
        <f>"601677"</f>
        <v>601677</v>
      </c>
      <c r="C1065" t="s">
        <v>6571</v>
      </c>
      <c r="D1065" s="4">
        <v>43190</v>
      </c>
      <c r="E1065" t="s">
        <v>5084</v>
      </c>
      <c r="F1065" t="s">
        <v>1645</v>
      </c>
      <c r="G1065" t="s">
        <v>6572</v>
      </c>
      <c r="H1065">
        <v>0.22</v>
      </c>
      <c r="I1065">
        <v>9.41</v>
      </c>
      <c r="J1065">
        <v>2.41</v>
      </c>
      <c r="K1065" t="s">
        <v>2523</v>
      </c>
      <c r="L1065">
        <v>30.26</v>
      </c>
      <c r="M1065" t="s">
        <v>2769</v>
      </c>
      <c r="N1065" t="s">
        <v>6573</v>
      </c>
      <c r="O1065" t="s">
        <v>698</v>
      </c>
      <c r="P1065" t="s">
        <v>1376</v>
      </c>
      <c r="Q1065">
        <v>78.2</v>
      </c>
      <c r="R1065" t="s">
        <v>908</v>
      </c>
      <c r="S1065">
        <v>2.4700000000000002</v>
      </c>
      <c r="T1065">
        <v>9.2200000000000006</v>
      </c>
      <c r="U1065" t="s">
        <v>6574</v>
      </c>
      <c r="V1065" t="s">
        <v>4159</v>
      </c>
      <c r="W1065" t="s">
        <v>389</v>
      </c>
      <c r="X1065">
        <v>2.41</v>
      </c>
      <c r="Y1065" t="s">
        <v>423</v>
      </c>
      <c r="Z1065" t="s">
        <v>1285</v>
      </c>
      <c r="AA1065" t="s">
        <v>6575</v>
      </c>
      <c r="AB1065">
        <v>1.08</v>
      </c>
      <c r="AC1065" t="s">
        <v>1095</v>
      </c>
      <c r="AD1065">
        <v>62.7</v>
      </c>
      <c r="AE1065" t="s">
        <v>2212</v>
      </c>
      <c r="AF1065">
        <v>5.91</v>
      </c>
      <c r="AG1065">
        <v>0</v>
      </c>
      <c r="AH1065">
        <v>0</v>
      </c>
      <c r="AI1065" s="4">
        <v>40805</v>
      </c>
    </row>
    <row r="1066" spans="1:35">
      <c r="A1066">
        <v>1065</v>
      </c>
      <c r="B1066" t="str">
        <f>"300717"</f>
        <v>300717</v>
      </c>
      <c r="C1066" t="s">
        <v>6576</v>
      </c>
      <c r="D1066" s="4">
        <v>43190</v>
      </c>
      <c r="E1066" t="s">
        <v>533</v>
      </c>
      <c r="F1066" t="s">
        <v>6577</v>
      </c>
      <c r="G1066">
        <v>1343</v>
      </c>
      <c r="H1066">
        <v>0.12</v>
      </c>
      <c r="I1066">
        <v>4.93</v>
      </c>
      <c r="J1066">
        <v>2.41</v>
      </c>
      <c r="K1066" t="s">
        <v>6578</v>
      </c>
      <c r="L1066">
        <v>21.21</v>
      </c>
      <c r="M1066" t="s">
        <v>6579</v>
      </c>
      <c r="N1066" t="s">
        <v>6580</v>
      </c>
      <c r="O1066" t="s">
        <v>6581</v>
      </c>
      <c r="P1066" t="s">
        <v>6582</v>
      </c>
      <c r="Q1066">
        <v>23.52</v>
      </c>
      <c r="R1066" t="s">
        <v>1203</v>
      </c>
      <c r="S1066">
        <v>1.44</v>
      </c>
      <c r="T1066">
        <v>30.25</v>
      </c>
      <c r="U1066" t="s">
        <v>2304</v>
      </c>
      <c r="V1066" t="s">
        <v>3726</v>
      </c>
      <c r="W1066" t="s">
        <v>2424</v>
      </c>
      <c r="X1066">
        <v>2.41</v>
      </c>
      <c r="Y1066" t="s">
        <v>6583</v>
      </c>
      <c r="Z1066" t="s">
        <v>6584</v>
      </c>
      <c r="AA1066" t="s">
        <v>3379</v>
      </c>
      <c r="AB1066">
        <v>4.08</v>
      </c>
      <c r="AC1066" t="s">
        <v>2230</v>
      </c>
      <c r="AD1066">
        <v>91.13</v>
      </c>
      <c r="AE1066" t="s">
        <v>4871</v>
      </c>
      <c r="AF1066">
        <v>2.3199999999999998</v>
      </c>
      <c r="AG1066">
        <v>0</v>
      </c>
      <c r="AH1066">
        <v>0</v>
      </c>
      <c r="AI1066" s="4">
        <v>43045</v>
      </c>
    </row>
    <row r="1067" spans="1:35">
      <c r="A1067">
        <v>1066</v>
      </c>
      <c r="B1067" t="str">
        <f>"300676"</f>
        <v>300676</v>
      </c>
      <c r="C1067" t="s">
        <v>6585</v>
      </c>
      <c r="D1067" s="4">
        <v>43190</v>
      </c>
      <c r="E1067" t="s">
        <v>150</v>
      </c>
      <c r="F1067" t="s">
        <v>151</v>
      </c>
      <c r="G1067">
        <v>1075</v>
      </c>
      <c r="H1067">
        <v>0.25</v>
      </c>
      <c r="I1067">
        <v>10.24</v>
      </c>
      <c r="J1067">
        <v>2.41</v>
      </c>
      <c r="K1067" t="s">
        <v>1731</v>
      </c>
      <c r="L1067">
        <v>33.130000000000003</v>
      </c>
      <c r="M1067" t="s">
        <v>2603</v>
      </c>
      <c r="N1067" t="s">
        <v>6586</v>
      </c>
      <c r="O1067" t="s">
        <v>2115</v>
      </c>
      <c r="P1067" t="s">
        <v>651</v>
      </c>
      <c r="Q1067">
        <v>6.71</v>
      </c>
      <c r="R1067" t="s">
        <v>2984</v>
      </c>
      <c r="S1067">
        <v>1.71</v>
      </c>
      <c r="T1067">
        <v>53.68</v>
      </c>
      <c r="U1067" t="s">
        <v>2043</v>
      </c>
      <c r="V1067" t="s">
        <v>785</v>
      </c>
      <c r="W1067" t="s">
        <v>6159</v>
      </c>
      <c r="X1067">
        <v>2.41</v>
      </c>
      <c r="Y1067" t="s">
        <v>2061</v>
      </c>
      <c r="Z1067" t="s">
        <v>2089</v>
      </c>
      <c r="AA1067" t="s">
        <v>6587</v>
      </c>
      <c r="AB1067">
        <v>10.19</v>
      </c>
      <c r="AC1067" t="s">
        <v>2694</v>
      </c>
      <c r="AD1067">
        <v>83.54</v>
      </c>
      <c r="AE1067" t="s">
        <v>1350</v>
      </c>
      <c r="AF1067">
        <v>7.42</v>
      </c>
      <c r="AG1067">
        <v>0</v>
      </c>
      <c r="AH1067">
        <v>0</v>
      </c>
      <c r="AI1067" s="4">
        <v>42930</v>
      </c>
    </row>
    <row r="1068" spans="1:35">
      <c r="A1068">
        <v>1067</v>
      </c>
      <c r="B1068" t="str">
        <f>"002742"</f>
        <v>002742</v>
      </c>
      <c r="C1068" t="s">
        <v>6588</v>
      </c>
      <c r="D1068" s="4">
        <v>43190</v>
      </c>
      <c r="E1068" t="s">
        <v>1295</v>
      </c>
      <c r="F1068" t="s">
        <v>1666</v>
      </c>
      <c r="G1068">
        <v>5077</v>
      </c>
      <c r="H1068">
        <v>0.08</v>
      </c>
      <c r="I1068">
        <v>3.28</v>
      </c>
      <c r="J1068">
        <v>2.41</v>
      </c>
      <c r="K1068" t="s">
        <v>1799</v>
      </c>
      <c r="L1068">
        <v>65.16</v>
      </c>
      <c r="M1068" t="s">
        <v>6589</v>
      </c>
      <c r="N1068">
        <v>0</v>
      </c>
      <c r="O1068" t="s">
        <v>6590</v>
      </c>
      <c r="P1068" t="s">
        <v>4734</v>
      </c>
      <c r="Q1068">
        <v>32.86</v>
      </c>
      <c r="R1068" t="s">
        <v>1073</v>
      </c>
      <c r="S1068">
        <v>1.61</v>
      </c>
      <c r="T1068">
        <v>25.36</v>
      </c>
      <c r="U1068" t="s">
        <v>2694</v>
      </c>
      <c r="V1068" t="s">
        <v>1843</v>
      </c>
      <c r="W1068" t="s">
        <v>2870</v>
      </c>
      <c r="X1068">
        <v>2.41</v>
      </c>
      <c r="Y1068" t="s">
        <v>2542</v>
      </c>
      <c r="Z1068" t="s">
        <v>747</v>
      </c>
      <c r="AA1068" t="s">
        <v>2620</v>
      </c>
      <c r="AB1068">
        <v>3.13</v>
      </c>
      <c r="AC1068" t="s">
        <v>263</v>
      </c>
      <c r="AD1068">
        <v>34.31</v>
      </c>
      <c r="AE1068" t="s">
        <v>1905</v>
      </c>
      <c r="AF1068">
        <v>0.57999999999999996</v>
      </c>
      <c r="AG1068">
        <v>0</v>
      </c>
      <c r="AH1068">
        <v>0</v>
      </c>
      <c r="AI1068" s="4">
        <v>42052</v>
      </c>
    </row>
    <row r="1069" spans="1:35">
      <c r="A1069">
        <v>1068</v>
      </c>
      <c r="B1069" t="str">
        <f>"603566"</f>
        <v>603566</v>
      </c>
      <c r="C1069" t="s">
        <v>6591</v>
      </c>
      <c r="D1069" s="4">
        <v>43190</v>
      </c>
      <c r="E1069" t="s">
        <v>144</v>
      </c>
      <c r="F1069" t="s">
        <v>559</v>
      </c>
      <c r="G1069" t="s">
        <v>4988</v>
      </c>
      <c r="H1069">
        <v>0.12</v>
      </c>
      <c r="I1069">
        <v>4.7699999999999996</v>
      </c>
      <c r="J1069">
        <v>2.4</v>
      </c>
      <c r="K1069" t="s">
        <v>1016</v>
      </c>
      <c r="L1069">
        <v>8.77</v>
      </c>
      <c r="M1069" t="s">
        <v>6592</v>
      </c>
      <c r="N1069" t="s">
        <v>6593</v>
      </c>
      <c r="O1069" t="s">
        <v>6594</v>
      </c>
      <c r="P1069" t="s">
        <v>3114</v>
      </c>
      <c r="Q1069">
        <v>15.52</v>
      </c>
      <c r="R1069" t="s">
        <v>3716</v>
      </c>
      <c r="S1069">
        <v>2.06</v>
      </c>
      <c r="T1069">
        <v>68.39</v>
      </c>
      <c r="U1069" t="s">
        <v>980</v>
      </c>
      <c r="V1069" t="s">
        <v>250</v>
      </c>
      <c r="W1069" t="s">
        <v>52</v>
      </c>
      <c r="X1069">
        <v>2.4</v>
      </c>
      <c r="Y1069" t="s">
        <v>807</v>
      </c>
      <c r="Z1069" t="s">
        <v>293</v>
      </c>
      <c r="AA1069" t="s">
        <v>6595</v>
      </c>
      <c r="AB1069">
        <v>3.59</v>
      </c>
      <c r="AC1069" t="s">
        <v>50</v>
      </c>
      <c r="AD1069">
        <v>87.56</v>
      </c>
      <c r="AE1069" t="s">
        <v>362</v>
      </c>
      <c r="AF1069">
        <v>1.48</v>
      </c>
      <c r="AG1069">
        <v>0</v>
      </c>
      <c r="AH1069">
        <v>0</v>
      </c>
      <c r="AI1069" s="4">
        <v>42142</v>
      </c>
    </row>
    <row r="1070" spans="1:35">
      <c r="A1070">
        <v>1069</v>
      </c>
      <c r="B1070" t="str">
        <f>"600753"</f>
        <v>600753</v>
      </c>
      <c r="C1070" t="s">
        <v>6596</v>
      </c>
      <c r="D1070" s="4">
        <v>43190</v>
      </c>
      <c r="E1070" t="s">
        <v>86</v>
      </c>
      <c r="F1070" t="s">
        <v>86</v>
      </c>
      <c r="G1070" t="s">
        <v>5183</v>
      </c>
      <c r="H1070">
        <v>0.03</v>
      </c>
      <c r="I1070">
        <v>1.29</v>
      </c>
      <c r="J1070">
        <v>2.4</v>
      </c>
      <c r="K1070" t="s">
        <v>2056</v>
      </c>
      <c r="L1070">
        <v>6998082.2800000003</v>
      </c>
      <c r="M1070" t="s">
        <v>5298</v>
      </c>
      <c r="N1070" t="s">
        <v>5706</v>
      </c>
      <c r="O1070" t="s">
        <v>5298</v>
      </c>
      <c r="P1070" t="s">
        <v>6597</v>
      </c>
      <c r="Q1070">
        <v>517.1</v>
      </c>
      <c r="R1070" t="s">
        <v>6598</v>
      </c>
      <c r="S1070">
        <v>-0.81</v>
      </c>
      <c r="T1070">
        <v>1.42</v>
      </c>
      <c r="U1070" t="s">
        <v>669</v>
      </c>
      <c r="V1070" t="s">
        <v>807</v>
      </c>
      <c r="W1070" t="s">
        <v>6599</v>
      </c>
      <c r="X1070">
        <v>2.4</v>
      </c>
      <c r="Y1070" t="s">
        <v>6600</v>
      </c>
      <c r="Z1070" t="s">
        <v>6600</v>
      </c>
      <c r="AA1070">
        <v>0</v>
      </c>
      <c r="AB1070">
        <v>22.36</v>
      </c>
      <c r="AC1070" t="s">
        <v>64</v>
      </c>
      <c r="AD1070">
        <v>69.81</v>
      </c>
      <c r="AE1070" t="s">
        <v>84</v>
      </c>
      <c r="AF1070">
        <v>1.1100000000000001</v>
      </c>
      <c r="AG1070">
        <v>0</v>
      </c>
      <c r="AH1070">
        <v>0</v>
      </c>
      <c r="AI1070" s="4">
        <v>35335</v>
      </c>
    </row>
    <row r="1071" spans="1:35">
      <c r="A1071">
        <v>1070</v>
      </c>
      <c r="B1071" t="str">
        <f>"600696"</f>
        <v>600696</v>
      </c>
      <c r="C1071" t="s">
        <v>6601</v>
      </c>
      <c r="D1071" s="4">
        <v>43190</v>
      </c>
      <c r="E1071" t="s">
        <v>1074</v>
      </c>
      <c r="F1071" t="s">
        <v>1074</v>
      </c>
      <c r="G1071" t="s">
        <v>708</v>
      </c>
      <c r="H1071">
        <v>0.02</v>
      </c>
      <c r="I1071">
        <v>0.83</v>
      </c>
      <c r="J1071">
        <v>2.4</v>
      </c>
      <c r="K1071" t="s">
        <v>6602</v>
      </c>
      <c r="L1071">
        <v>-60.76</v>
      </c>
      <c r="M1071" t="s">
        <v>271</v>
      </c>
      <c r="N1071">
        <v>0</v>
      </c>
      <c r="O1071" t="s">
        <v>6603</v>
      </c>
      <c r="P1071" t="s">
        <v>5288</v>
      </c>
      <c r="Q1071">
        <v>167.44</v>
      </c>
      <c r="R1071" t="s">
        <v>6604</v>
      </c>
      <c r="S1071">
        <v>-0.38</v>
      </c>
      <c r="T1071">
        <v>58.42</v>
      </c>
      <c r="U1071" t="s">
        <v>627</v>
      </c>
      <c r="V1071" t="s">
        <v>2392</v>
      </c>
      <c r="W1071" t="s">
        <v>6605</v>
      </c>
      <c r="X1071">
        <v>2.4</v>
      </c>
      <c r="Y1071" t="s">
        <v>4962</v>
      </c>
      <c r="Z1071" t="s">
        <v>914</v>
      </c>
      <c r="AA1071" t="s">
        <v>6606</v>
      </c>
      <c r="AB1071">
        <v>4.7</v>
      </c>
      <c r="AC1071" t="s">
        <v>1067</v>
      </c>
      <c r="AD1071">
        <v>38.020000000000003</v>
      </c>
      <c r="AE1071" t="s">
        <v>6607</v>
      </c>
      <c r="AF1071">
        <v>0.12</v>
      </c>
      <c r="AG1071">
        <v>0</v>
      </c>
      <c r="AH1071">
        <v>0</v>
      </c>
      <c r="AI1071" s="4">
        <v>34309</v>
      </c>
    </row>
    <row r="1072" spans="1:35">
      <c r="A1072">
        <v>1071</v>
      </c>
      <c r="B1072" t="str">
        <f>"600208"</f>
        <v>600208</v>
      </c>
      <c r="C1072" t="s">
        <v>6608</v>
      </c>
      <c r="D1072" s="4">
        <v>43190</v>
      </c>
      <c r="E1072" t="s">
        <v>2406</v>
      </c>
      <c r="F1072" t="s">
        <v>2406</v>
      </c>
      <c r="G1072" t="s">
        <v>6609</v>
      </c>
      <c r="H1072">
        <v>0.09</v>
      </c>
      <c r="I1072">
        <v>3.85</v>
      </c>
      <c r="J1072">
        <v>2.4</v>
      </c>
      <c r="K1072" t="s">
        <v>864</v>
      </c>
      <c r="L1072">
        <v>94.32</v>
      </c>
      <c r="M1072" t="s">
        <v>6610</v>
      </c>
      <c r="N1072" t="s">
        <v>615</v>
      </c>
      <c r="O1072" t="s">
        <v>6611</v>
      </c>
      <c r="P1072" t="s">
        <v>1041</v>
      </c>
      <c r="Q1072">
        <v>107.08</v>
      </c>
      <c r="R1072" t="s">
        <v>571</v>
      </c>
      <c r="S1072">
        <v>1.75</v>
      </c>
      <c r="T1072">
        <v>35.11</v>
      </c>
      <c r="U1072" t="s">
        <v>6612</v>
      </c>
      <c r="V1072" t="s">
        <v>6613</v>
      </c>
      <c r="W1072" t="s">
        <v>1659</v>
      </c>
      <c r="X1072">
        <v>2.4</v>
      </c>
      <c r="Y1072" t="s">
        <v>6614</v>
      </c>
      <c r="Z1072" t="s">
        <v>2865</v>
      </c>
      <c r="AA1072" t="s">
        <v>396</v>
      </c>
      <c r="AB1072">
        <v>1.04</v>
      </c>
      <c r="AC1072" t="s">
        <v>4902</v>
      </c>
      <c r="AD1072">
        <v>25.23</v>
      </c>
      <c r="AE1072" t="s">
        <v>6615</v>
      </c>
      <c r="AF1072">
        <v>0.92</v>
      </c>
      <c r="AG1072">
        <v>0</v>
      </c>
      <c r="AH1072">
        <v>0</v>
      </c>
      <c r="AI1072" s="4">
        <v>36334</v>
      </c>
    </row>
    <row r="1073" spans="1:35">
      <c r="A1073">
        <v>1072</v>
      </c>
      <c r="B1073" t="str">
        <f>"300662"</f>
        <v>300662</v>
      </c>
      <c r="C1073" t="s">
        <v>6616</v>
      </c>
      <c r="D1073" s="4">
        <v>43190</v>
      </c>
      <c r="E1073" t="s">
        <v>1839</v>
      </c>
      <c r="F1073" t="s">
        <v>6617</v>
      </c>
      <c r="G1073">
        <v>4722</v>
      </c>
      <c r="H1073">
        <v>0.08</v>
      </c>
      <c r="I1073">
        <v>3.55</v>
      </c>
      <c r="J1073">
        <v>2.4</v>
      </c>
      <c r="K1073" t="s">
        <v>186</v>
      </c>
      <c r="L1073">
        <v>36.97</v>
      </c>
      <c r="M1073" t="s">
        <v>6575</v>
      </c>
      <c r="N1073" t="s">
        <v>6618</v>
      </c>
      <c r="O1073" t="s">
        <v>6619</v>
      </c>
      <c r="P1073" t="s">
        <v>6620</v>
      </c>
      <c r="Q1073">
        <v>30.05</v>
      </c>
      <c r="R1073" t="s">
        <v>262</v>
      </c>
      <c r="S1073">
        <v>1.23</v>
      </c>
      <c r="T1073">
        <v>17.87</v>
      </c>
      <c r="U1073" t="s">
        <v>1587</v>
      </c>
      <c r="V1073" t="s">
        <v>627</v>
      </c>
      <c r="W1073" t="s">
        <v>5674</v>
      </c>
      <c r="X1073">
        <v>2.4</v>
      </c>
      <c r="Y1073" t="s">
        <v>66</v>
      </c>
      <c r="Z1073" t="s">
        <v>1970</v>
      </c>
      <c r="AA1073" t="s">
        <v>6517</v>
      </c>
      <c r="AB1073">
        <v>6.12</v>
      </c>
      <c r="AC1073" t="s">
        <v>1849</v>
      </c>
      <c r="AD1073">
        <v>71.790000000000006</v>
      </c>
      <c r="AE1073" t="s">
        <v>2733</v>
      </c>
      <c r="AF1073">
        <v>1.26</v>
      </c>
      <c r="AG1073">
        <v>0</v>
      </c>
      <c r="AH1073">
        <v>0</v>
      </c>
      <c r="AI1073" s="4">
        <v>42894</v>
      </c>
    </row>
    <row r="1074" spans="1:35">
      <c r="A1074">
        <v>1073</v>
      </c>
      <c r="B1074" t="str">
        <f>"300660"</f>
        <v>300660</v>
      </c>
      <c r="C1074" t="s">
        <v>6621</v>
      </c>
      <c r="D1074" s="4">
        <v>43190</v>
      </c>
      <c r="E1074" t="s">
        <v>1077</v>
      </c>
      <c r="F1074" t="s">
        <v>6622</v>
      </c>
      <c r="G1074">
        <v>1382</v>
      </c>
      <c r="H1074">
        <v>0.26</v>
      </c>
      <c r="I1074">
        <v>10.67</v>
      </c>
      <c r="J1074">
        <v>2.4</v>
      </c>
      <c r="K1074" t="s">
        <v>633</v>
      </c>
      <c r="L1074">
        <v>15.44</v>
      </c>
      <c r="M1074" t="s">
        <v>6623</v>
      </c>
      <c r="N1074" t="s">
        <v>3901</v>
      </c>
      <c r="O1074" t="s">
        <v>6624</v>
      </c>
      <c r="P1074" t="s">
        <v>6625</v>
      </c>
      <c r="Q1074">
        <v>-20.22</v>
      </c>
      <c r="R1074" t="s">
        <v>133</v>
      </c>
      <c r="S1074">
        <v>1.73</v>
      </c>
      <c r="T1074">
        <v>22.37</v>
      </c>
      <c r="U1074" t="s">
        <v>2499</v>
      </c>
      <c r="V1074" t="s">
        <v>2515</v>
      </c>
      <c r="W1074" t="s">
        <v>368</v>
      </c>
      <c r="X1074">
        <v>2.4</v>
      </c>
      <c r="Y1074" t="s">
        <v>3557</v>
      </c>
      <c r="Z1074" t="s">
        <v>3557</v>
      </c>
      <c r="AA1074" t="s">
        <v>6626</v>
      </c>
      <c r="AB1074">
        <v>2.41</v>
      </c>
      <c r="AC1074" t="s">
        <v>1843</v>
      </c>
      <c r="AD1074">
        <v>70.58</v>
      </c>
      <c r="AE1074" t="s">
        <v>391</v>
      </c>
      <c r="AF1074">
        <v>7.89</v>
      </c>
      <c r="AG1074">
        <v>0</v>
      </c>
      <c r="AH1074">
        <v>0</v>
      </c>
      <c r="AI1074" s="4">
        <v>42888</v>
      </c>
    </row>
    <row r="1075" spans="1:35">
      <c r="A1075">
        <v>1074</v>
      </c>
      <c r="B1075" t="str">
        <f>"002551"</f>
        <v>002551</v>
      </c>
      <c r="C1075" t="s">
        <v>6627</v>
      </c>
      <c r="D1075" s="4">
        <v>43190</v>
      </c>
      <c r="E1075" t="s">
        <v>1723</v>
      </c>
      <c r="F1075" t="s">
        <v>2811</v>
      </c>
      <c r="G1075">
        <v>9097</v>
      </c>
      <c r="H1075">
        <v>0.08</v>
      </c>
      <c r="I1075">
        <v>3.27</v>
      </c>
      <c r="J1075">
        <v>2.4</v>
      </c>
      <c r="K1075" t="s">
        <v>2563</v>
      </c>
      <c r="L1075">
        <v>-16.25</v>
      </c>
      <c r="M1075" t="s">
        <v>5849</v>
      </c>
      <c r="N1075" t="s">
        <v>6628</v>
      </c>
      <c r="O1075" t="s">
        <v>6629</v>
      </c>
      <c r="P1075" t="s">
        <v>6630</v>
      </c>
      <c r="Q1075">
        <v>2.98</v>
      </c>
      <c r="R1075" t="s">
        <v>1671</v>
      </c>
      <c r="S1075">
        <v>0.96</v>
      </c>
      <c r="T1075">
        <v>27.29</v>
      </c>
      <c r="U1075" t="s">
        <v>1412</v>
      </c>
      <c r="V1075" t="s">
        <v>1039</v>
      </c>
      <c r="W1075" t="s">
        <v>1484</v>
      </c>
      <c r="X1075">
        <v>2.4</v>
      </c>
      <c r="Y1075" t="s">
        <v>584</v>
      </c>
      <c r="Z1075" t="s">
        <v>924</v>
      </c>
      <c r="AA1075" t="s">
        <v>2360</v>
      </c>
      <c r="AB1075">
        <v>1.81</v>
      </c>
      <c r="AC1075" t="s">
        <v>1029</v>
      </c>
      <c r="AD1075">
        <v>55.04</v>
      </c>
      <c r="AE1075" t="s">
        <v>1769</v>
      </c>
      <c r="AF1075">
        <v>1.28</v>
      </c>
      <c r="AG1075">
        <v>0</v>
      </c>
      <c r="AH1075">
        <v>0</v>
      </c>
      <c r="AI1075" s="4">
        <v>40599</v>
      </c>
    </row>
    <row r="1076" spans="1:35">
      <c r="A1076">
        <v>1075</v>
      </c>
      <c r="B1076" t="str">
        <f>"002022"</f>
        <v>002022</v>
      </c>
      <c r="C1076" t="s">
        <v>6631</v>
      </c>
      <c r="D1076" s="4">
        <v>43190</v>
      </c>
      <c r="E1076" t="s">
        <v>944</v>
      </c>
      <c r="F1076" t="s">
        <v>1481</v>
      </c>
      <c r="G1076" t="s">
        <v>708</v>
      </c>
      <c r="H1076">
        <v>0.09</v>
      </c>
      <c r="I1076">
        <v>3.93</v>
      </c>
      <c r="J1076">
        <v>2.4</v>
      </c>
      <c r="K1076" t="s">
        <v>153</v>
      </c>
      <c r="L1076">
        <v>25.08</v>
      </c>
      <c r="M1076" t="s">
        <v>6632</v>
      </c>
      <c r="N1076">
        <v>0</v>
      </c>
      <c r="O1076" t="s">
        <v>6459</v>
      </c>
      <c r="P1076" t="s">
        <v>6633</v>
      </c>
      <c r="Q1076">
        <v>10.89</v>
      </c>
      <c r="R1076" t="s">
        <v>919</v>
      </c>
      <c r="S1076">
        <v>1.95</v>
      </c>
      <c r="T1076">
        <v>37.53</v>
      </c>
      <c r="U1076" t="s">
        <v>502</v>
      </c>
      <c r="V1076" t="s">
        <v>820</v>
      </c>
      <c r="W1076" t="s">
        <v>143</v>
      </c>
      <c r="X1076">
        <v>2.4</v>
      </c>
      <c r="Y1076" t="s">
        <v>1941</v>
      </c>
      <c r="Z1076" t="s">
        <v>1243</v>
      </c>
      <c r="AA1076" t="s">
        <v>355</v>
      </c>
      <c r="AB1076">
        <v>2.93</v>
      </c>
      <c r="AC1076" t="s">
        <v>1843</v>
      </c>
      <c r="AD1076">
        <v>73.27</v>
      </c>
      <c r="AE1076" t="s">
        <v>486</v>
      </c>
      <c r="AF1076">
        <v>0.59</v>
      </c>
      <c r="AG1076">
        <v>0</v>
      </c>
      <c r="AH1076">
        <v>0</v>
      </c>
      <c r="AI1076" s="4">
        <v>38189</v>
      </c>
    </row>
    <row r="1077" spans="1:35">
      <c r="A1077">
        <v>1076</v>
      </c>
      <c r="B1077" t="str">
        <f>"002014"</f>
        <v>002014</v>
      </c>
      <c r="C1077" t="s">
        <v>6634</v>
      </c>
      <c r="D1077" s="4">
        <v>43190</v>
      </c>
      <c r="E1077" t="s">
        <v>1018</v>
      </c>
      <c r="F1077" t="s">
        <v>347</v>
      </c>
      <c r="G1077" t="s">
        <v>6078</v>
      </c>
      <c r="H1077">
        <v>0.09</v>
      </c>
      <c r="I1077">
        <v>3.29</v>
      </c>
      <c r="J1077">
        <v>2.4</v>
      </c>
      <c r="K1077" t="s">
        <v>169</v>
      </c>
      <c r="L1077">
        <v>19.23</v>
      </c>
      <c r="M1077" t="s">
        <v>6635</v>
      </c>
      <c r="N1077">
        <v>0</v>
      </c>
      <c r="O1077" t="s">
        <v>6636</v>
      </c>
      <c r="P1077" t="s">
        <v>6637</v>
      </c>
      <c r="Q1077">
        <v>2.23</v>
      </c>
      <c r="R1077" t="s">
        <v>116</v>
      </c>
      <c r="S1077">
        <v>1.06</v>
      </c>
      <c r="T1077">
        <v>20.92</v>
      </c>
      <c r="U1077" t="s">
        <v>244</v>
      </c>
      <c r="V1077" t="s">
        <v>1792</v>
      </c>
      <c r="W1077" t="s">
        <v>846</v>
      </c>
      <c r="X1077">
        <v>2.4</v>
      </c>
      <c r="Y1077" t="s">
        <v>97</v>
      </c>
      <c r="Z1077" t="s">
        <v>153</v>
      </c>
      <c r="AA1077" t="s">
        <v>2159</v>
      </c>
      <c r="AB1077">
        <v>1.9</v>
      </c>
      <c r="AC1077" t="s">
        <v>1455</v>
      </c>
      <c r="AD1077">
        <v>76.88</v>
      </c>
      <c r="AE1077" t="s">
        <v>2580</v>
      </c>
      <c r="AF1077">
        <v>0.86</v>
      </c>
      <c r="AG1077">
        <v>0</v>
      </c>
      <c r="AH1077">
        <v>0</v>
      </c>
      <c r="AI1077" s="4">
        <v>38176</v>
      </c>
    </row>
    <row r="1078" spans="1:35">
      <c r="A1078">
        <v>1077</v>
      </c>
      <c r="B1078" t="str">
        <f>"000058"</f>
        <v>000058</v>
      </c>
      <c r="C1078" t="s">
        <v>6638</v>
      </c>
      <c r="D1078" s="4">
        <v>43190</v>
      </c>
      <c r="E1078" t="s">
        <v>548</v>
      </c>
      <c r="F1078" t="s">
        <v>2587</v>
      </c>
      <c r="G1078">
        <v>0</v>
      </c>
      <c r="H1078">
        <v>0.05</v>
      </c>
      <c r="I1078">
        <v>1.54</v>
      </c>
      <c r="J1078">
        <v>2.4</v>
      </c>
      <c r="K1078" t="s">
        <v>2953</v>
      </c>
      <c r="L1078">
        <v>19.670000000000002</v>
      </c>
      <c r="M1078" t="s">
        <v>1475</v>
      </c>
      <c r="N1078" t="s">
        <v>6639</v>
      </c>
      <c r="O1078" t="s">
        <v>197</v>
      </c>
      <c r="P1078" t="s">
        <v>6640</v>
      </c>
      <c r="Q1078">
        <v>98.12</v>
      </c>
      <c r="R1078" t="s">
        <v>142</v>
      </c>
      <c r="S1078">
        <v>0.3</v>
      </c>
      <c r="T1078">
        <v>31.58</v>
      </c>
      <c r="U1078" t="s">
        <v>1281</v>
      </c>
      <c r="V1078" t="s">
        <v>553</v>
      </c>
      <c r="W1078" t="s">
        <v>6364</v>
      </c>
      <c r="X1078">
        <v>2.4</v>
      </c>
      <c r="Y1078" t="s">
        <v>1322</v>
      </c>
      <c r="Z1078" t="s">
        <v>2283</v>
      </c>
      <c r="AA1078" t="s">
        <v>2192</v>
      </c>
      <c r="AB1078">
        <v>3.31</v>
      </c>
      <c r="AC1078" t="s">
        <v>1284</v>
      </c>
      <c r="AD1078">
        <v>29.07</v>
      </c>
      <c r="AE1078" t="s">
        <v>382</v>
      </c>
      <c r="AF1078">
        <v>0.13</v>
      </c>
      <c r="AG1078" t="s">
        <v>219</v>
      </c>
      <c r="AH1078">
        <v>0</v>
      </c>
      <c r="AI1078" s="4">
        <v>35425</v>
      </c>
    </row>
    <row r="1079" spans="1:35">
      <c r="A1079">
        <v>1078</v>
      </c>
      <c r="B1079" t="str">
        <f>"600723"</f>
        <v>600723</v>
      </c>
      <c r="C1079" t="s">
        <v>6641</v>
      </c>
      <c r="D1079" s="4">
        <v>43190</v>
      </c>
      <c r="E1079" t="s">
        <v>1523</v>
      </c>
      <c r="F1079" t="s">
        <v>1523</v>
      </c>
      <c r="G1079" t="s">
        <v>5462</v>
      </c>
      <c r="H1079">
        <v>0.14000000000000001</v>
      </c>
      <c r="I1079">
        <v>5.81</v>
      </c>
      <c r="J1079">
        <v>2.39</v>
      </c>
      <c r="K1079" t="s">
        <v>1386</v>
      </c>
      <c r="L1079">
        <v>0.39</v>
      </c>
      <c r="M1079" t="s">
        <v>337</v>
      </c>
      <c r="N1079" t="s">
        <v>6642</v>
      </c>
      <c r="O1079" t="s">
        <v>337</v>
      </c>
      <c r="P1079" t="s">
        <v>6643</v>
      </c>
      <c r="Q1079">
        <v>6.58</v>
      </c>
      <c r="R1079" t="s">
        <v>119</v>
      </c>
      <c r="S1079">
        <v>3.02</v>
      </c>
      <c r="T1079">
        <v>22.7</v>
      </c>
      <c r="U1079" t="s">
        <v>2497</v>
      </c>
      <c r="V1079" t="s">
        <v>3578</v>
      </c>
      <c r="W1079" t="s">
        <v>3544</v>
      </c>
      <c r="X1079">
        <v>2.39</v>
      </c>
      <c r="Y1079" t="s">
        <v>2280</v>
      </c>
      <c r="Z1079" t="s">
        <v>1687</v>
      </c>
      <c r="AA1079" t="s">
        <v>6637</v>
      </c>
      <c r="AB1079">
        <v>1.17</v>
      </c>
      <c r="AC1079" t="s">
        <v>235</v>
      </c>
      <c r="AD1079">
        <v>57.1</v>
      </c>
      <c r="AE1079" t="s">
        <v>2595</v>
      </c>
      <c r="AF1079">
        <v>1.25</v>
      </c>
      <c r="AG1079">
        <v>0</v>
      </c>
      <c r="AH1079">
        <v>0</v>
      </c>
      <c r="AI1079" s="4">
        <v>35262</v>
      </c>
    </row>
    <row r="1080" spans="1:35">
      <c r="A1080">
        <v>1079</v>
      </c>
      <c r="B1080" t="str">
        <f>"002717"</f>
        <v>002717</v>
      </c>
      <c r="C1080" t="s">
        <v>6644</v>
      </c>
      <c r="D1080" s="4">
        <v>43190</v>
      </c>
      <c r="E1080" t="s">
        <v>1094</v>
      </c>
      <c r="F1080" t="s">
        <v>289</v>
      </c>
      <c r="G1080">
        <v>9408</v>
      </c>
      <c r="H1080">
        <v>0.09</v>
      </c>
      <c r="I1080">
        <v>3.63</v>
      </c>
      <c r="J1080">
        <v>2.39</v>
      </c>
      <c r="K1080" t="s">
        <v>1065</v>
      </c>
      <c r="L1080">
        <v>88.68</v>
      </c>
      <c r="M1080" t="s">
        <v>198</v>
      </c>
      <c r="N1080" t="s">
        <v>5459</v>
      </c>
      <c r="O1080" t="s">
        <v>198</v>
      </c>
      <c r="P1080" t="s">
        <v>6645</v>
      </c>
      <c r="Q1080">
        <v>83.49</v>
      </c>
      <c r="R1080" t="s">
        <v>300</v>
      </c>
      <c r="S1080">
        <v>1.17</v>
      </c>
      <c r="T1080">
        <v>28.9</v>
      </c>
      <c r="U1080" t="s">
        <v>404</v>
      </c>
      <c r="V1080" t="s">
        <v>2227</v>
      </c>
      <c r="W1080" t="s">
        <v>1067</v>
      </c>
      <c r="X1080">
        <v>2.39</v>
      </c>
      <c r="Y1080" t="s">
        <v>1498</v>
      </c>
      <c r="Z1080" t="s">
        <v>4683</v>
      </c>
      <c r="AA1080" t="s">
        <v>161</v>
      </c>
      <c r="AB1080">
        <v>2.4500000000000002</v>
      </c>
      <c r="AC1080" t="s">
        <v>2725</v>
      </c>
      <c r="AD1080">
        <v>32.479999999999997</v>
      </c>
      <c r="AE1080" t="s">
        <v>389</v>
      </c>
      <c r="AF1080">
        <v>1.35</v>
      </c>
      <c r="AG1080">
        <v>0</v>
      </c>
      <c r="AH1080">
        <v>0</v>
      </c>
      <c r="AI1080" s="4">
        <v>41689</v>
      </c>
    </row>
    <row r="1081" spans="1:35">
      <c r="A1081">
        <v>1080</v>
      </c>
      <c r="B1081" t="str">
        <f>"002244"</f>
        <v>002244</v>
      </c>
      <c r="C1081" t="s">
        <v>6646</v>
      </c>
      <c r="D1081" s="4">
        <v>43190</v>
      </c>
      <c r="E1081" t="s">
        <v>2064</v>
      </c>
      <c r="F1081" t="s">
        <v>158</v>
      </c>
      <c r="G1081" t="s">
        <v>5395</v>
      </c>
      <c r="H1081">
        <v>0.11</v>
      </c>
      <c r="I1081">
        <v>4.5999999999999996</v>
      </c>
      <c r="J1081">
        <v>2.39</v>
      </c>
      <c r="K1081" t="s">
        <v>2283</v>
      </c>
      <c r="L1081">
        <v>174.08</v>
      </c>
      <c r="M1081" t="s">
        <v>487</v>
      </c>
      <c r="N1081" t="s">
        <v>6647</v>
      </c>
      <c r="O1081" t="s">
        <v>1671</v>
      </c>
      <c r="P1081" t="s">
        <v>2041</v>
      </c>
      <c r="Q1081">
        <v>-20.010000000000002</v>
      </c>
      <c r="R1081" t="s">
        <v>4188</v>
      </c>
      <c r="S1081">
        <v>2.57</v>
      </c>
      <c r="T1081">
        <v>30.2</v>
      </c>
      <c r="U1081" t="s">
        <v>6648</v>
      </c>
      <c r="V1081" t="s">
        <v>6649</v>
      </c>
      <c r="W1081" t="s">
        <v>807</v>
      </c>
      <c r="X1081">
        <v>2.39</v>
      </c>
      <c r="Y1081" t="s">
        <v>6650</v>
      </c>
      <c r="Z1081" t="s">
        <v>2002</v>
      </c>
      <c r="AA1081" t="s">
        <v>311</v>
      </c>
      <c r="AB1081">
        <v>1.08</v>
      </c>
      <c r="AC1081" t="s">
        <v>2654</v>
      </c>
      <c r="AD1081">
        <v>21.65</v>
      </c>
      <c r="AE1081" t="s">
        <v>1039</v>
      </c>
      <c r="AF1081">
        <v>0.75</v>
      </c>
      <c r="AG1081">
        <v>0</v>
      </c>
      <c r="AH1081">
        <v>0</v>
      </c>
      <c r="AI1081" s="4">
        <v>39597</v>
      </c>
    </row>
    <row r="1082" spans="1:35">
      <c r="A1082">
        <v>1081</v>
      </c>
      <c r="B1082" t="str">
        <f>"000981"</f>
        <v>000981</v>
      </c>
      <c r="C1082" t="s">
        <v>6651</v>
      </c>
      <c r="D1082" s="4">
        <v>43190</v>
      </c>
      <c r="E1082" t="s">
        <v>3303</v>
      </c>
      <c r="F1082" t="s">
        <v>710</v>
      </c>
      <c r="G1082" t="s">
        <v>6652</v>
      </c>
      <c r="H1082">
        <v>0.11</v>
      </c>
      <c r="I1082">
        <v>3.86</v>
      </c>
      <c r="J1082">
        <v>2.39</v>
      </c>
      <c r="K1082" t="s">
        <v>1039</v>
      </c>
      <c r="L1082">
        <v>2.54</v>
      </c>
      <c r="M1082" t="s">
        <v>506</v>
      </c>
      <c r="N1082" t="s">
        <v>342</v>
      </c>
      <c r="O1082" t="s">
        <v>1088</v>
      </c>
      <c r="P1082" t="s">
        <v>704</v>
      </c>
      <c r="Q1082">
        <v>134.66</v>
      </c>
      <c r="R1082" t="s">
        <v>5445</v>
      </c>
      <c r="S1082">
        <v>0.92</v>
      </c>
      <c r="T1082">
        <v>25.89</v>
      </c>
      <c r="U1082" t="s">
        <v>6653</v>
      </c>
      <c r="V1082" t="s">
        <v>4700</v>
      </c>
      <c r="W1082" t="s">
        <v>2833</v>
      </c>
      <c r="X1082">
        <v>2.39</v>
      </c>
      <c r="Y1082" t="s">
        <v>1547</v>
      </c>
      <c r="Z1082" t="s">
        <v>1114</v>
      </c>
      <c r="AA1082" t="s">
        <v>1281</v>
      </c>
      <c r="AB1082">
        <v>2.0499999999999998</v>
      </c>
      <c r="AC1082" t="s">
        <v>962</v>
      </c>
      <c r="AD1082">
        <v>42.49</v>
      </c>
      <c r="AE1082" t="s">
        <v>6654</v>
      </c>
      <c r="AF1082">
        <v>2.36</v>
      </c>
      <c r="AG1082">
        <v>0</v>
      </c>
      <c r="AH1082">
        <v>0</v>
      </c>
      <c r="AI1082" s="4">
        <v>36699</v>
      </c>
    </row>
    <row r="1083" spans="1:35">
      <c r="A1083">
        <v>1082</v>
      </c>
      <c r="B1083" t="str">
        <f>"300326"</f>
        <v>300326</v>
      </c>
      <c r="C1083" t="s">
        <v>6655</v>
      </c>
      <c r="D1083" s="4">
        <v>43190</v>
      </c>
      <c r="E1083" t="s">
        <v>2061</v>
      </c>
      <c r="F1083" t="s">
        <v>941</v>
      </c>
      <c r="G1083" t="s">
        <v>6656</v>
      </c>
      <c r="H1083">
        <v>7.0000000000000007E-2</v>
      </c>
      <c r="I1083">
        <v>2.92</v>
      </c>
      <c r="J1083">
        <v>2.38</v>
      </c>
      <c r="K1083" t="s">
        <v>1210</v>
      </c>
      <c r="L1083">
        <v>49.58</v>
      </c>
      <c r="M1083" t="s">
        <v>6505</v>
      </c>
      <c r="N1083" t="s">
        <v>2075</v>
      </c>
      <c r="O1083" t="s">
        <v>6657</v>
      </c>
      <c r="P1083" t="s">
        <v>5111</v>
      </c>
      <c r="Q1083">
        <v>27.7</v>
      </c>
      <c r="R1083" t="s">
        <v>1330</v>
      </c>
      <c r="S1083">
        <v>0.86</v>
      </c>
      <c r="T1083">
        <v>55.53</v>
      </c>
      <c r="U1083" t="s">
        <v>450</v>
      </c>
      <c r="V1083" t="s">
        <v>982</v>
      </c>
      <c r="W1083" t="s">
        <v>2387</v>
      </c>
      <c r="X1083">
        <v>2.38</v>
      </c>
      <c r="Y1083" t="s">
        <v>4435</v>
      </c>
      <c r="Z1083" t="s">
        <v>348</v>
      </c>
      <c r="AA1083" t="s">
        <v>1435</v>
      </c>
      <c r="AB1083">
        <v>3.09</v>
      </c>
      <c r="AC1083" t="s">
        <v>877</v>
      </c>
      <c r="AD1083">
        <v>74.819999999999993</v>
      </c>
      <c r="AE1083" t="s">
        <v>1770</v>
      </c>
      <c r="AF1083">
        <v>1.01</v>
      </c>
      <c r="AG1083">
        <v>0</v>
      </c>
      <c r="AH1083">
        <v>0</v>
      </c>
      <c r="AI1083" s="4">
        <v>41073</v>
      </c>
    </row>
    <row r="1084" spans="1:35">
      <c r="A1084">
        <v>1083</v>
      </c>
      <c r="B1084" t="str">
        <f>"300065"</f>
        <v>300065</v>
      </c>
      <c r="C1084" t="s">
        <v>6658</v>
      </c>
      <c r="D1084" s="4">
        <v>43190</v>
      </c>
      <c r="E1084" t="s">
        <v>5614</v>
      </c>
      <c r="F1084" t="s">
        <v>594</v>
      </c>
      <c r="G1084" t="s">
        <v>6659</v>
      </c>
      <c r="H1084">
        <v>0.08</v>
      </c>
      <c r="I1084">
        <v>3.4</v>
      </c>
      <c r="J1084">
        <v>2.38</v>
      </c>
      <c r="K1084" t="s">
        <v>863</v>
      </c>
      <c r="L1084">
        <v>13.22</v>
      </c>
      <c r="M1084" t="s">
        <v>6660</v>
      </c>
      <c r="N1084" t="s">
        <v>2920</v>
      </c>
      <c r="O1084" t="s">
        <v>6661</v>
      </c>
      <c r="P1084" t="s">
        <v>6662</v>
      </c>
      <c r="Q1084">
        <v>44.06</v>
      </c>
      <c r="R1084" t="s">
        <v>325</v>
      </c>
      <c r="S1084">
        <v>0.82</v>
      </c>
      <c r="T1084">
        <v>46.56</v>
      </c>
      <c r="U1084" t="s">
        <v>865</v>
      </c>
      <c r="V1084" t="s">
        <v>1367</v>
      </c>
      <c r="W1084" t="s">
        <v>6663</v>
      </c>
      <c r="X1084">
        <v>2.38</v>
      </c>
      <c r="Y1084" t="s">
        <v>1166</v>
      </c>
      <c r="Z1084" t="s">
        <v>4185</v>
      </c>
      <c r="AA1084" t="s">
        <v>6664</v>
      </c>
      <c r="AB1084">
        <v>3.86</v>
      </c>
      <c r="AC1084" t="s">
        <v>548</v>
      </c>
      <c r="AD1084">
        <v>54.33</v>
      </c>
      <c r="AE1084" t="s">
        <v>483</v>
      </c>
      <c r="AF1084">
        <v>1.53</v>
      </c>
      <c r="AG1084">
        <v>0</v>
      </c>
      <c r="AH1084">
        <v>0</v>
      </c>
      <c r="AI1084" s="4">
        <v>40263</v>
      </c>
    </row>
    <row r="1085" spans="1:35">
      <c r="A1085">
        <v>1084</v>
      </c>
      <c r="B1085" t="str">
        <f>"002741"</f>
        <v>002741</v>
      </c>
      <c r="C1085" t="s">
        <v>6665</v>
      </c>
      <c r="D1085" s="4">
        <v>43190</v>
      </c>
      <c r="E1085" t="s">
        <v>3197</v>
      </c>
      <c r="F1085" t="s">
        <v>37</v>
      </c>
      <c r="G1085">
        <v>6152</v>
      </c>
      <c r="H1085">
        <v>7.0000000000000007E-2</v>
      </c>
      <c r="I1085">
        <v>2.94</v>
      </c>
      <c r="J1085">
        <v>2.38</v>
      </c>
      <c r="K1085" t="s">
        <v>1383</v>
      </c>
      <c r="L1085">
        <v>37.53</v>
      </c>
      <c r="M1085" t="s">
        <v>3944</v>
      </c>
      <c r="N1085">
        <v>0</v>
      </c>
      <c r="O1085" t="s">
        <v>3968</v>
      </c>
      <c r="P1085" t="s">
        <v>6666</v>
      </c>
      <c r="Q1085">
        <v>205.84</v>
      </c>
      <c r="R1085" t="s">
        <v>623</v>
      </c>
      <c r="S1085">
        <v>1</v>
      </c>
      <c r="T1085">
        <v>23.36</v>
      </c>
      <c r="U1085" t="s">
        <v>304</v>
      </c>
      <c r="V1085" t="s">
        <v>3185</v>
      </c>
      <c r="W1085" t="s">
        <v>641</v>
      </c>
      <c r="X1085">
        <v>2.38</v>
      </c>
      <c r="Y1085" t="s">
        <v>2310</v>
      </c>
      <c r="Z1085" t="s">
        <v>592</v>
      </c>
      <c r="AA1085" t="s">
        <v>6667</v>
      </c>
      <c r="AB1085">
        <v>5.36</v>
      </c>
      <c r="AC1085" t="s">
        <v>354</v>
      </c>
      <c r="AD1085">
        <v>66.099999999999994</v>
      </c>
      <c r="AE1085" t="s">
        <v>121</v>
      </c>
      <c r="AF1085">
        <v>0.84</v>
      </c>
      <c r="AG1085">
        <v>0</v>
      </c>
      <c r="AH1085">
        <v>0</v>
      </c>
      <c r="AI1085" s="4">
        <v>42051</v>
      </c>
    </row>
    <row r="1086" spans="1:35">
      <c r="A1086">
        <v>1085</v>
      </c>
      <c r="B1086" t="str">
        <f>"002104"</f>
        <v>002104</v>
      </c>
      <c r="C1086" t="s">
        <v>6668</v>
      </c>
      <c r="D1086" s="4">
        <v>43190</v>
      </c>
      <c r="E1086" t="s">
        <v>3196</v>
      </c>
      <c r="F1086" t="s">
        <v>1618</v>
      </c>
      <c r="G1086">
        <v>7543</v>
      </c>
      <c r="H1086">
        <v>0.06</v>
      </c>
      <c r="I1086">
        <v>2.58</v>
      </c>
      <c r="J1086">
        <v>2.38</v>
      </c>
      <c r="K1086" t="s">
        <v>346</v>
      </c>
      <c r="L1086">
        <v>48.45</v>
      </c>
      <c r="M1086" t="s">
        <v>6669</v>
      </c>
      <c r="N1086" t="s">
        <v>6597</v>
      </c>
      <c r="O1086" t="s">
        <v>6670</v>
      </c>
      <c r="P1086" t="s">
        <v>6671</v>
      </c>
      <c r="Q1086">
        <v>4.45</v>
      </c>
      <c r="R1086" t="s">
        <v>1509</v>
      </c>
      <c r="S1086">
        <v>1.2</v>
      </c>
      <c r="T1086">
        <v>23.1</v>
      </c>
      <c r="U1086" t="s">
        <v>1390</v>
      </c>
      <c r="V1086" t="s">
        <v>263</v>
      </c>
      <c r="W1086" t="s">
        <v>1621</v>
      </c>
      <c r="X1086">
        <v>2.38</v>
      </c>
      <c r="Y1086" t="s">
        <v>1067</v>
      </c>
      <c r="Z1086" t="s">
        <v>2387</v>
      </c>
      <c r="AA1086" t="s">
        <v>6672</v>
      </c>
      <c r="AB1086">
        <v>2.5299999999999998</v>
      </c>
      <c r="AC1086" t="s">
        <v>980</v>
      </c>
      <c r="AD1086">
        <v>83.25</v>
      </c>
      <c r="AE1086" t="s">
        <v>6673</v>
      </c>
      <c r="AF1086">
        <v>0.1</v>
      </c>
      <c r="AG1086">
        <v>0</v>
      </c>
      <c r="AH1086">
        <v>0</v>
      </c>
      <c r="AI1086" s="4">
        <v>39092</v>
      </c>
    </row>
    <row r="1087" spans="1:35">
      <c r="A1087">
        <v>1086</v>
      </c>
      <c r="B1087" t="str">
        <f>"000100"</f>
        <v>000100</v>
      </c>
      <c r="C1087" t="s">
        <v>6674</v>
      </c>
      <c r="D1087" s="4">
        <v>43190</v>
      </c>
      <c r="E1087" t="s">
        <v>463</v>
      </c>
      <c r="F1087" t="s">
        <v>315</v>
      </c>
      <c r="G1087" t="s">
        <v>6675</v>
      </c>
      <c r="H1087">
        <v>0.05</v>
      </c>
      <c r="I1087">
        <v>2.2000000000000002</v>
      </c>
      <c r="J1087">
        <v>2.38</v>
      </c>
      <c r="K1087" t="s">
        <v>1454</v>
      </c>
      <c r="L1087">
        <v>0.94</v>
      </c>
      <c r="M1087" t="s">
        <v>521</v>
      </c>
      <c r="N1087" t="s">
        <v>2792</v>
      </c>
      <c r="O1087" t="s">
        <v>521</v>
      </c>
      <c r="P1087" t="s">
        <v>3716</v>
      </c>
      <c r="Q1087">
        <v>63.2</v>
      </c>
      <c r="R1087" t="s">
        <v>5302</v>
      </c>
      <c r="S1087">
        <v>0.59</v>
      </c>
      <c r="T1087">
        <v>19.46</v>
      </c>
      <c r="U1087" t="s">
        <v>6676</v>
      </c>
      <c r="V1087" t="s">
        <v>3867</v>
      </c>
      <c r="W1087" t="s">
        <v>4161</v>
      </c>
      <c r="X1087">
        <v>2.38</v>
      </c>
      <c r="Y1087" t="s">
        <v>6677</v>
      </c>
      <c r="Z1087" t="s">
        <v>6678</v>
      </c>
      <c r="AA1087" t="s">
        <v>6679</v>
      </c>
      <c r="AB1087">
        <v>1.32</v>
      </c>
      <c r="AC1087" t="s">
        <v>2065</v>
      </c>
      <c r="AD1087">
        <v>19.07</v>
      </c>
      <c r="AE1087" t="s">
        <v>530</v>
      </c>
      <c r="AF1087">
        <v>0.44</v>
      </c>
      <c r="AG1087">
        <v>0</v>
      </c>
      <c r="AH1087">
        <v>0</v>
      </c>
      <c r="AI1087" s="4">
        <v>38016</v>
      </c>
    </row>
    <row r="1088" spans="1:35">
      <c r="A1088">
        <v>1087</v>
      </c>
      <c r="B1088" t="str">
        <f>"000026"</f>
        <v>000026</v>
      </c>
      <c r="C1088" t="s">
        <v>6680</v>
      </c>
      <c r="D1088" s="4">
        <v>43190</v>
      </c>
      <c r="E1088" t="s">
        <v>142</v>
      </c>
      <c r="F1088" t="s">
        <v>1383</v>
      </c>
      <c r="G1088">
        <v>0</v>
      </c>
      <c r="H1088">
        <v>0.14000000000000001</v>
      </c>
      <c r="I1088">
        <v>5.76</v>
      </c>
      <c r="J1088">
        <v>2.38</v>
      </c>
      <c r="K1088" t="s">
        <v>1722</v>
      </c>
      <c r="L1088">
        <v>4.26</v>
      </c>
      <c r="M1088" t="s">
        <v>6681</v>
      </c>
      <c r="N1088">
        <v>0</v>
      </c>
      <c r="O1088" t="s">
        <v>6682</v>
      </c>
      <c r="P1088" t="s">
        <v>4890</v>
      </c>
      <c r="Q1088">
        <v>31.33</v>
      </c>
      <c r="R1088" t="s">
        <v>3312</v>
      </c>
      <c r="S1088">
        <v>1.89</v>
      </c>
      <c r="T1088">
        <v>41.42</v>
      </c>
      <c r="U1088" t="s">
        <v>1314</v>
      </c>
      <c r="V1088" t="s">
        <v>1943</v>
      </c>
      <c r="W1088" t="s">
        <v>2686</v>
      </c>
      <c r="X1088">
        <v>2.38</v>
      </c>
      <c r="Y1088" t="s">
        <v>354</v>
      </c>
      <c r="Z1088" t="s">
        <v>407</v>
      </c>
      <c r="AA1088" t="s">
        <v>6683</v>
      </c>
      <c r="AB1088">
        <v>1.55</v>
      </c>
      <c r="AC1088" t="s">
        <v>1943</v>
      </c>
      <c r="AD1088">
        <v>68.930000000000007</v>
      </c>
      <c r="AE1088" t="s">
        <v>521</v>
      </c>
      <c r="AF1088">
        <v>2.42</v>
      </c>
      <c r="AG1088" t="s">
        <v>6684</v>
      </c>
      <c r="AH1088">
        <v>0</v>
      </c>
      <c r="AI1088" s="4">
        <v>34123</v>
      </c>
    </row>
    <row r="1089" spans="1:35">
      <c r="A1089">
        <v>1088</v>
      </c>
      <c r="B1089" t="str">
        <f>"600438"</f>
        <v>600438</v>
      </c>
      <c r="C1089" t="s">
        <v>6685</v>
      </c>
      <c r="D1089" s="4">
        <v>43190</v>
      </c>
      <c r="E1089" t="s">
        <v>948</v>
      </c>
      <c r="F1089" t="s">
        <v>1700</v>
      </c>
      <c r="G1089" t="s">
        <v>6686</v>
      </c>
      <c r="H1089">
        <v>0.08</v>
      </c>
      <c r="I1089">
        <v>3.36</v>
      </c>
      <c r="J1089">
        <v>2.37</v>
      </c>
      <c r="K1089" t="s">
        <v>572</v>
      </c>
      <c r="L1089">
        <v>24.05</v>
      </c>
      <c r="M1089" t="s">
        <v>3259</v>
      </c>
      <c r="N1089" t="s">
        <v>6687</v>
      </c>
      <c r="O1089" t="s">
        <v>185</v>
      </c>
      <c r="P1089" t="s">
        <v>824</v>
      </c>
      <c r="Q1089">
        <v>20.59</v>
      </c>
      <c r="R1089" t="s">
        <v>1698</v>
      </c>
      <c r="S1089">
        <v>0.81</v>
      </c>
      <c r="T1089">
        <v>18.329999999999998</v>
      </c>
      <c r="U1089" t="s">
        <v>5857</v>
      </c>
      <c r="V1089" t="s">
        <v>4179</v>
      </c>
      <c r="W1089" t="s">
        <v>1089</v>
      </c>
      <c r="X1089">
        <v>2.37</v>
      </c>
      <c r="Y1089" t="s">
        <v>1524</v>
      </c>
      <c r="Z1089" t="s">
        <v>232</v>
      </c>
      <c r="AA1089" t="s">
        <v>693</v>
      </c>
      <c r="AB1089">
        <v>1.9</v>
      </c>
      <c r="AC1089" t="s">
        <v>413</v>
      </c>
      <c r="AD1089">
        <v>49.85</v>
      </c>
      <c r="AE1089" t="s">
        <v>2272</v>
      </c>
      <c r="AF1089">
        <v>1.47</v>
      </c>
      <c r="AG1089">
        <v>0</v>
      </c>
      <c r="AH1089">
        <v>0</v>
      </c>
      <c r="AI1089" s="4">
        <v>38048</v>
      </c>
    </row>
    <row r="1090" spans="1:35">
      <c r="A1090">
        <v>1089</v>
      </c>
      <c r="B1090" t="str">
        <f>"600240"</f>
        <v>600240</v>
      </c>
      <c r="C1090" t="s">
        <v>6688</v>
      </c>
      <c r="D1090" s="4">
        <v>43190</v>
      </c>
      <c r="E1090" t="s">
        <v>173</v>
      </c>
      <c r="F1090" t="s">
        <v>173</v>
      </c>
      <c r="G1090" t="s">
        <v>5597</v>
      </c>
      <c r="H1090">
        <v>0.11</v>
      </c>
      <c r="I1090">
        <v>4.8899999999999997</v>
      </c>
      <c r="J1090">
        <v>2.37</v>
      </c>
      <c r="K1090" t="s">
        <v>2468</v>
      </c>
      <c r="L1090">
        <v>-9.59</v>
      </c>
      <c r="M1090" t="s">
        <v>415</v>
      </c>
      <c r="N1090" t="s">
        <v>1666</v>
      </c>
      <c r="O1090" t="s">
        <v>1970</v>
      </c>
      <c r="P1090" t="s">
        <v>552</v>
      </c>
      <c r="Q1090">
        <v>29.17</v>
      </c>
      <c r="R1090" t="s">
        <v>777</v>
      </c>
      <c r="S1090">
        <v>3.42</v>
      </c>
      <c r="T1090">
        <v>39.96</v>
      </c>
      <c r="U1090" t="s">
        <v>1749</v>
      </c>
      <c r="V1090" t="s">
        <v>1107</v>
      </c>
      <c r="W1090" t="s">
        <v>975</v>
      </c>
      <c r="X1090">
        <v>2.37</v>
      </c>
      <c r="Y1090" t="s">
        <v>1279</v>
      </c>
      <c r="Z1090" t="s">
        <v>530</v>
      </c>
      <c r="AA1090" t="s">
        <v>6689</v>
      </c>
      <c r="AB1090">
        <v>1.35</v>
      </c>
      <c r="AC1090" t="s">
        <v>366</v>
      </c>
      <c r="AD1090">
        <v>33.61</v>
      </c>
      <c r="AE1090" t="s">
        <v>1121</v>
      </c>
      <c r="AF1090">
        <v>0.4</v>
      </c>
      <c r="AG1090">
        <v>0</v>
      </c>
      <c r="AH1090">
        <v>0</v>
      </c>
      <c r="AI1090" s="4">
        <v>36705</v>
      </c>
    </row>
    <row r="1091" spans="1:35">
      <c r="A1091">
        <v>1090</v>
      </c>
      <c r="B1091" t="str">
        <f>"000922"</f>
        <v>000922</v>
      </c>
      <c r="C1091" t="s">
        <v>6690</v>
      </c>
      <c r="D1091" s="4">
        <v>43190</v>
      </c>
      <c r="E1091" t="s">
        <v>2036</v>
      </c>
      <c r="F1091" t="s">
        <v>347</v>
      </c>
      <c r="G1091" t="s">
        <v>4763</v>
      </c>
      <c r="H1091">
        <v>0.11</v>
      </c>
      <c r="I1091">
        <v>3.28</v>
      </c>
      <c r="J1091">
        <v>2.37</v>
      </c>
      <c r="K1091" t="s">
        <v>139</v>
      </c>
      <c r="L1091">
        <v>59.91</v>
      </c>
      <c r="M1091" t="s">
        <v>6691</v>
      </c>
      <c r="N1091">
        <v>0</v>
      </c>
      <c r="O1091" t="s">
        <v>6692</v>
      </c>
      <c r="P1091" t="s">
        <v>6692</v>
      </c>
      <c r="Q1091">
        <v>802.03</v>
      </c>
      <c r="R1091" t="s">
        <v>6693</v>
      </c>
      <c r="S1091">
        <v>-0.41</v>
      </c>
      <c r="T1091">
        <v>32.950000000000003</v>
      </c>
      <c r="U1091" t="s">
        <v>700</v>
      </c>
      <c r="V1091" t="s">
        <v>119</v>
      </c>
      <c r="W1091" t="s">
        <v>1806</v>
      </c>
      <c r="X1091">
        <v>2.37</v>
      </c>
      <c r="Y1091" t="s">
        <v>1033</v>
      </c>
      <c r="Z1091" t="s">
        <v>1223</v>
      </c>
      <c r="AA1091" t="s">
        <v>197</v>
      </c>
      <c r="AB1091">
        <v>1.92</v>
      </c>
      <c r="AC1091" t="s">
        <v>50</v>
      </c>
      <c r="AD1091">
        <v>57.4</v>
      </c>
      <c r="AE1091" t="s">
        <v>354</v>
      </c>
      <c r="AF1091">
        <v>2.33</v>
      </c>
      <c r="AG1091">
        <v>0</v>
      </c>
      <c r="AH1091">
        <v>0</v>
      </c>
      <c r="AI1091" s="4">
        <v>36329</v>
      </c>
    </row>
    <row r="1092" spans="1:35">
      <c r="A1092">
        <v>1091</v>
      </c>
      <c r="B1092" t="str">
        <f>"603895"</f>
        <v>603895</v>
      </c>
      <c r="C1092" t="s">
        <v>6694</v>
      </c>
      <c r="D1092" s="4">
        <v>43190</v>
      </c>
      <c r="E1092" t="s">
        <v>71</v>
      </c>
      <c r="F1092" t="s">
        <v>3483</v>
      </c>
      <c r="G1092">
        <v>1205</v>
      </c>
      <c r="H1092">
        <v>0.11</v>
      </c>
      <c r="I1092">
        <v>5.63</v>
      </c>
      <c r="J1092">
        <v>2.36</v>
      </c>
      <c r="K1092" t="s">
        <v>1349</v>
      </c>
      <c r="L1092">
        <v>-18.14</v>
      </c>
      <c r="M1092" t="s">
        <v>6695</v>
      </c>
      <c r="N1092" t="s">
        <v>6696</v>
      </c>
      <c r="O1092" t="s">
        <v>6695</v>
      </c>
      <c r="P1092" t="s">
        <v>6697</v>
      </c>
      <c r="Q1092">
        <v>-50.44</v>
      </c>
      <c r="R1092" t="s">
        <v>322</v>
      </c>
      <c r="S1092">
        <v>0.99</v>
      </c>
      <c r="T1092">
        <v>27.46</v>
      </c>
      <c r="U1092" t="s">
        <v>978</v>
      </c>
      <c r="V1092" t="s">
        <v>722</v>
      </c>
      <c r="W1092" t="s">
        <v>5422</v>
      </c>
      <c r="X1092">
        <v>2.36</v>
      </c>
      <c r="Y1092" t="s">
        <v>338</v>
      </c>
      <c r="Z1092" t="s">
        <v>800</v>
      </c>
      <c r="AA1092" t="s">
        <v>5255</v>
      </c>
      <c r="AB1092">
        <v>5.58</v>
      </c>
      <c r="AC1092" t="s">
        <v>3490</v>
      </c>
      <c r="AD1092">
        <v>60.81</v>
      </c>
      <c r="AE1092" t="s">
        <v>623</v>
      </c>
      <c r="AF1092">
        <v>3.51</v>
      </c>
      <c r="AG1092">
        <v>0</v>
      </c>
      <c r="AH1092">
        <v>0</v>
      </c>
      <c r="AI1092" s="4">
        <v>43122</v>
      </c>
    </row>
    <row r="1093" spans="1:35">
      <c r="A1093">
        <v>1092</v>
      </c>
      <c r="B1093" t="str">
        <f>"600619"</f>
        <v>600619</v>
      </c>
      <c r="C1093" t="s">
        <v>6698</v>
      </c>
      <c r="D1093" s="4">
        <v>43190</v>
      </c>
      <c r="E1093" t="s">
        <v>519</v>
      </c>
      <c r="F1093" t="s">
        <v>348</v>
      </c>
      <c r="G1093" t="s">
        <v>6699</v>
      </c>
      <c r="H1093">
        <v>0.11</v>
      </c>
      <c r="I1093">
        <v>4.92</v>
      </c>
      <c r="J1093">
        <v>2.36</v>
      </c>
      <c r="K1093" t="s">
        <v>1224</v>
      </c>
      <c r="L1093">
        <v>45.92</v>
      </c>
      <c r="M1093" t="s">
        <v>84</v>
      </c>
      <c r="N1093" t="s">
        <v>6700</v>
      </c>
      <c r="O1093" t="s">
        <v>1016</v>
      </c>
      <c r="P1093" t="s">
        <v>6701</v>
      </c>
      <c r="Q1093">
        <v>109.88</v>
      </c>
      <c r="R1093" t="s">
        <v>978</v>
      </c>
      <c r="S1093">
        <v>1.19</v>
      </c>
      <c r="T1093">
        <v>13.14</v>
      </c>
      <c r="U1093" t="s">
        <v>398</v>
      </c>
      <c r="V1093" t="s">
        <v>2219</v>
      </c>
      <c r="W1093" t="s">
        <v>1593</v>
      </c>
      <c r="X1093">
        <v>2.36</v>
      </c>
      <c r="Y1093" t="s">
        <v>4810</v>
      </c>
      <c r="Z1093" t="s">
        <v>6702</v>
      </c>
      <c r="AA1093" t="s">
        <v>241</v>
      </c>
      <c r="AB1093">
        <v>2.11</v>
      </c>
      <c r="AC1093" t="s">
        <v>2105</v>
      </c>
      <c r="AD1093">
        <v>30.31</v>
      </c>
      <c r="AE1093" t="s">
        <v>876</v>
      </c>
      <c r="AF1093">
        <v>2.42</v>
      </c>
      <c r="AG1093" t="s">
        <v>2102</v>
      </c>
      <c r="AH1093">
        <v>0</v>
      </c>
      <c r="AI1093" s="4">
        <v>33924</v>
      </c>
    </row>
    <row r="1094" spans="1:35">
      <c r="A1094">
        <v>1093</v>
      </c>
      <c r="B1094" t="str">
        <f>"300170"</f>
        <v>300170</v>
      </c>
      <c r="C1094" t="s">
        <v>6703</v>
      </c>
      <c r="D1094" s="4">
        <v>43190</v>
      </c>
      <c r="E1094" t="s">
        <v>3145</v>
      </c>
      <c r="F1094" t="s">
        <v>6120</v>
      </c>
      <c r="G1094" t="s">
        <v>5706</v>
      </c>
      <c r="H1094">
        <v>7.0000000000000007E-2</v>
      </c>
      <c r="I1094">
        <v>2.99</v>
      </c>
      <c r="J1094">
        <v>2.36</v>
      </c>
      <c r="K1094" t="s">
        <v>68</v>
      </c>
      <c r="L1094">
        <v>32.21</v>
      </c>
      <c r="M1094" t="s">
        <v>6704</v>
      </c>
      <c r="N1094" t="s">
        <v>6705</v>
      </c>
      <c r="O1094" t="s">
        <v>6706</v>
      </c>
      <c r="P1094" t="s">
        <v>6707</v>
      </c>
      <c r="Q1094">
        <v>26.62</v>
      </c>
      <c r="R1094" t="s">
        <v>323</v>
      </c>
      <c r="S1094">
        <v>1.24</v>
      </c>
      <c r="T1094">
        <v>34.270000000000003</v>
      </c>
      <c r="U1094" t="s">
        <v>273</v>
      </c>
      <c r="V1094" t="s">
        <v>2542</v>
      </c>
      <c r="W1094" t="s">
        <v>186</v>
      </c>
      <c r="X1094">
        <v>2.36</v>
      </c>
      <c r="Y1094" t="s">
        <v>2697</v>
      </c>
      <c r="Z1094" t="s">
        <v>857</v>
      </c>
      <c r="AA1094" t="s">
        <v>6708</v>
      </c>
      <c r="AB1094">
        <v>4.54</v>
      </c>
      <c r="AC1094" t="s">
        <v>1785</v>
      </c>
      <c r="AD1094">
        <v>80.58</v>
      </c>
      <c r="AE1094" t="s">
        <v>6120</v>
      </c>
      <c r="AF1094">
        <v>0.76</v>
      </c>
      <c r="AG1094">
        <v>0</v>
      </c>
      <c r="AH1094">
        <v>0</v>
      </c>
      <c r="AI1094" s="4">
        <v>40575</v>
      </c>
    </row>
    <row r="1095" spans="1:35">
      <c r="A1095">
        <v>1094</v>
      </c>
      <c r="B1095" t="str">
        <f>"300098"</f>
        <v>300098</v>
      </c>
      <c r="C1095" t="s">
        <v>6709</v>
      </c>
      <c r="D1095" s="4">
        <v>43190</v>
      </c>
      <c r="E1095" t="s">
        <v>1126</v>
      </c>
      <c r="F1095" t="s">
        <v>2955</v>
      </c>
      <c r="G1095" t="s">
        <v>2229</v>
      </c>
      <c r="H1095">
        <v>7.0000000000000007E-2</v>
      </c>
      <c r="I1095">
        <v>2.94</v>
      </c>
      <c r="J1095">
        <v>2.36</v>
      </c>
      <c r="K1095" t="s">
        <v>4009</v>
      </c>
      <c r="L1095">
        <v>200.54</v>
      </c>
      <c r="M1095" t="s">
        <v>2306</v>
      </c>
      <c r="N1095" t="s">
        <v>6710</v>
      </c>
      <c r="O1095" t="s">
        <v>2306</v>
      </c>
      <c r="P1095" t="s">
        <v>1525</v>
      </c>
      <c r="Q1095">
        <v>70.16</v>
      </c>
      <c r="R1095" t="s">
        <v>521</v>
      </c>
      <c r="S1095">
        <v>0.56999999999999995</v>
      </c>
      <c r="T1095">
        <v>37.33</v>
      </c>
      <c r="U1095" t="s">
        <v>3679</v>
      </c>
      <c r="V1095" t="s">
        <v>948</v>
      </c>
      <c r="W1095" t="s">
        <v>1376</v>
      </c>
      <c r="X1095">
        <v>2.36</v>
      </c>
      <c r="Y1095" t="s">
        <v>2568</v>
      </c>
      <c r="Z1095" t="s">
        <v>418</v>
      </c>
      <c r="AA1095" t="s">
        <v>2069</v>
      </c>
      <c r="AB1095">
        <v>2.48</v>
      </c>
      <c r="AC1095" t="s">
        <v>428</v>
      </c>
      <c r="AD1095">
        <v>69.5</v>
      </c>
      <c r="AE1095" t="s">
        <v>1285</v>
      </c>
      <c r="AF1095">
        <v>1.46</v>
      </c>
      <c r="AG1095">
        <v>0</v>
      </c>
      <c r="AH1095">
        <v>0</v>
      </c>
      <c r="AI1095" s="4">
        <v>40387</v>
      </c>
    </row>
    <row r="1096" spans="1:35">
      <c r="A1096">
        <v>1095</v>
      </c>
      <c r="B1096" t="str">
        <f>"300033"</f>
        <v>300033</v>
      </c>
      <c r="C1096" t="s">
        <v>6711</v>
      </c>
      <c r="D1096" s="4">
        <v>43190</v>
      </c>
      <c r="E1096" t="s">
        <v>2587</v>
      </c>
      <c r="F1096" t="s">
        <v>828</v>
      </c>
      <c r="G1096">
        <v>5527</v>
      </c>
      <c r="H1096">
        <v>0.14000000000000001</v>
      </c>
      <c r="I1096">
        <v>5.1100000000000003</v>
      </c>
      <c r="J1096">
        <v>2.36</v>
      </c>
      <c r="K1096" t="s">
        <v>676</v>
      </c>
      <c r="L1096">
        <v>-11.29</v>
      </c>
      <c r="M1096" t="s">
        <v>3903</v>
      </c>
      <c r="N1096" t="s">
        <v>6712</v>
      </c>
      <c r="O1096" t="s">
        <v>6713</v>
      </c>
      <c r="P1096" t="s">
        <v>6714</v>
      </c>
      <c r="Q1096">
        <v>-26.37</v>
      </c>
      <c r="R1096" t="s">
        <v>1367</v>
      </c>
      <c r="S1096">
        <v>2.95</v>
      </c>
      <c r="T1096">
        <v>84.15</v>
      </c>
      <c r="U1096" t="s">
        <v>2667</v>
      </c>
      <c r="V1096" t="s">
        <v>2028</v>
      </c>
      <c r="W1096" t="s">
        <v>1001</v>
      </c>
      <c r="X1096">
        <v>2.36</v>
      </c>
      <c r="Y1096" t="s">
        <v>919</v>
      </c>
      <c r="Z1096" t="s">
        <v>978</v>
      </c>
      <c r="AA1096" t="s">
        <v>6715</v>
      </c>
      <c r="AB1096">
        <v>7.57</v>
      </c>
      <c r="AC1096" t="s">
        <v>239</v>
      </c>
      <c r="AD1096">
        <v>72.52</v>
      </c>
      <c r="AE1096" t="s">
        <v>1383</v>
      </c>
      <c r="AF1096">
        <v>0.66</v>
      </c>
      <c r="AG1096">
        <v>0</v>
      </c>
      <c r="AH1096">
        <v>0</v>
      </c>
      <c r="AI1096" s="4">
        <v>40172</v>
      </c>
    </row>
    <row r="1097" spans="1:35">
      <c r="A1097">
        <v>1096</v>
      </c>
      <c r="B1097" t="str">
        <f>"300014"</f>
        <v>300014</v>
      </c>
      <c r="C1097" t="s">
        <v>6716</v>
      </c>
      <c r="D1097" s="4">
        <v>43190</v>
      </c>
      <c r="E1097" t="s">
        <v>3643</v>
      </c>
      <c r="F1097" t="s">
        <v>2428</v>
      </c>
      <c r="G1097">
        <v>9010</v>
      </c>
      <c r="H1097">
        <v>0.09</v>
      </c>
      <c r="I1097">
        <v>3.64</v>
      </c>
      <c r="J1097">
        <v>2.36</v>
      </c>
      <c r="K1097" t="s">
        <v>4435</v>
      </c>
      <c r="L1097">
        <v>20.02</v>
      </c>
      <c r="M1097" t="s">
        <v>2684</v>
      </c>
      <c r="N1097" t="s">
        <v>6717</v>
      </c>
      <c r="O1097" t="s">
        <v>6718</v>
      </c>
      <c r="P1097" t="s">
        <v>6719</v>
      </c>
      <c r="Q1097">
        <v>38.07</v>
      </c>
      <c r="R1097" t="s">
        <v>354</v>
      </c>
      <c r="S1097">
        <v>1.23</v>
      </c>
      <c r="T1097">
        <v>29.66</v>
      </c>
      <c r="U1097" t="s">
        <v>6720</v>
      </c>
      <c r="V1097" t="s">
        <v>312</v>
      </c>
      <c r="W1097" t="s">
        <v>159</v>
      </c>
      <c r="X1097">
        <v>2.36</v>
      </c>
      <c r="Y1097" t="s">
        <v>4509</v>
      </c>
      <c r="Z1097" t="s">
        <v>612</v>
      </c>
      <c r="AA1097" t="s">
        <v>747</v>
      </c>
      <c r="AB1097">
        <v>4.55</v>
      </c>
      <c r="AC1097" t="s">
        <v>1054</v>
      </c>
      <c r="AD1097">
        <v>38.450000000000003</v>
      </c>
      <c r="AE1097" t="s">
        <v>295</v>
      </c>
      <c r="AF1097">
        <v>1.25</v>
      </c>
      <c r="AG1097">
        <v>0</v>
      </c>
      <c r="AH1097">
        <v>0</v>
      </c>
      <c r="AI1097" s="4">
        <v>40116</v>
      </c>
    </row>
    <row r="1098" spans="1:35">
      <c r="A1098">
        <v>1097</v>
      </c>
      <c r="B1098" t="str">
        <f>"002871"</f>
        <v>002871</v>
      </c>
      <c r="C1098" t="s">
        <v>6721</v>
      </c>
      <c r="D1098" s="4">
        <v>43190</v>
      </c>
      <c r="E1098" t="s">
        <v>282</v>
      </c>
      <c r="F1098" t="s">
        <v>6722</v>
      </c>
      <c r="G1098">
        <v>1972</v>
      </c>
      <c r="H1098">
        <v>0.11</v>
      </c>
      <c r="I1098">
        <v>4.71</v>
      </c>
      <c r="J1098">
        <v>2.36</v>
      </c>
      <c r="K1098" t="s">
        <v>6723</v>
      </c>
      <c r="L1098">
        <v>3.14</v>
      </c>
      <c r="M1098" t="s">
        <v>6724</v>
      </c>
      <c r="N1098" t="s">
        <v>6725</v>
      </c>
      <c r="O1098" t="s">
        <v>6726</v>
      </c>
      <c r="P1098" t="s">
        <v>6727</v>
      </c>
      <c r="Q1098">
        <v>20.36</v>
      </c>
      <c r="R1098" t="s">
        <v>200</v>
      </c>
      <c r="S1098">
        <v>1.51</v>
      </c>
      <c r="T1098">
        <v>35.36</v>
      </c>
      <c r="U1098" t="s">
        <v>675</v>
      </c>
      <c r="V1098" t="s">
        <v>348</v>
      </c>
      <c r="W1098" t="s">
        <v>677</v>
      </c>
      <c r="X1098">
        <v>2.36</v>
      </c>
      <c r="Y1098" t="s">
        <v>1459</v>
      </c>
      <c r="Z1098" t="s">
        <v>6728</v>
      </c>
      <c r="AA1098" t="s">
        <v>6729</v>
      </c>
      <c r="AB1098">
        <v>3.96</v>
      </c>
      <c r="AC1098" t="s">
        <v>106</v>
      </c>
      <c r="AD1098">
        <v>84.08</v>
      </c>
      <c r="AE1098" t="s">
        <v>1511</v>
      </c>
      <c r="AF1098">
        <v>1.94</v>
      </c>
      <c r="AG1098">
        <v>0</v>
      </c>
      <c r="AH1098">
        <v>0</v>
      </c>
      <c r="AI1098" s="4">
        <v>42866</v>
      </c>
    </row>
    <row r="1099" spans="1:35">
      <c r="A1099">
        <v>1098</v>
      </c>
      <c r="B1099" t="str">
        <f>"000598"</f>
        <v>000598</v>
      </c>
      <c r="C1099" t="s">
        <v>6730</v>
      </c>
      <c r="D1099" s="4">
        <v>43190</v>
      </c>
      <c r="E1099" t="s">
        <v>864</v>
      </c>
      <c r="F1099" t="s">
        <v>864</v>
      </c>
      <c r="G1099" t="s">
        <v>5462</v>
      </c>
      <c r="H1099">
        <v>0.08</v>
      </c>
      <c r="I1099">
        <v>3.32</v>
      </c>
      <c r="J1099">
        <v>2.36</v>
      </c>
      <c r="K1099" t="s">
        <v>2593</v>
      </c>
      <c r="L1099">
        <v>14.53</v>
      </c>
      <c r="M1099" t="s">
        <v>2774</v>
      </c>
      <c r="N1099" t="s">
        <v>6731</v>
      </c>
      <c r="O1099" t="s">
        <v>1732</v>
      </c>
      <c r="P1099" t="s">
        <v>4614</v>
      </c>
      <c r="Q1099">
        <v>15.11</v>
      </c>
      <c r="R1099" t="s">
        <v>1050</v>
      </c>
      <c r="S1099">
        <v>1.63</v>
      </c>
      <c r="T1099">
        <v>43.77</v>
      </c>
      <c r="U1099" t="s">
        <v>1893</v>
      </c>
      <c r="V1099" t="s">
        <v>464</v>
      </c>
      <c r="W1099" t="s">
        <v>2801</v>
      </c>
      <c r="X1099">
        <v>2.36</v>
      </c>
      <c r="Y1099" t="s">
        <v>6720</v>
      </c>
      <c r="Z1099" t="s">
        <v>2694</v>
      </c>
      <c r="AA1099" t="s">
        <v>3571</v>
      </c>
      <c r="AB1099">
        <v>1.23</v>
      </c>
      <c r="AC1099" t="s">
        <v>4717</v>
      </c>
      <c r="AD1099">
        <v>52.56</v>
      </c>
      <c r="AE1099" t="s">
        <v>1678</v>
      </c>
      <c r="AF1099">
        <v>0.6</v>
      </c>
      <c r="AG1099">
        <v>0</v>
      </c>
      <c r="AH1099">
        <v>0</v>
      </c>
      <c r="AI1099" s="4">
        <v>35214</v>
      </c>
    </row>
    <row r="1100" spans="1:35">
      <c r="A1100">
        <v>1099</v>
      </c>
      <c r="B1100" t="str">
        <f>"000036"</f>
        <v>000036</v>
      </c>
      <c r="C1100" t="s">
        <v>6732</v>
      </c>
      <c r="D1100" s="4">
        <v>43190</v>
      </c>
      <c r="E1100" t="s">
        <v>354</v>
      </c>
      <c r="F1100" t="s">
        <v>354</v>
      </c>
      <c r="G1100" t="s">
        <v>1763</v>
      </c>
      <c r="H1100">
        <v>0.09</v>
      </c>
      <c r="I1100">
        <v>3.95</v>
      </c>
      <c r="J1100">
        <v>2.36</v>
      </c>
      <c r="K1100" t="s">
        <v>3067</v>
      </c>
      <c r="L1100">
        <v>-74.540000000000006</v>
      </c>
      <c r="M1100" t="s">
        <v>319</v>
      </c>
      <c r="N1100" t="s">
        <v>6256</v>
      </c>
      <c r="O1100" t="s">
        <v>319</v>
      </c>
      <c r="P1100" t="s">
        <v>198</v>
      </c>
      <c r="Q1100">
        <v>-86.11</v>
      </c>
      <c r="R1100" t="s">
        <v>502</v>
      </c>
      <c r="S1100">
        <v>2.4500000000000002</v>
      </c>
      <c r="T1100">
        <v>71.92</v>
      </c>
      <c r="U1100" t="s">
        <v>6074</v>
      </c>
      <c r="V1100" t="s">
        <v>796</v>
      </c>
      <c r="W1100" t="s">
        <v>3986</v>
      </c>
      <c r="X1100">
        <v>2.36</v>
      </c>
      <c r="Y1100" t="s">
        <v>3886</v>
      </c>
      <c r="Z1100" t="s">
        <v>756</v>
      </c>
      <c r="AA1100" t="s">
        <v>298</v>
      </c>
      <c r="AB1100">
        <v>1.65</v>
      </c>
      <c r="AC1100" t="s">
        <v>3125</v>
      </c>
      <c r="AD1100">
        <v>45.54</v>
      </c>
      <c r="AE1100" t="s">
        <v>668</v>
      </c>
      <c r="AF1100">
        <v>0.21</v>
      </c>
      <c r="AG1100">
        <v>0</v>
      </c>
      <c r="AH1100">
        <v>0</v>
      </c>
      <c r="AI1100" s="4">
        <v>34502</v>
      </c>
    </row>
    <row r="1101" spans="1:35">
      <c r="A1101">
        <v>1100</v>
      </c>
      <c r="B1101" t="str">
        <f>"600795"</f>
        <v>600795</v>
      </c>
      <c r="C1101" t="s">
        <v>6733</v>
      </c>
      <c r="D1101" s="4">
        <v>43190</v>
      </c>
      <c r="E1101" t="s">
        <v>838</v>
      </c>
      <c r="F1101" t="s">
        <v>838</v>
      </c>
      <c r="G1101" t="s">
        <v>1577</v>
      </c>
      <c r="H1101">
        <v>0.06</v>
      </c>
      <c r="I1101">
        <v>2.54</v>
      </c>
      <c r="J1101">
        <v>2.36</v>
      </c>
      <c r="K1101" t="s">
        <v>3129</v>
      </c>
      <c r="L1101">
        <v>8.41</v>
      </c>
      <c r="M1101" t="s">
        <v>891</v>
      </c>
      <c r="N1101" t="s">
        <v>2111</v>
      </c>
      <c r="O1101" t="s">
        <v>187</v>
      </c>
      <c r="P1101" t="s">
        <v>625</v>
      </c>
      <c r="Q1101">
        <v>17.559999999999999</v>
      </c>
      <c r="R1101" t="s">
        <v>957</v>
      </c>
      <c r="S1101">
        <v>1.01</v>
      </c>
      <c r="T1101">
        <v>21.48</v>
      </c>
      <c r="U1101" t="s">
        <v>6734</v>
      </c>
      <c r="V1101" t="s">
        <v>1099</v>
      </c>
      <c r="W1101" t="s">
        <v>6735</v>
      </c>
      <c r="X1101">
        <v>2.36</v>
      </c>
      <c r="Y1101" t="s">
        <v>6736</v>
      </c>
      <c r="Z1101" t="s">
        <v>2503</v>
      </c>
      <c r="AA1101" t="s">
        <v>6737</v>
      </c>
      <c r="AB1101">
        <v>1.02</v>
      </c>
      <c r="AC1101" t="s">
        <v>6738</v>
      </c>
      <c r="AD1101">
        <v>18.850000000000001</v>
      </c>
      <c r="AE1101" t="s">
        <v>2961</v>
      </c>
      <c r="AF1101">
        <v>0.27</v>
      </c>
      <c r="AG1101">
        <v>0</v>
      </c>
      <c r="AH1101">
        <v>0</v>
      </c>
      <c r="AI1101" s="4">
        <v>35507</v>
      </c>
    </row>
    <row r="1102" spans="1:35">
      <c r="A1102">
        <v>1101</v>
      </c>
      <c r="B1102" t="str">
        <f>"603998"</f>
        <v>603998</v>
      </c>
      <c r="C1102" t="s">
        <v>6739</v>
      </c>
      <c r="D1102" s="4">
        <v>43190</v>
      </c>
      <c r="E1102" t="s">
        <v>1827</v>
      </c>
      <c r="F1102" t="s">
        <v>599</v>
      </c>
      <c r="G1102" t="s">
        <v>1586</v>
      </c>
      <c r="H1102">
        <v>0.05</v>
      </c>
      <c r="I1102">
        <v>2.34</v>
      </c>
      <c r="J1102">
        <v>2.35</v>
      </c>
      <c r="K1102" t="s">
        <v>3535</v>
      </c>
      <c r="L1102">
        <v>87.07</v>
      </c>
      <c r="M1102" t="s">
        <v>6740</v>
      </c>
      <c r="N1102" t="s">
        <v>6741</v>
      </c>
      <c r="O1102" t="s">
        <v>6742</v>
      </c>
      <c r="P1102" t="s">
        <v>6743</v>
      </c>
      <c r="Q1102">
        <v>31.13</v>
      </c>
      <c r="R1102" t="s">
        <v>2608</v>
      </c>
      <c r="S1102">
        <v>0.96</v>
      </c>
      <c r="T1102">
        <v>72.010000000000005</v>
      </c>
      <c r="U1102" t="s">
        <v>1384</v>
      </c>
      <c r="V1102" t="s">
        <v>2922</v>
      </c>
      <c r="W1102" t="s">
        <v>1035</v>
      </c>
      <c r="X1102">
        <v>2.35</v>
      </c>
      <c r="Y1102" t="s">
        <v>330</v>
      </c>
      <c r="Z1102" t="s">
        <v>535</v>
      </c>
      <c r="AA1102" t="s">
        <v>6744</v>
      </c>
      <c r="AB1102">
        <v>3.59</v>
      </c>
      <c r="AC1102" t="s">
        <v>1094</v>
      </c>
      <c r="AD1102">
        <v>71.430000000000007</v>
      </c>
      <c r="AE1102" t="s">
        <v>863</v>
      </c>
      <c r="AF1102">
        <v>0.36</v>
      </c>
      <c r="AG1102">
        <v>0</v>
      </c>
      <c r="AH1102">
        <v>0</v>
      </c>
      <c r="AI1102" s="4">
        <v>41978</v>
      </c>
    </row>
    <row r="1103" spans="1:35">
      <c r="A1103">
        <v>1102</v>
      </c>
      <c r="B1103" t="str">
        <f>"603159"</f>
        <v>603159</v>
      </c>
      <c r="C1103" t="s">
        <v>6745</v>
      </c>
      <c r="D1103" s="4">
        <v>43190</v>
      </c>
      <c r="E1103" t="s">
        <v>2307</v>
      </c>
      <c r="F1103" t="s">
        <v>534</v>
      </c>
      <c r="G1103">
        <v>1785</v>
      </c>
      <c r="H1103">
        <v>0.1</v>
      </c>
      <c r="I1103">
        <v>4.0599999999999996</v>
      </c>
      <c r="J1103">
        <v>2.35</v>
      </c>
      <c r="K1103" t="s">
        <v>1724</v>
      </c>
      <c r="L1103">
        <v>9.6199999999999992</v>
      </c>
      <c r="M1103" t="s">
        <v>6746</v>
      </c>
      <c r="N1103" t="s">
        <v>6747</v>
      </c>
      <c r="O1103" t="s">
        <v>6748</v>
      </c>
      <c r="P1103" t="s">
        <v>4836</v>
      </c>
      <c r="Q1103">
        <v>18.079999999999998</v>
      </c>
      <c r="R1103" t="s">
        <v>1360</v>
      </c>
      <c r="S1103">
        <v>1.66</v>
      </c>
      <c r="T1103">
        <v>21.89</v>
      </c>
      <c r="U1103" t="s">
        <v>4176</v>
      </c>
      <c r="V1103" t="s">
        <v>1048</v>
      </c>
      <c r="W1103" t="s">
        <v>1457</v>
      </c>
      <c r="X1103">
        <v>2.35</v>
      </c>
      <c r="Y1103" t="s">
        <v>1724</v>
      </c>
      <c r="Z1103" t="s">
        <v>711</v>
      </c>
      <c r="AA1103" t="s">
        <v>1922</v>
      </c>
      <c r="AB1103">
        <v>5.28</v>
      </c>
      <c r="AC1103" t="s">
        <v>365</v>
      </c>
      <c r="AD1103">
        <v>73.67</v>
      </c>
      <c r="AE1103" t="s">
        <v>209</v>
      </c>
      <c r="AF1103">
        <v>1.22</v>
      </c>
      <c r="AG1103">
        <v>0</v>
      </c>
      <c r="AH1103">
        <v>0</v>
      </c>
      <c r="AI1103" s="4">
        <v>42594</v>
      </c>
    </row>
    <row r="1104" spans="1:35">
      <c r="A1104">
        <v>1103</v>
      </c>
      <c r="B1104" t="str">
        <f>"601908"</f>
        <v>601908</v>
      </c>
      <c r="C1104" t="s">
        <v>6749</v>
      </c>
      <c r="D1104" s="4">
        <v>43190</v>
      </c>
      <c r="E1104" t="s">
        <v>1000</v>
      </c>
      <c r="F1104" t="s">
        <v>119</v>
      </c>
      <c r="G1104" t="s">
        <v>3013</v>
      </c>
      <c r="H1104">
        <v>0.08</v>
      </c>
      <c r="I1104">
        <v>3.37</v>
      </c>
      <c r="J1104">
        <v>2.35</v>
      </c>
      <c r="K1104" t="s">
        <v>1438</v>
      </c>
      <c r="L1104">
        <v>156.76</v>
      </c>
      <c r="M1104" t="s">
        <v>93</v>
      </c>
      <c r="N1104" t="s">
        <v>6750</v>
      </c>
      <c r="O1104" t="s">
        <v>284</v>
      </c>
      <c r="P1104" t="s">
        <v>610</v>
      </c>
      <c r="Q1104">
        <v>6714.38</v>
      </c>
      <c r="R1104" t="s">
        <v>820</v>
      </c>
      <c r="S1104">
        <v>0.85</v>
      </c>
      <c r="T1104">
        <v>43.1</v>
      </c>
      <c r="U1104" t="s">
        <v>413</v>
      </c>
      <c r="V1104" t="s">
        <v>2057</v>
      </c>
      <c r="W1104" t="s">
        <v>6751</v>
      </c>
      <c r="X1104">
        <v>2.35</v>
      </c>
      <c r="Y1104" t="s">
        <v>930</v>
      </c>
      <c r="Z1104" t="s">
        <v>589</v>
      </c>
      <c r="AA1104" t="s">
        <v>511</v>
      </c>
      <c r="AB1104">
        <v>1.2</v>
      </c>
      <c r="AC1104" t="s">
        <v>5348</v>
      </c>
      <c r="AD1104">
        <v>49.27</v>
      </c>
      <c r="AE1104" t="s">
        <v>589</v>
      </c>
      <c r="AF1104">
        <v>1.45</v>
      </c>
      <c r="AG1104">
        <v>0</v>
      </c>
      <c r="AH1104">
        <v>0</v>
      </c>
      <c r="AI1104" s="4">
        <v>40794</v>
      </c>
    </row>
    <row r="1105" spans="1:35">
      <c r="A1105">
        <v>1104</v>
      </c>
      <c r="B1105" t="str">
        <f>"601311"</f>
        <v>601311</v>
      </c>
      <c r="C1105" t="s">
        <v>6752</v>
      </c>
      <c r="D1105" s="4">
        <v>43190</v>
      </c>
      <c r="E1105" t="s">
        <v>4952</v>
      </c>
      <c r="F1105" t="s">
        <v>4952</v>
      </c>
      <c r="G1105" t="s">
        <v>2854</v>
      </c>
      <c r="H1105">
        <v>0.15</v>
      </c>
      <c r="I1105">
        <v>6.33</v>
      </c>
      <c r="J1105">
        <v>2.35</v>
      </c>
      <c r="K1105" t="s">
        <v>1284</v>
      </c>
      <c r="L1105">
        <v>31.89</v>
      </c>
      <c r="M1105" t="s">
        <v>382</v>
      </c>
      <c r="N1105" t="s">
        <v>6753</v>
      </c>
      <c r="O1105" t="s">
        <v>552</v>
      </c>
      <c r="P1105" t="s">
        <v>1038</v>
      </c>
      <c r="Q1105">
        <v>31.51</v>
      </c>
      <c r="R1105" t="s">
        <v>1127</v>
      </c>
      <c r="S1105">
        <v>4.01</v>
      </c>
      <c r="T1105">
        <v>20.47</v>
      </c>
      <c r="U1105" t="s">
        <v>2802</v>
      </c>
      <c r="V1105" t="s">
        <v>2241</v>
      </c>
      <c r="W1105" t="s">
        <v>1039</v>
      </c>
      <c r="X1105">
        <v>2.35</v>
      </c>
      <c r="Y1105" t="s">
        <v>2301</v>
      </c>
      <c r="Z1105" t="s">
        <v>370</v>
      </c>
      <c r="AA1105" t="s">
        <v>971</v>
      </c>
      <c r="AB1105">
        <v>1.62</v>
      </c>
      <c r="AC1105" t="s">
        <v>1344</v>
      </c>
      <c r="AD1105">
        <v>55.8</v>
      </c>
      <c r="AE1105" t="s">
        <v>1094</v>
      </c>
      <c r="AF1105">
        <v>1.19</v>
      </c>
      <c r="AG1105">
        <v>0</v>
      </c>
      <c r="AH1105">
        <v>0</v>
      </c>
      <c r="AI1105" s="4">
        <v>40696</v>
      </c>
    </row>
    <row r="1106" spans="1:35">
      <c r="A1106">
        <v>1105</v>
      </c>
      <c r="B1106" t="str">
        <f>"601019"</f>
        <v>601019</v>
      </c>
      <c r="C1106" t="s">
        <v>6754</v>
      </c>
      <c r="D1106" s="4">
        <v>43190</v>
      </c>
      <c r="E1106" t="s">
        <v>159</v>
      </c>
      <c r="F1106" t="s">
        <v>122</v>
      </c>
      <c r="G1106">
        <v>2781</v>
      </c>
      <c r="H1106">
        <v>0.1</v>
      </c>
      <c r="I1106">
        <v>4.26</v>
      </c>
      <c r="J1106">
        <v>2.35</v>
      </c>
      <c r="K1106" t="s">
        <v>980</v>
      </c>
      <c r="L1106">
        <v>20.13</v>
      </c>
      <c r="M1106" t="s">
        <v>608</v>
      </c>
      <c r="N1106" t="s">
        <v>6755</v>
      </c>
      <c r="O1106" t="s">
        <v>844</v>
      </c>
      <c r="P1106" t="s">
        <v>618</v>
      </c>
      <c r="Q1106">
        <v>3.4</v>
      </c>
      <c r="R1106" t="s">
        <v>245</v>
      </c>
      <c r="S1106">
        <v>2.11</v>
      </c>
      <c r="T1106">
        <v>30.26</v>
      </c>
      <c r="U1106" t="s">
        <v>463</v>
      </c>
      <c r="V1106" t="s">
        <v>4717</v>
      </c>
      <c r="W1106" t="s">
        <v>76</v>
      </c>
      <c r="X1106">
        <v>2.35</v>
      </c>
      <c r="Y1106" t="s">
        <v>2005</v>
      </c>
      <c r="Z1106" t="s">
        <v>236</v>
      </c>
      <c r="AA1106" t="s">
        <v>350</v>
      </c>
      <c r="AB1106">
        <v>1.93</v>
      </c>
      <c r="AC1106" t="s">
        <v>5902</v>
      </c>
      <c r="AD1106">
        <v>65.95</v>
      </c>
      <c r="AE1106" t="s">
        <v>2568</v>
      </c>
      <c r="AF1106">
        <v>1.05</v>
      </c>
      <c r="AG1106">
        <v>0</v>
      </c>
      <c r="AH1106">
        <v>0</v>
      </c>
      <c r="AI1106" s="4">
        <v>43061</v>
      </c>
    </row>
    <row r="1107" spans="1:35">
      <c r="A1107">
        <v>1106</v>
      </c>
      <c r="B1107" t="str">
        <f>"300684"</f>
        <v>300684</v>
      </c>
      <c r="C1107" t="s">
        <v>6756</v>
      </c>
      <c r="D1107" s="4">
        <v>43190</v>
      </c>
      <c r="E1107" t="s">
        <v>6757</v>
      </c>
      <c r="F1107" t="s">
        <v>5561</v>
      </c>
      <c r="G1107">
        <v>1657</v>
      </c>
      <c r="H1107">
        <v>0.15</v>
      </c>
      <c r="I1107">
        <v>6.36</v>
      </c>
      <c r="J1107">
        <v>2.35</v>
      </c>
      <c r="K1107" t="s">
        <v>198</v>
      </c>
      <c r="L1107">
        <v>271.08</v>
      </c>
      <c r="M1107" t="s">
        <v>6758</v>
      </c>
      <c r="N1107" t="s">
        <v>6759</v>
      </c>
      <c r="O1107" t="s">
        <v>1075</v>
      </c>
      <c r="P1107" t="s">
        <v>6727</v>
      </c>
      <c r="Q1107">
        <v>274.5</v>
      </c>
      <c r="R1107" t="s">
        <v>912</v>
      </c>
      <c r="S1107">
        <v>2.31</v>
      </c>
      <c r="T1107">
        <v>39.74</v>
      </c>
      <c r="U1107" t="s">
        <v>871</v>
      </c>
      <c r="V1107" t="s">
        <v>347</v>
      </c>
      <c r="W1107" t="s">
        <v>641</v>
      </c>
      <c r="X1107">
        <v>2.35</v>
      </c>
      <c r="Y1107" t="s">
        <v>200</v>
      </c>
      <c r="Z1107" t="s">
        <v>1288</v>
      </c>
      <c r="AA1107" t="s">
        <v>6760</v>
      </c>
      <c r="AB1107">
        <v>9.98</v>
      </c>
      <c r="AC1107" t="s">
        <v>3238</v>
      </c>
      <c r="AD1107">
        <v>74.23</v>
      </c>
      <c r="AE1107" t="s">
        <v>2142</v>
      </c>
      <c r="AF1107">
        <v>2.85</v>
      </c>
      <c r="AG1107">
        <v>0</v>
      </c>
      <c r="AH1107">
        <v>0</v>
      </c>
      <c r="AI1107" s="4">
        <v>43096</v>
      </c>
    </row>
    <row r="1108" spans="1:35">
      <c r="A1108">
        <v>1107</v>
      </c>
      <c r="B1108" t="str">
        <f>"002896"</f>
        <v>002896</v>
      </c>
      <c r="C1108" t="s">
        <v>6761</v>
      </c>
      <c r="D1108" s="4">
        <v>43190</v>
      </c>
      <c r="E1108" t="s">
        <v>2575</v>
      </c>
      <c r="F1108" t="s">
        <v>2576</v>
      </c>
      <c r="G1108">
        <v>1618</v>
      </c>
      <c r="H1108">
        <v>0.16</v>
      </c>
      <c r="I1108">
        <v>6.81</v>
      </c>
      <c r="J1108">
        <v>2.35</v>
      </c>
      <c r="K1108" t="s">
        <v>443</v>
      </c>
      <c r="L1108">
        <v>20.85</v>
      </c>
      <c r="M1108" t="s">
        <v>4439</v>
      </c>
      <c r="N1108" t="s">
        <v>4272</v>
      </c>
      <c r="O1108" t="s">
        <v>4439</v>
      </c>
      <c r="P1108" t="s">
        <v>6762</v>
      </c>
      <c r="Q1108">
        <v>22.13</v>
      </c>
      <c r="R1108" t="s">
        <v>86</v>
      </c>
      <c r="S1108">
        <v>1.6</v>
      </c>
      <c r="T1108">
        <v>32.17</v>
      </c>
      <c r="U1108" t="s">
        <v>539</v>
      </c>
      <c r="V1108" t="s">
        <v>348</v>
      </c>
      <c r="W1108" t="s">
        <v>3535</v>
      </c>
      <c r="X1108">
        <v>2.35</v>
      </c>
      <c r="Y1108" t="s">
        <v>258</v>
      </c>
      <c r="Z1108" t="s">
        <v>998</v>
      </c>
      <c r="AA1108" t="s">
        <v>2594</v>
      </c>
      <c r="AB1108">
        <v>6.44</v>
      </c>
      <c r="AC1108" t="s">
        <v>318</v>
      </c>
      <c r="AD1108">
        <v>68.09</v>
      </c>
      <c r="AE1108" t="s">
        <v>1797</v>
      </c>
      <c r="AF1108">
        <v>4.04</v>
      </c>
      <c r="AG1108">
        <v>0</v>
      </c>
      <c r="AH1108">
        <v>0</v>
      </c>
      <c r="AI1108" s="4">
        <v>42976</v>
      </c>
    </row>
    <row r="1109" spans="1:35">
      <c r="A1109">
        <v>1108</v>
      </c>
      <c r="B1109" t="str">
        <f>"002728"</f>
        <v>002728</v>
      </c>
      <c r="C1109" t="s">
        <v>6763</v>
      </c>
      <c r="D1109" s="4">
        <v>43190</v>
      </c>
      <c r="E1109" t="s">
        <v>293</v>
      </c>
      <c r="F1109" t="s">
        <v>1349</v>
      </c>
      <c r="G1109">
        <v>5365</v>
      </c>
      <c r="H1109">
        <v>0.12</v>
      </c>
      <c r="I1109">
        <v>4.5199999999999996</v>
      </c>
      <c r="J1109">
        <v>2.35</v>
      </c>
      <c r="K1109" t="s">
        <v>292</v>
      </c>
      <c r="L1109">
        <v>34.31</v>
      </c>
      <c r="M1109" t="s">
        <v>6764</v>
      </c>
      <c r="N1109">
        <v>0</v>
      </c>
      <c r="O1109" t="s">
        <v>6765</v>
      </c>
      <c r="P1109" t="s">
        <v>6766</v>
      </c>
      <c r="Q1109">
        <v>32.5</v>
      </c>
      <c r="R1109" t="s">
        <v>3374</v>
      </c>
      <c r="S1109">
        <v>1.99</v>
      </c>
      <c r="T1109">
        <v>49.85</v>
      </c>
      <c r="U1109" t="s">
        <v>183</v>
      </c>
      <c r="V1109" t="s">
        <v>1608</v>
      </c>
      <c r="W1109" t="s">
        <v>2661</v>
      </c>
      <c r="X1109">
        <v>2.35</v>
      </c>
      <c r="Y1109" t="s">
        <v>2443</v>
      </c>
      <c r="Z1109" t="s">
        <v>138</v>
      </c>
      <c r="AA1109" t="s">
        <v>2112</v>
      </c>
      <c r="AB1109">
        <v>3.5</v>
      </c>
      <c r="AC1109" t="s">
        <v>295</v>
      </c>
      <c r="AD1109">
        <v>56.09</v>
      </c>
      <c r="AE1109" t="s">
        <v>676</v>
      </c>
      <c r="AF1109">
        <v>1.19</v>
      </c>
      <c r="AG1109">
        <v>0</v>
      </c>
      <c r="AH1109">
        <v>0</v>
      </c>
      <c r="AI1109" s="4">
        <v>41851</v>
      </c>
    </row>
    <row r="1110" spans="1:35">
      <c r="A1110">
        <v>1109</v>
      </c>
      <c r="B1110" t="str">
        <f>"002446"</f>
        <v>002446</v>
      </c>
      <c r="C1110" t="s">
        <v>6767</v>
      </c>
      <c r="D1110" s="4">
        <v>43190</v>
      </c>
      <c r="E1110" t="s">
        <v>3741</v>
      </c>
      <c r="F1110" t="s">
        <v>806</v>
      </c>
      <c r="G1110" t="s">
        <v>708</v>
      </c>
      <c r="H1110">
        <v>0.08</v>
      </c>
      <c r="I1110">
        <v>3.39</v>
      </c>
      <c r="J1110">
        <v>2.35</v>
      </c>
      <c r="K1110" t="s">
        <v>1035</v>
      </c>
      <c r="L1110">
        <v>39.700000000000003</v>
      </c>
      <c r="M1110" t="s">
        <v>3452</v>
      </c>
      <c r="N1110" t="s">
        <v>6768</v>
      </c>
      <c r="O1110" t="s">
        <v>6769</v>
      </c>
      <c r="P1110" t="s">
        <v>2772</v>
      </c>
      <c r="Q1110">
        <v>3.83</v>
      </c>
      <c r="R1110" t="s">
        <v>1382</v>
      </c>
      <c r="S1110">
        <v>0.69</v>
      </c>
      <c r="T1110">
        <v>30.65</v>
      </c>
      <c r="U1110" t="s">
        <v>305</v>
      </c>
      <c r="V1110" t="s">
        <v>1126</v>
      </c>
      <c r="W1110" t="s">
        <v>958</v>
      </c>
      <c r="X1110">
        <v>2.35</v>
      </c>
      <c r="Y1110" t="s">
        <v>2134</v>
      </c>
      <c r="Z1110" t="s">
        <v>3570</v>
      </c>
      <c r="AA1110" t="s">
        <v>64</v>
      </c>
      <c r="AB1110">
        <v>1.86</v>
      </c>
      <c r="AC1110" t="s">
        <v>1504</v>
      </c>
      <c r="AD1110">
        <v>73.36</v>
      </c>
      <c r="AE1110" t="s">
        <v>548</v>
      </c>
      <c r="AF1110">
        <v>1.63</v>
      </c>
      <c r="AG1110">
        <v>0</v>
      </c>
      <c r="AH1110">
        <v>0</v>
      </c>
      <c r="AI1110" s="4">
        <v>40372</v>
      </c>
    </row>
    <row r="1111" spans="1:35">
      <c r="A1111">
        <v>1110</v>
      </c>
      <c r="B1111" t="str">
        <f>"002411"</f>
        <v>002411</v>
      </c>
      <c r="C1111" t="s">
        <v>6770</v>
      </c>
      <c r="D1111" s="4">
        <v>43190</v>
      </c>
      <c r="E1111" t="s">
        <v>391</v>
      </c>
      <c r="F1111" t="s">
        <v>205</v>
      </c>
      <c r="G1111" t="s">
        <v>1092</v>
      </c>
      <c r="H1111">
        <v>0.14000000000000001</v>
      </c>
      <c r="I1111">
        <v>6.07</v>
      </c>
      <c r="J1111">
        <v>2.35</v>
      </c>
      <c r="K1111" t="s">
        <v>754</v>
      </c>
      <c r="L1111">
        <v>119.61</v>
      </c>
      <c r="M1111" t="s">
        <v>726</v>
      </c>
      <c r="N1111" t="s">
        <v>4569</v>
      </c>
      <c r="O1111" t="s">
        <v>492</v>
      </c>
      <c r="P1111" t="s">
        <v>1287</v>
      </c>
      <c r="Q1111">
        <v>29.98</v>
      </c>
      <c r="R1111" t="s">
        <v>728</v>
      </c>
      <c r="S1111">
        <v>1.45</v>
      </c>
      <c r="T1111">
        <v>29.88</v>
      </c>
      <c r="U1111" t="s">
        <v>1194</v>
      </c>
      <c r="V1111" t="s">
        <v>5126</v>
      </c>
      <c r="W1111" t="s">
        <v>547</v>
      </c>
      <c r="X1111">
        <v>2.35</v>
      </c>
      <c r="Y1111" t="s">
        <v>3447</v>
      </c>
      <c r="Z1111" t="s">
        <v>3422</v>
      </c>
      <c r="AA1111" t="s">
        <v>2447</v>
      </c>
      <c r="AB1111">
        <v>4.67</v>
      </c>
      <c r="AC1111" t="s">
        <v>4187</v>
      </c>
      <c r="AD1111">
        <v>48.76</v>
      </c>
      <c r="AE1111" t="s">
        <v>3749</v>
      </c>
      <c r="AF1111">
        <v>3.2</v>
      </c>
      <c r="AG1111">
        <v>0</v>
      </c>
      <c r="AH1111">
        <v>0</v>
      </c>
      <c r="AI1111" s="4">
        <v>40323</v>
      </c>
    </row>
    <row r="1112" spans="1:35">
      <c r="A1112">
        <v>1111</v>
      </c>
      <c r="B1112" t="str">
        <f>"000725"</f>
        <v>000725</v>
      </c>
      <c r="C1112" t="s">
        <v>6771</v>
      </c>
      <c r="D1112" s="4">
        <v>43190</v>
      </c>
      <c r="E1112" t="s">
        <v>3981</v>
      </c>
      <c r="F1112" t="s">
        <v>1888</v>
      </c>
      <c r="G1112" t="s">
        <v>3704</v>
      </c>
      <c r="H1112">
        <v>0.06</v>
      </c>
      <c r="I1112">
        <v>2.4900000000000002</v>
      </c>
      <c r="J1112">
        <v>2.35</v>
      </c>
      <c r="K1112" t="s">
        <v>1654</v>
      </c>
      <c r="L1112">
        <v>-1.32</v>
      </c>
      <c r="M1112" t="s">
        <v>826</v>
      </c>
      <c r="N1112" t="s">
        <v>6772</v>
      </c>
      <c r="O1112" t="s">
        <v>440</v>
      </c>
      <c r="P1112" t="s">
        <v>418</v>
      </c>
      <c r="Q1112">
        <v>-16.34</v>
      </c>
      <c r="R1112" t="s">
        <v>1465</v>
      </c>
      <c r="S1112">
        <v>0.35</v>
      </c>
      <c r="T1112">
        <v>20.77</v>
      </c>
      <c r="U1112" t="s">
        <v>6773</v>
      </c>
      <c r="V1112" t="s">
        <v>6774</v>
      </c>
      <c r="W1112" t="s">
        <v>6775</v>
      </c>
      <c r="X1112">
        <v>2.35</v>
      </c>
      <c r="Y1112" t="s">
        <v>6776</v>
      </c>
      <c r="Z1112" t="s">
        <v>6777</v>
      </c>
      <c r="AA1112" t="s">
        <v>6778</v>
      </c>
      <c r="AB1112">
        <v>1.43</v>
      </c>
      <c r="AC1112" t="s">
        <v>6613</v>
      </c>
      <c r="AD1112">
        <v>32.97</v>
      </c>
      <c r="AE1112" t="s">
        <v>2717</v>
      </c>
      <c r="AF1112">
        <v>1.1100000000000001</v>
      </c>
      <c r="AG1112" t="s">
        <v>6052</v>
      </c>
      <c r="AH1112">
        <v>0</v>
      </c>
      <c r="AI1112" s="4">
        <v>36903</v>
      </c>
    </row>
    <row r="1113" spans="1:35">
      <c r="A1113">
        <v>1112</v>
      </c>
      <c r="B1113" t="str">
        <f>"600018"</f>
        <v>600018</v>
      </c>
      <c r="C1113" t="s">
        <v>6779</v>
      </c>
      <c r="D1113" s="4">
        <v>43190</v>
      </c>
      <c r="E1113" t="s">
        <v>4912</v>
      </c>
      <c r="F1113" t="s">
        <v>4912</v>
      </c>
      <c r="G1113" t="s">
        <v>6780</v>
      </c>
      <c r="H1113">
        <v>7.0000000000000007E-2</v>
      </c>
      <c r="I1113">
        <v>2.91</v>
      </c>
      <c r="J1113">
        <v>2.35</v>
      </c>
      <c r="K1113" t="s">
        <v>4911</v>
      </c>
      <c r="L1113">
        <v>8.15</v>
      </c>
      <c r="M1113" t="s">
        <v>826</v>
      </c>
      <c r="N1113" t="s">
        <v>521</v>
      </c>
      <c r="O1113" t="s">
        <v>2273</v>
      </c>
      <c r="P1113" t="s">
        <v>1052</v>
      </c>
      <c r="Q1113">
        <v>44.62</v>
      </c>
      <c r="R1113" t="s">
        <v>4902</v>
      </c>
      <c r="S1113">
        <v>1.26</v>
      </c>
      <c r="T1113">
        <v>29.52</v>
      </c>
      <c r="U1113" t="s">
        <v>6781</v>
      </c>
      <c r="V1113" t="s">
        <v>3592</v>
      </c>
      <c r="W1113" t="s">
        <v>560</v>
      </c>
      <c r="X1113">
        <v>2.35</v>
      </c>
      <c r="Y1113" t="s">
        <v>5467</v>
      </c>
      <c r="Z1113" t="s">
        <v>3851</v>
      </c>
      <c r="AA1113" t="s">
        <v>2065</v>
      </c>
      <c r="AB1113">
        <v>2.1</v>
      </c>
      <c r="AC1113" t="s">
        <v>6782</v>
      </c>
      <c r="AD1113">
        <v>50.18</v>
      </c>
      <c r="AE1113" t="s">
        <v>1821</v>
      </c>
      <c r="AF1113">
        <v>0.34</v>
      </c>
      <c r="AG1113">
        <v>0</v>
      </c>
      <c r="AH1113">
        <v>0</v>
      </c>
      <c r="AI1113" s="4">
        <v>39016</v>
      </c>
    </row>
    <row r="1114" spans="1:35">
      <c r="A1114">
        <v>1113</v>
      </c>
      <c r="B1114" t="str">
        <f>"603226"</f>
        <v>603226</v>
      </c>
      <c r="C1114" t="s">
        <v>6783</v>
      </c>
      <c r="D1114" s="4">
        <v>43190</v>
      </c>
      <c r="E1114" t="s">
        <v>4742</v>
      </c>
      <c r="F1114" t="s">
        <v>6784</v>
      </c>
      <c r="G1114">
        <v>2903</v>
      </c>
      <c r="H1114">
        <v>0.19</v>
      </c>
      <c r="I1114">
        <v>8.3699999999999992</v>
      </c>
      <c r="J1114">
        <v>2.34</v>
      </c>
      <c r="K1114" t="s">
        <v>2069</v>
      </c>
      <c r="L1114">
        <v>27.26</v>
      </c>
      <c r="M1114" t="s">
        <v>6785</v>
      </c>
      <c r="N1114" t="s">
        <v>6438</v>
      </c>
      <c r="O1114" t="s">
        <v>3583</v>
      </c>
      <c r="P1114" t="s">
        <v>5224</v>
      </c>
      <c r="Q1114">
        <v>130.51</v>
      </c>
      <c r="R1114" t="s">
        <v>535</v>
      </c>
      <c r="S1114">
        <v>3.29</v>
      </c>
      <c r="T1114">
        <v>29.62</v>
      </c>
      <c r="U1114" t="s">
        <v>2414</v>
      </c>
      <c r="V1114" t="s">
        <v>1645</v>
      </c>
      <c r="W1114" t="s">
        <v>1609</v>
      </c>
      <c r="X1114">
        <v>2.34</v>
      </c>
      <c r="Y1114" t="s">
        <v>618</v>
      </c>
      <c r="Z1114" t="s">
        <v>293</v>
      </c>
      <c r="AA1114" t="s">
        <v>3229</v>
      </c>
      <c r="AB1114">
        <v>2.8</v>
      </c>
      <c r="AC1114" t="s">
        <v>1590</v>
      </c>
      <c r="AD1114">
        <v>78.34</v>
      </c>
      <c r="AE1114" t="s">
        <v>1324</v>
      </c>
      <c r="AF1114">
        <v>4.12</v>
      </c>
      <c r="AG1114">
        <v>0</v>
      </c>
      <c r="AH1114">
        <v>0</v>
      </c>
      <c r="AI1114" s="4">
        <v>42901</v>
      </c>
    </row>
    <row r="1115" spans="1:35">
      <c r="A1115">
        <v>1114</v>
      </c>
      <c r="B1115" t="str">
        <f>"603076"</f>
        <v>603076</v>
      </c>
      <c r="C1115" t="s">
        <v>6786</v>
      </c>
      <c r="D1115" s="4">
        <v>43190</v>
      </c>
      <c r="E1115" t="s">
        <v>6673</v>
      </c>
      <c r="F1115" t="s">
        <v>6787</v>
      </c>
      <c r="G1115">
        <v>1983</v>
      </c>
      <c r="H1115">
        <v>0.24</v>
      </c>
      <c r="I1115">
        <v>10.65</v>
      </c>
      <c r="J1115">
        <v>2.34</v>
      </c>
      <c r="K1115" t="s">
        <v>1004</v>
      </c>
      <c r="L1115">
        <v>47.9</v>
      </c>
      <c r="M1115" t="s">
        <v>6788</v>
      </c>
      <c r="N1115" t="s">
        <v>6789</v>
      </c>
      <c r="O1115" t="s">
        <v>6790</v>
      </c>
      <c r="P1115" t="s">
        <v>6791</v>
      </c>
      <c r="Q1115">
        <v>47.38</v>
      </c>
      <c r="R1115" t="s">
        <v>452</v>
      </c>
      <c r="S1115">
        <v>2.0499999999999998</v>
      </c>
      <c r="T1115">
        <v>25.97</v>
      </c>
      <c r="U1115" t="s">
        <v>867</v>
      </c>
      <c r="V1115" t="s">
        <v>80</v>
      </c>
      <c r="W1115" t="s">
        <v>2034</v>
      </c>
      <c r="X1115">
        <v>2.34</v>
      </c>
      <c r="Y1115" t="s">
        <v>2690</v>
      </c>
      <c r="Z1115" t="s">
        <v>2250</v>
      </c>
      <c r="AA1115" t="s">
        <v>6792</v>
      </c>
      <c r="AB1115">
        <v>3.12</v>
      </c>
      <c r="AC1115" t="s">
        <v>4599</v>
      </c>
      <c r="AD1115">
        <v>45.68</v>
      </c>
      <c r="AE1115" t="s">
        <v>1309</v>
      </c>
      <c r="AF1115">
        <v>6.86</v>
      </c>
      <c r="AG1115">
        <v>0</v>
      </c>
      <c r="AH1115">
        <v>0</v>
      </c>
      <c r="AI1115" s="4">
        <v>43052</v>
      </c>
    </row>
    <row r="1116" spans="1:35">
      <c r="A1116">
        <v>1115</v>
      </c>
      <c r="B1116" t="str">
        <f>"600835"</f>
        <v>600835</v>
      </c>
      <c r="C1116" t="s">
        <v>6793</v>
      </c>
      <c r="D1116" s="4">
        <v>43190</v>
      </c>
      <c r="E1116" t="s">
        <v>1496</v>
      </c>
      <c r="F1116" t="s">
        <v>1778</v>
      </c>
      <c r="G1116">
        <v>0</v>
      </c>
      <c r="H1116">
        <v>0.23</v>
      </c>
      <c r="I1116">
        <v>9.65</v>
      </c>
      <c r="J1116">
        <v>2.34</v>
      </c>
      <c r="K1116" t="s">
        <v>1258</v>
      </c>
      <c r="L1116">
        <v>4.93</v>
      </c>
      <c r="M1116" t="s">
        <v>155</v>
      </c>
      <c r="N1116" t="s">
        <v>5030</v>
      </c>
      <c r="O1116" t="s">
        <v>3067</v>
      </c>
      <c r="P1116" t="s">
        <v>668</v>
      </c>
      <c r="Q1116">
        <v>-0.08</v>
      </c>
      <c r="R1116" t="s">
        <v>1104</v>
      </c>
      <c r="S1116">
        <v>5.35</v>
      </c>
      <c r="T1116">
        <v>20.36</v>
      </c>
      <c r="U1116" t="s">
        <v>4082</v>
      </c>
      <c r="V1116" t="s">
        <v>2858</v>
      </c>
      <c r="W1116" t="s">
        <v>908</v>
      </c>
      <c r="X1116">
        <v>2.34</v>
      </c>
      <c r="Y1116" t="s">
        <v>2599</v>
      </c>
      <c r="Z1116" t="s">
        <v>5133</v>
      </c>
      <c r="AA1116" t="s">
        <v>2098</v>
      </c>
      <c r="AB1116">
        <v>1.96</v>
      </c>
      <c r="AC1116" t="s">
        <v>252</v>
      </c>
      <c r="AD1116">
        <v>30.69</v>
      </c>
      <c r="AE1116" t="s">
        <v>1843</v>
      </c>
      <c r="AF1116">
        <v>1.99</v>
      </c>
      <c r="AG1116" t="s">
        <v>1287</v>
      </c>
      <c r="AH1116">
        <v>0</v>
      </c>
      <c r="AI1116" s="4">
        <v>34389</v>
      </c>
    </row>
    <row r="1117" spans="1:35">
      <c r="A1117">
        <v>1116</v>
      </c>
      <c r="B1117" t="str">
        <f>"600824"</f>
        <v>600824</v>
      </c>
      <c r="C1117" t="s">
        <v>6794</v>
      </c>
      <c r="D1117" s="4">
        <v>43190</v>
      </c>
      <c r="E1117" t="s">
        <v>407</v>
      </c>
      <c r="F1117" t="s">
        <v>407</v>
      </c>
      <c r="G1117" t="s">
        <v>1199</v>
      </c>
      <c r="H1117">
        <v>0.05</v>
      </c>
      <c r="I1117">
        <v>2.08</v>
      </c>
      <c r="J1117">
        <v>2.34</v>
      </c>
      <c r="K1117" t="s">
        <v>662</v>
      </c>
      <c r="L1117">
        <v>-22.03</v>
      </c>
      <c r="M1117" t="s">
        <v>6795</v>
      </c>
      <c r="N1117" t="s">
        <v>6796</v>
      </c>
      <c r="O1117" t="s">
        <v>4349</v>
      </c>
      <c r="P1117" t="s">
        <v>3256</v>
      </c>
      <c r="Q1117">
        <v>0.66</v>
      </c>
      <c r="R1117" t="s">
        <v>1162</v>
      </c>
      <c r="S1117">
        <v>0.73</v>
      </c>
      <c r="T1117">
        <v>43.07</v>
      </c>
      <c r="U1117" t="s">
        <v>1242</v>
      </c>
      <c r="V1117" t="s">
        <v>350</v>
      </c>
      <c r="W1117" t="s">
        <v>2123</v>
      </c>
      <c r="X1117">
        <v>2.34</v>
      </c>
      <c r="Y1117" t="s">
        <v>2177</v>
      </c>
      <c r="Z1117" t="s">
        <v>5195</v>
      </c>
      <c r="AA1117" t="s">
        <v>6797</v>
      </c>
      <c r="AB1117">
        <v>1.66</v>
      </c>
      <c r="AC1117" t="s">
        <v>2568</v>
      </c>
      <c r="AD1117">
        <v>74.319999999999993</v>
      </c>
      <c r="AE1117" t="s">
        <v>610</v>
      </c>
      <c r="AF1117">
        <v>0.15</v>
      </c>
      <c r="AG1117">
        <v>0</v>
      </c>
      <c r="AH1117">
        <v>0</v>
      </c>
      <c r="AI1117" s="4">
        <v>34369</v>
      </c>
    </row>
    <row r="1118" spans="1:35">
      <c r="A1118">
        <v>1117</v>
      </c>
      <c r="B1118" t="str">
        <f>"600594"</f>
        <v>600594</v>
      </c>
      <c r="C1118" t="s">
        <v>6798</v>
      </c>
      <c r="D1118" s="4">
        <v>43190</v>
      </c>
      <c r="E1118" t="s">
        <v>2621</v>
      </c>
      <c r="F1118" t="s">
        <v>2621</v>
      </c>
      <c r="G1118" t="s">
        <v>3064</v>
      </c>
      <c r="H1118">
        <v>0.13</v>
      </c>
      <c r="I1118">
        <v>5.53</v>
      </c>
      <c r="J1118">
        <v>2.34</v>
      </c>
      <c r="K1118" t="s">
        <v>1976</v>
      </c>
      <c r="L1118">
        <v>3.53</v>
      </c>
      <c r="M1118" t="s">
        <v>209</v>
      </c>
      <c r="N1118">
        <v>0</v>
      </c>
      <c r="O1118" t="s">
        <v>209</v>
      </c>
      <c r="P1118" t="s">
        <v>651</v>
      </c>
      <c r="Q1118">
        <v>0.52</v>
      </c>
      <c r="R1118" t="s">
        <v>2542</v>
      </c>
      <c r="S1118">
        <v>3.21</v>
      </c>
      <c r="T1118">
        <v>74.819999999999993</v>
      </c>
      <c r="U1118" t="s">
        <v>2493</v>
      </c>
      <c r="V1118" t="s">
        <v>158</v>
      </c>
      <c r="W1118" t="s">
        <v>848</v>
      </c>
      <c r="X1118">
        <v>2.34</v>
      </c>
      <c r="Y1118" t="s">
        <v>1785</v>
      </c>
      <c r="Z1118" t="s">
        <v>754</v>
      </c>
      <c r="AA1118" t="s">
        <v>6799</v>
      </c>
      <c r="AB1118">
        <v>1.54</v>
      </c>
      <c r="AC1118" t="s">
        <v>1819</v>
      </c>
      <c r="AD1118">
        <v>58.87</v>
      </c>
      <c r="AE1118" t="s">
        <v>2693</v>
      </c>
      <c r="AF1118">
        <v>0.97</v>
      </c>
      <c r="AG1118">
        <v>0</v>
      </c>
      <c r="AH1118">
        <v>0</v>
      </c>
      <c r="AI1118" s="4">
        <v>38069</v>
      </c>
    </row>
    <row r="1119" spans="1:35">
      <c r="A1119">
        <v>1118</v>
      </c>
      <c r="B1119" t="str">
        <f>"300388"</f>
        <v>300388</v>
      </c>
      <c r="C1119" t="s">
        <v>6800</v>
      </c>
      <c r="D1119" s="4">
        <v>43190</v>
      </c>
      <c r="E1119" t="s">
        <v>1152</v>
      </c>
      <c r="F1119" t="s">
        <v>2132</v>
      </c>
      <c r="G1119" t="s">
        <v>4389</v>
      </c>
      <c r="H1119">
        <v>0.15</v>
      </c>
      <c r="I1119">
        <v>6.05</v>
      </c>
      <c r="J1119">
        <v>2.34</v>
      </c>
      <c r="K1119" t="s">
        <v>2431</v>
      </c>
      <c r="L1119">
        <v>87.52</v>
      </c>
      <c r="M1119" t="s">
        <v>6801</v>
      </c>
      <c r="N1119" t="s">
        <v>6802</v>
      </c>
      <c r="O1119" t="s">
        <v>6803</v>
      </c>
      <c r="P1119" t="s">
        <v>6804</v>
      </c>
      <c r="Q1119">
        <v>110.73</v>
      </c>
      <c r="R1119" t="s">
        <v>627</v>
      </c>
      <c r="S1119">
        <v>2.44</v>
      </c>
      <c r="T1119">
        <v>24.16</v>
      </c>
      <c r="U1119" t="s">
        <v>2003</v>
      </c>
      <c r="V1119" t="s">
        <v>2515</v>
      </c>
      <c r="W1119" t="s">
        <v>262</v>
      </c>
      <c r="X1119">
        <v>2.34</v>
      </c>
      <c r="Y1119" t="s">
        <v>4937</v>
      </c>
      <c r="Z1119" t="s">
        <v>1661</v>
      </c>
      <c r="AA1119" t="s">
        <v>2700</v>
      </c>
      <c r="AB1119">
        <v>3.11</v>
      </c>
      <c r="AC1119" t="s">
        <v>1284</v>
      </c>
      <c r="AD1119">
        <v>24.04</v>
      </c>
      <c r="AE1119" t="s">
        <v>358</v>
      </c>
      <c r="AF1119">
        <v>2.65</v>
      </c>
      <c r="AG1119">
        <v>0</v>
      </c>
      <c r="AH1119">
        <v>0</v>
      </c>
      <c r="AI1119" s="4">
        <v>41852</v>
      </c>
    </row>
    <row r="1120" spans="1:35">
      <c r="A1120">
        <v>1119</v>
      </c>
      <c r="B1120" t="str">
        <f>"002119"</f>
        <v>002119</v>
      </c>
      <c r="C1120" t="s">
        <v>6805</v>
      </c>
      <c r="D1120" s="4">
        <v>43190</v>
      </c>
      <c r="E1120" t="s">
        <v>1970</v>
      </c>
      <c r="F1120" t="s">
        <v>1853</v>
      </c>
      <c r="G1120" t="s">
        <v>2258</v>
      </c>
      <c r="H1120">
        <v>0.08</v>
      </c>
      <c r="I1120">
        <v>3.67</v>
      </c>
      <c r="J1120">
        <v>2.34</v>
      </c>
      <c r="K1120" t="s">
        <v>1074</v>
      </c>
      <c r="L1120">
        <v>27.95</v>
      </c>
      <c r="M1120" t="s">
        <v>6806</v>
      </c>
      <c r="N1120">
        <v>-149</v>
      </c>
      <c r="O1120" t="s">
        <v>6807</v>
      </c>
      <c r="P1120" t="s">
        <v>6808</v>
      </c>
      <c r="Q1120">
        <v>28.87</v>
      </c>
      <c r="R1120" t="s">
        <v>492</v>
      </c>
      <c r="S1120">
        <v>1.27</v>
      </c>
      <c r="T1120">
        <v>21.33</v>
      </c>
      <c r="U1120" t="s">
        <v>1052</v>
      </c>
      <c r="V1120" t="s">
        <v>2233</v>
      </c>
      <c r="W1120" t="s">
        <v>6809</v>
      </c>
      <c r="X1120">
        <v>2.34</v>
      </c>
      <c r="Y1120" t="s">
        <v>605</v>
      </c>
      <c r="Z1120" t="s">
        <v>2148</v>
      </c>
      <c r="AA1120" t="s">
        <v>6810</v>
      </c>
      <c r="AB1120">
        <v>4.1100000000000003</v>
      </c>
      <c r="AC1120" t="s">
        <v>1938</v>
      </c>
      <c r="AD1120">
        <v>45.89</v>
      </c>
      <c r="AE1120" t="s">
        <v>474</v>
      </c>
      <c r="AF1120">
        <v>1.19</v>
      </c>
      <c r="AG1120">
        <v>0</v>
      </c>
      <c r="AH1120">
        <v>0</v>
      </c>
      <c r="AI1120" s="4">
        <v>39143</v>
      </c>
    </row>
    <row r="1121" spans="1:35">
      <c r="A1121">
        <v>1120</v>
      </c>
      <c r="B1121" t="str">
        <f>"000421"</f>
        <v>000421</v>
      </c>
      <c r="C1121" t="s">
        <v>6811</v>
      </c>
      <c r="D1121" s="4">
        <v>43190</v>
      </c>
      <c r="E1121" t="s">
        <v>2586</v>
      </c>
      <c r="F1121" t="s">
        <v>2586</v>
      </c>
      <c r="G1121" t="s">
        <v>3475</v>
      </c>
      <c r="H1121">
        <v>0.1</v>
      </c>
      <c r="I1121">
        <v>4.34</v>
      </c>
      <c r="J1121">
        <v>2.34</v>
      </c>
      <c r="K1121" t="s">
        <v>895</v>
      </c>
      <c r="L1121">
        <v>2.2400000000000002</v>
      </c>
      <c r="M1121" t="s">
        <v>1475</v>
      </c>
      <c r="N1121" t="s">
        <v>6812</v>
      </c>
      <c r="O1121" t="s">
        <v>533</v>
      </c>
      <c r="P1121" t="s">
        <v>6813</v>
      </c>
      <c r="Q1121">
        <v>24.84</v>
      </c>
      <c r="R1121" t="s">
        <v>971</v>
      </c>
      <c r="S1121">
        <v>2.35</v>
      </c>
      <c r="T1121">
        <v>18.8</v>
      </c>
      <c r="U1121" t="s">
        <v>586</v>
      </c>
      <c r="V1121" t="s">
        <v>2167</v>
      </c>
      <c r="W1121" t="s">
        <v>2499</v>
      </c>
      <c r="X1121">
        <v>2.34</v>
      </c>
      <c r="Y1121" t="s">
        <v>2493</v>
      </c>
      <c r="Z1121" t="s">
        <v>3826</v>
      </c>
      <c r="AA1121" t="s">
        <v>1216</v>
      </c>
      <c r="AB1121">
        <v>1.06</v>
      </c>
      <c r="AC1121" t="s">
        <v>1347</v>
      </c>
      <c r="AD1121">
        <v>23.04</v>
      </c>
      <c r="AE1121" t="s">
        <v>365</v>
      </c>
      <c r="AF1121">
        <v>0.71</v>
      </c>
      <c r="AG1121">
        <v>0</v>
      </c>
      <c r="AH1121">
        <v>0</v>
      </c>
      <c r="AI1121" s="4">
        <v>35283</v>
      </c>
    </row>
    <row r="1122" spans="1:35">
      <c r="A1122">
        <v>1121</v>
      </c>
      <c r="B1122" t="str">
        <f>"603039"</f>
        <v>603039</v>
      </c>
      <c r="C1122" t="s">
        <v>6814</v>
      </c>
      <c r="D1122" s="4">
        <v>43190</v>
      </c>
      <c r="E1122" t="s">
        <v>197</v>
      </c>
      <c r="F1122" t="s">
        <v>6815</v>
      </c>
      <c r="G1122">
        <v>5599</v>
      </c>
      <c r="H1122">
        <v>0.14000000000000001</v>
      </c>
      <c r="I1122">
        <v>5.89</v>
      </c>
      <c r="J1122">
        <v>2.33</v>
      </c>
      <c r="K1122" t="s">
        <v>382</v>
      </c>
      <c r="L1122">
        <v>46.29</v>
      </c>
      <c r="M1122" t="s">
        <v>6816</v>
      </c>
      <c r="N1122" t="s">
        <v>6817</v>
      </c>
      <c r="O1122" t="s">
        <v>5580</v>
      </c>
      <c r="P1122" t="s">
        <v>6818</v>
      </c>
      <c r="Q1122">
        <v>21.18</v>
      </c>
      <c r="R1122" t="s">
        <v>1791</v>
      </c>
      <c r="S1122">
        <v>2.85</v>
      </c>
      <c r="T1122">
        <v>95.48</v>
      </c>
      <c r="U1122" t="s">
        <v>101</v>
      </c>
      <c r="V1122" t="s">
        <v>4568</v>
      </c>
      <c r="W1122" t="s">
        <v>2115</v>
      </c>
      <c r="X1122">
        <v>2.33</v>
      </c>
      <c r="Y1122" t="s">
        <v>359</v>
      </c>
      <c r="Z1122" t="s">
        <v>1935</v>
      </c>
      <c r="AA1122" t="s">
        <v>6819</v>
      </c>
      <c r="AB1122">
        <v>12.26</v>
      </c>
      <c r="AC1122" t="s">
        <v>1241</v>
      </c>
      <c r="AD1122">
        <v>47.62</v>
      </c>
      <c r="AE1122" t="s">
        <v>286</v>
      </c>
      <c r="AF1122">
        <v>2.5099999999999998</v>
      </c>
      <c r="AG1122">
        <v>0</v>
      </c>
      <c r="AH1122">
        <v>0</v>
      </c>
      <c r="AI1122" s="4">
        <v>42748</v>
      </c>
    </row>
    <row r="1123" spans="1:35">
      <c r="A1123">
        <v>1122</v>
      </c>
      <c r="B1123" t="str">
        <f>"600929"</f>
        <v>600929</v>
      </c>
      <c r="C1123" t="s">
        <v>6820</v>
      </c>
      <c r="D1123" s="4">
        <v>43190</v>
      </c>
      <c r="E1123" t="s">
        <v>5537</v>
      </c>
      <c r="F1123" t="s">
        <v>609</v>
      </c>
      <c r="G1123">
        <v>1075</v>
      </c>
      <c r="H1123">
        <v>0.05</v>
      </c>
      <c r="I1123">
        <v>2.56</v>
      </c>
      <c r="J1123">
        <v>2.33</v>
      </c>
      <c r="K1123" t="s">
        <v>2789</v>
      </c>
      <c r="L1123">
        <v>2.0099999999999998</v>
      </c>
      <c r="M1123" t="s">
        <v>6821</v>
      </c>
      <c r="N1123">
        <v>0</v>
      </c>
      <c r="O1123" t="s">
        <v>3813</v>
      </c>
      <c r="P1123" t="s">
        <v>6519</v>
      </c>
      <c r="Q1123">
        <v>-1.88</v>
      </c>
      <c r="R1123" t="s">
        <v>869</v>
      </c>
      <c r="S1123">
        <v>0.83</v>
      </c>
      <c r="T1123">
        <v>52.08</v>
      </c>
      <c r="U1123" t="s">
        <v>3562</v>
      </c>
      <c r="V1123" t="s">
        <v>840</v>
      </c>
      <c r="W1123" t="s">
        <v>173</v>
      </c>
      <c r="X1123">
        <v>2.33</v>
      </c>
      <c r="Y1123" t="s">
        <v>147</v>
      </c>
      <c r="Z1123" t="s">
        <v>1521</v>
      </c>
      <c r="AA1123" t="s">
        <v>2222</v>
      </c>
      <c r="AB1123">
        <v>5.92</v>
      </c>
      <c r="AC1123" t="s">
        <v>244</v>
      </c>
      <c r="AD1123">
        <v>64.790000000000006</v>
      </c>
      <c r="AE1123" t="s">
        <v>1965</v>
      </c>
      <c r="AF1123">
        <v>0.63</v>
      </c>
      <c r="AG1123">
        <v>0</v>
      </c>
      <c r="AH1123">
        <v>0</v>
      </c>
      <c r="AI1123" s="4">
        <v>43185</v>
      </c>
    </row>
    <row r="1124" spans="1:35">
      <c r="A1124">
        <v>1123</v>
      </c>
      <c r="B1124" t="str">
        <f>"002697"</f>
        <v>002697</v>
      </c>
      <c r="C1124" t="s">
        <v>6822</v>
      </c>
      <c r="D1124" s="4">
        <v>43190</v>
      </c>
      <c r="E1124" t="s">
        <v>350</v>
      </c>
      <c r="F1124" t="s">
        <v>5703</v>
      </c>
      <c r="G1124" t="s">
        <v>5347</v>
      </c>
      <c r="H1124">
        <v>0.04</v>
      </c>
      <c r="I1124">
        <v>1.72</v>
      </c>
      <c r="J1124">
        <v>2.3199999999999998</v>
      </c>
      <c r="K1124" t="s">
        <v>980</v>
      </c>
      <c r="L1124">
        <v>6.11</v>
      </c>
      <c r="M1124" t="s">
        <v>6823</v>
      </c>
      <c r="N1124" t="s">
        <v>6824</v>
      </c>
      <c r="O1124" t="s">
        <v>6825</v>
      </c>
      <c r="P1124" t="s">
        <v>6498</v>
      </c>
      <c r="Q1124">
        <v>38.409999999999997</v>
      </c>
      <c r="R1124" t="s">
        <v>619</v>
      </c>
      <c r="S1124">
        <v>0.59</v>
      </c>
      <c r="T1124">
        <v>27.39</v>
      </c>
      <c r="U1124" t="s">
        <v>1170</v>
      </c>
      <c r="V1124" t="s">
        <v>826</v>
      </c>
      <c r="W1124" t="s">
        <v>354</v>
      </c>
      <c r="X1124">
        <v>2.3199999999999998</v>
      </c>
      <c r="Y1124" t="s">
        <v>419</v>
      </c>
      <c r="Z1124" t="s">
        <v>419</v>
      </c>
      <c r="AA1124">
        <v>0</v>
      </c>
      <c r="AB1124">
        <v>2.99</v>
      </c>
      <c r="AC1124" t="s">
        <v>2273</v>
      </c>
      <c r="AD1124">
        <v>54.76</v>
      </c>
      <c r="AE1124" t="s">
        <v>6826</v>
      </c>
      <c r="AF1124">
        <v>0.03</v>
      </c>
      <c r="AG1124">
        <v>0</v>
      </c>
      <c r="AH1124">
        <v>0</v>
      </c>
      <c r="AI1124" s="4">
        <v>41157</v>
      </c>
    </row>
    <row r="1125" spans="1:35">
      <c r="A1125">
        <v>1124</v>
      </c>
      <c r="B1125" t="str">
        <f>"002437"</f>
        <v>002437</v>
      </c>
      <c r="C1125" t="s">
        <v>6827</v>
      </c>
      <c r="D1125" s="4">
        <v>43190</v>
      </c>
      <c r="E1125" t="s">
        <v>1875</v>
      </c>
      <c r="F1125" t="s">
        <v>2753</v>
      </c>
      <c r="G1125" t="s">
        <v>1921</v>
      </c>
      <c r="H1125">
        <v>0.04</v>
      </c>
      <c r="I1125">
        <v>1.94</v>
      </c>
      <c r="J1125">
        <v>2.3199999999999998</v>
      </c>
      <c r="K1125" t="s">
        <v>625</v>
      </c>
      <c r="L1125">
        <v>99.94</v>
      </c>
      <c r="M1125" t="s">
        <v>355</v>
      </c>
      <c r="N1125" t="s">
        <v>6828</v>
      </c>
      <c r="O1125" t="s">
        <v>443</v>
      </c>
      <c r="P1125" t="s">
        <v>6829</v>
      </c>
      <c r="Q1125">
        <v>-18.940000000000001</v>
      </c>
      <c r="R1125" t="s">
        <v>162</v>
      </c>
      <c r="S1125">
        <v>0.65</v>
      </c>
      <c r="T1125">
        <v>72.62</v>
      </c>
      <c r="U1125" t="s">
        <v>717</v>
      </c>
      <c r="V1125" t="s">
        <v>565</v>
      </c>
      <c r="W1125" t="s">
        <v>867</v>
      </c>
      <c r="X1125">
        <v>2.3199999999999998</v>
      </c>
      <c r="Y1125" t="s">
        <v>4509</v>
      </c>
      <c r="Z1125" t="s">
        <v>1175</v>
      </c>
      <c r="AA1125" t="s">
        <v>391</v>
      </c>
      <c r="AB1125">
        <v>3.2</v>
      </c>
      <c r="AC1125" t="s">
        <v>2105</v>
      </c>
      <c r="AD1125">
        <v>45.7</v>
      </c>
      <c r="AE1125" t="s">
        <v>1035</v>
      </c>
      <c r="AF1125">
        <v>0.17</v>
      </c>
      <c r="AG1125">
        <v>0</v>
      </c>
      <c r="AH1125">
        <v>0</v>
      </c>
      <c r="AI1125" s="4">
        <v>40352</v>
      </c>
    </row>
    <row r="1126" spans="1:35">
      <c r="A1126">
        <v>1125</v>
      </c>
      <c r="B1126" t="str">
        <f>"000155"</f>
        <v>000155</v>
      </c>
      <c r="C1126" t="s">
        <v>6830</v>
      </c>
      <c r="D1126" s="4">
        <v>43190</v>
      </c>
      <c r="E1126" t="s">
        <v>1082</v>
      </c>
      <c r="F1126" t="s">
        <v>2250</v>
      </c>
      <c r="G1126" t="s">
        <v>723</v>
      </c>
      <c r="H1126">
        <v>0.06</v>
      </c>
      <c r="I1126">
        <v>2.4300000000000002</v>
      </c>
      <c r="J1126">
        <v>2.3199999999999998</v>
      </c>
      <c r="K1126" t="s">
        <v>173</v>
      </c>
      <c r="L1126">
        <v>30.15</v>
      </c>
      <c r="M1126" t="s">
        <v>322</v>
      </c>
      <c r="N1126" t="s">
        <v>6831</v>
      </c>
      <c r="O1126" t="s">
        <v>322</v>
      </c>
      <c r="P1126" t="s">
        <v>2302</v>
      </c>
      <c r="Q1126">
        <v>10.029999999999999</v>
      </c>
      <c r="R1126" t="s">
        <v>6832</v>
      </c>
      <c r="S1126">
        <v>-1.34</v>
      </c>
      <c r="T1126">
        <v>11.26</v>
      </c>
      <c r="U1126" t="s">
        <v>2492</v>
      </c>
      <c r="V1126" t="s">
        <v>948</v>
      </c>
      <c r="W1126" t="s">
        <v>1294</v>
      </c>
      <c r="X1126">
        <v>2.3199999999999998</v>
      </c>
      <c r="Y1126" t="s">
        <v>612</v>
      </c>
      <c r="Z1126" t="s">
        <v>971</v>
      </c>
      <c r="AA1126" t="s">
        <v>877</v>
      </c>
      <c r="AB1126">
        <v>2.48</v>
      </c>
      <c r="AC1126" t="s">
        <v>2071</v>
      </c>
      <c r="AD1126">
        <v>42.6</v>
      </c>
      <c r="AE1126" t="s">
        <v>818</v>
      </c>
      <c r="AF1126">
        <v>2.58</v>
      </c>
      <c r="AG1126">
        <v>0</v>
      </c>
      <c r="AH1126">
        <v>0</v>
      </c>
      <c r="AI1126" s="4">
        <v>36795</v>
      </c>
    </row>
    <row r="1127" spans="1:35">
      <c r="A1127">
        <v>1126</v>
      </c>
      <c r="B1127" t="str">
        <f>"601116"</f>
        <v>601116</v>
      </c>
      <c r="C1127" t="s">
        <v>6833</v>
      </c>
      <c r="D1127" s="4">
        <v>43190</v>
      </c>
      <c r="E1127" t="s">
        <v>3027</v>
      </c>
      <c r="F1127" t="s">
        <v>498</v>
      </c>
      <c r="G1127">
        <v>8451</v>
      </c>
      <c r="H1127">
        <v>0.09</v>
      </c>
      <c r="I1127">
        <v>3.88</v>
      </c>
      <c r="J1127">
        <v>2.3199999999999998</v>
      </c>
      <c r="K1127" t="s">
        <v>147</v>
      </c>
      <c r="L1127">
        <v>6.32</v>
      </c>
      <c r="M1127" t="s">
        <v>6834</v>
      </c>
      <c r="N1127" t="s">
        <v>484</v>
      </c>
      <c r="O1127" t="s">
        <v>6692</v>
      </c>
      <c r="P1127" t="s">
        <v>4736</v>
      </c>
      <c r="Q1127">
        <v>-4.6900000000000004</v>
      </c>
      <c r="R1127" t="s">
        <v>1006</v>
      </c>
      <c r="S1127">
        <v>0.95</v>
      </c>
      <c r="T1127">
        <v>24.06</v>
      </c>
      <c r="U1127" t="s">
        <v>2064</v>
      </c>
      <c r="V1127" t="s">
        <v>516</v>
      </c>
      <c r="W1127" t="s">
        <v>2620</v>
      </c>
      <c r="X1127">
        <v>2.3199999999999998</v>
      </c>
      <c r="Y1127" t="s">
        <v>161</v>
      </c>
      <c r="Z1127" t="s">
        <v>162</v>
      </c>
      <c r="AA1127" t="s">
        <v>6835</v>
      </c>
      <c r="AB1127">
        <v>4.0999999999999996</v>
      </c>
      <c r="AC1127" t="s">
        <v>1569</v>
      </c>
      <c r="AD1127">
        <v>53.86</v>
      </c>
      <c r="AE1127" t="s">
        <v>1405</v>
      </c>
      <c r="AF1127">
        <v>1.64</v>
      </c>
      <c r="AG1127">
        <v>0</v>
      </c>
      <c r="AH1127">
        <v>0</v>
      </c>
      <c r="AI1127" s="4">
        <v>40604</v>
      </c>
    </row>
    <row r="1128" spans="1:35">
      <c r="A1128">
        <v>1127</v>
      </c>
      <c r="B1128" t="str">
        <f>"600308"</f>
        <v>600308</v>
      </c>
      <c r="C1128" t="s">
        <v>6836</v>
      </c>
      <c r="D1128" s="4">
        <v>43190</v>
      </c>
      <c r="E1128" t="s">
        <v>192</v>
      </c>
      <c r="F1128" t="s">
        <v>192</v>
      </c>
      <c r="G1128" t="s">
        <v>2506</v>
      </c>
      <c r="H1128">
        <v>0.14000000000000001</v>
      </c>
      <c r="I1128">
        <v>6.27</v>
      </c>
      <c r="J1128">
        <v>2.31</v>
      </c>
      <c r="K1128" t="s">
        <v>1890</v>
      </c>
      <c r="L1128">
        <v>17.14</v>
      </c>
      <c r="M1128" t="s">
        <v>1417</v>
      </c>
      <c r="N1128" t="s">
        <v>5136</v>
      </c>
      <c r="O1128" t="s">
        <v>696</v>
      </c>
      <c r="P1128" t="s">
        <v>321</v>
      </c>
      <c r="Q1128">
        <v>34.85</v>
      </c>
      <c r="R1128" t="s">
        <v>2238</v>
      </c>
      <c r="S1128">
        <v>2.82</v>
      </c>
      <c r="T1128">
        <v>13.85</v>
      </c>
      <c r="U1128" t="s">
        <v>412</v>
      </c>
      <c r="V1128" t="s">
        <v>6837</v>
      </c>
      <c r="W1128" t="s">
        <v>1617</v>
      </c>
      <c r="X1128">
        <v>2.31</v>
      </c>
      <c r="Y1128" t="s">
        <v>1253</v>
      </c>
      <c r="Z1128" t="s">
        <v>2225</v>
      </c>
      <c r="AA1128" t="s">
        <v>1190</v>
      </c>
      <c r="AB1128">
        <v>0.82</v>
      </c>
      <c r="AC1128" t="s">
        <v>4997</v>
      </c>
      <c r="AD1128">
        <v>51.01</v>
      </c>
      <c r="AE1128" t="s">
        <v>243</v>
      </c>
      <c r="AF1128">
        <v>1.92</v>
      </c>
      <c r="AG1128">
        <v>0</v>
      </c>
      <c r="AH1128">
        <v>0</v>
      </c>
      <c r="AI1128" s="4">
        <v>36797</v>
      </c>
    </row>
    <row r="1129" spans="1:35">
      <c r="A1129">
        <v>1128</v>
      </c>
      <c r="B1129" t="str">
        <f>"603136"</f>
        <v>603136</v>
      </c>
      <c r="C1129" t="s">
        <v>6838</v>
      </c>
      <c r="D1129" s="4">
        <v>43190</v>
      </c>
      <c r="E1129" t="s">
        <v>2575</v>
      </c>
      <c r="F1129" t="s">
        <v>2576</v>
      </c>
      <c r="G1129">
        <v>1921</v>
      </c>
      <c r="H1129">
        <v>0.22</v>
      </c>
      <c r="I1129">
        <v>9.25</v>
      </c>
      <c r="J1129">
        <v>2.31</v>
      </c>
      <c r="K1129" t="s">
        <v>6839</v>
      </c>
      <c r="L1129">
        <v>2.77</v>
      </c>
      <c r="M1129" t="s">
        <v>5628</v>
      </c>
      <c r="N1129">
        <v>0</v>
      </c>
      <c r="O1129" t="s">
        <v>6840</v>
      </c>
      <c r="P1129" t="s">
        <v>6841</v>
      </c>
      <c r="Q1129">
        <v>28.46</v>
      </c>
      <c r="R1129" t="s">
        <v>296</v>
      </c>
      <c r="S1129">
        <v>3.37</v>
      </c>
      <c r="T1129">
        <v>56.24</v>
      </c>
      <c r="U1129" t="s">
        <v>1223</v>
      </c>
      <c r="V1129" t="s">
        <v>470</v>
      </c>
      <c r="W1129" t="s">
        <v>615</v>
      </c>
      <c r="X1129">
        <v>2.31</v>
      </c>
      <c r="Y1129" t="s">
        <v>2387</v>
      </c>
      <c r="Z1129" t="s">
        <v>1370</v>
      </c>
      <c r="AA1129" t="s">
        <v>86</v>
      </c>
      <c r="AB1129">
        <v>3.62</v>
      </c>
      <c r="AC1129" t="s">
        <v>6262</v>
      </c>
      <c r="AD1129">
        <v>70.53</v>
      </c>
      <c r="AE1129" t="s">
        <v>314</v>
      </c>
      <c r="AF1129">
        <v>4.45</v>
      </c>
      <c r="AG1129">
        <v>0</v>
      </c>
      <c r="AH1129">
        <v>0</v>
      </c>
      <c r="AI1129" s="4">
        <v>43005</v>
      </c>
    </row>
    <row r="1130" spans="1:35">
      <c r="A1130">
        <v>1129</v>
      </c>
      <c r="B1130" t="str">
        <f>"600970"</f>
        <v>600970</v>
      </c>
      <c r="C1130" t="s">
        <v>6842</v>
      </c>
      <c r="D1130" s="4">
        <v>43190</v>
      </c>
      <c r="E1130" t="s">
        <v>1343</v>
      </c>
      <c r="F1130" t="s">
        <v>1569</v>
      </c>
      <c r="G1130" t="s">
        <v>427</v>
      </c>
      <c r="H1130">
        <v>0.1</v>
      </c>
      <c r="I1130">
        <v>4.25</v>
      </c>
      <c r="J1130">
        <v>2.31</v>
      </c>
      <c r="K1130" t="s">
        <v>1574</v>
      </c>
      <c r="L1130">
        <v>15.29</v>
      </c>
      <c r="M1130" t="s">
        <v>1004</v>
      </c>
      <c r="N1130" t="s">
        <v>6843</v>
      </c>
      <c r="O1130" t="s">
        <v>1484</v>
      </c>
      <c r="P1130" t="s">
        <v>1597</v>
      </c>
      <c r="Q1130">
        <v>18.09</v>
      </c>
      <c r="R1130" t="s">
        <v>2005</v>
      </c>
      <c r="S1130">
        <v>2.4500000000000002</v>
      </c>
      <c r="T1130">
        <v>18.3</v>
      </c>
      <c r="U1130" t="s">
        <v>394</v>
      </c>
      <c r="V1130" t="s">
        <v>1193</v>
      </c>
      <c r="W1130" t="s">
        <v>275</v>
      </c>
      <c r="X1130">
        <v>2.31</v>
      </c>
      <c r="Y1130" t="s">
        <v>2863</v>
      </c>
      <c r="Z1130" t="s">
        <v>388</v>
      </c>
      <c r="AA1130" t="s">
        <v>2028</v>
      </c>
      <c r="AB1130">
        <v>1.51</v>
      </c>
      <c r="AC1130" t="s">
        <v>836</v>
      </c>
      <c r="AD1130">
        <v>24.61</v>
      </c>
      <c r="AE1130" t="s">
        <v>978</v>
      </c>
      <c r="AF1130">
        <v>0.59</v>
      </c>
      <c r="AG1130">
        <v>0</v>
      </c>
      <c r="AH1130">
        <v>0</v>
      </c>
      <c r="AI1130" s="4">
        <v>38454</v>
      </c>
    </row>
    <row r="1131" spans="1:35">
      <c r="A1131">
        <v>1130</v>
      </c>
      <c r="B1131" t="str">
        <f>"600639"</f>
        <v>600639</v>
      </c>
      <c r="C1131" t="s">
        <v>6844</v>
      </c>
      <c r="D1131" s="4">
        <v>43190</v>
      </c>
      <c r="E1131" t="s">
        <v>147</v>
      </c>
      <c r="F1131" t="s">
        <v>2778</v>
      </c>
      <c r="G1131">
        <v>0</v>
      </c>
      <c r="H1131">
        <v>0.18</v>
      </c>
      <c r="I1131">
        <v>7.98</v>
      </c>
      <c r="J1131">
        <v>2.31</v>
      </c>
      <c r="K1131" t="s">
        <v>3376</v>
      </c>
      <c r="L1131">
        <v>-4.82</v>
      </c>
      <c r="M1131" t="s">
        <v>958</v>
      </c>
      <c r="N1131" t="s">
        <v>2508</v>
      </c>
      <c r="O1131" t="s">
        <v>958</v>
      </c>
      <c r="P1131" t="s">
        <v>618</v>
      </c>
      <c r="Q1131">
        <v>2.79</v>
      </c>
      <c r="R1131" t="s">
        <v>447</v>
      </c>
      <c r="S1131">
        <v>3.49</v>
      </c>
      <c r="T1131">
        <v>75.989999999999995</v>
      </c>
      <c r="U1131" t="s">
        <v>1749</v>
      </c>
      <c r="V1131" t="s">
        <v>573</v>
      </c>
      <c r="W1131" t="s">
        <v>4514</v>
      </c>
      <c r="X1131">
        <v>2.31</v>
      </c>
      <c r="Y1131" t="s">
        <v>689</v>
      </c>
      <c r="Z1131" t="s">
        <v>6205</v>
      </c>
      <c r="AA1131" t="s">
        <v>245</v>
      </c>
      <c r="AB1131">
        <v>1.56</v>
      </c>
      <c r="AC1131" t="s">
        <v>6845</v>
      </c>
      <c r="AD1131">
        <v>43.34</v>
      </c>
      <c r="AE1131" t="s">
        <v>646</v>
      </c>
      <c r="AF1131">
        <v>1.52</v>
      </c>
      <c r="AG1131" t="s">
        <v>1511</v>
      </c>
      <c r="AH1131">
        <v>0</v>
      </c>
      <c r="AI1131" s="4">
        <v>34054</v>
      </c>
    </row>
    <row r="1132" spans="1:35">
      <c r="A1132">
        <v>1131</v>
      </c>
      <c r="B1132" t="str">
        <f>"300528"</f>
        <v>300528</v>
      </c>
      <c r="C1132" t="s">
        <v>6846</v>
      </c>
      <c r="D1132" s="4">
        <v>43190</v>
      </c>
      <c r="E1132" t="s">
        <v>2751</v>
      </c>
      <c r="F1132" t="s">
        <v>1936</v>
      </c>
      <c r="G1132">
        <v>4284</v>
      </c>
      <c r="H1132">
        <v>0.12</v>
      </c>
      <c r="I1132">
        <v>5.19</v>
      </c>
      <c r="J1132">
        <v>2.31</v>
      </c>
      <c r="K1132" t="s">
        <v>542</v>
      </c>
      <c r="L1132">
        <v>41.01</v>
      </c>
      <c r="M1132" t="s">
        <v>6847</v>
      </c>
      <c r="N1132" t="s">
        <v>6848</v>
      </c>
      <c r="O1132" t="s">
        <v>6849</v>
      </c>
      <c r="P1132" t="s">
        <v>6850</v>
      </c>
      <c r="Q1132">
        <v>102.7</v>
      </c>
      <c r="R1132" t="s">
        <v>5415</v>
      </c>
      <c r="S1132">
        <v>1.78</v>
      </c>
      <c r="T1132">
        <v>39.67</v>
      </c>
      <c r="U1132" t="s">
        <v>638</v>
      </c>
      <c r="V1132" t="s">
        <v>876</v>
      </c>
      <c r="W1132" t="s">
        <v>2041</v>
      </c>
      <c r="X1132">
        <v>2.31</v>
      </c>
      <c r="Y1132" t="s">
        <v>164</v>
      </c>
      <c r="Z1132" t="s">
        <v>300</v>
      </c>
      <c r="AA1132" t="s">
        <v>6851</v>
      </c>
      <c r="AB1132">
        <v>2.11</v>
      </c>
      <c r="AC1132" t="s">
        <v>1284</v>
      </c>
      <c r="AD1132">
        <v>59.58</v>
      </c>
      <c r="AE1132" t="s">
        <v>2683</v>
      </c>
      <c r="AF1132">
        <v>2.31</v>
      </c>
      <c r="AG1132">
        <v>0</v>
      </c>
      <c r="AH1132">
        <v>0</v>
      </c>
      <c r="AI1132" s="4">
        <v>42590</v>
      </c>
    </row>
    <row r="1133" spans="1:35">
      <c r="A1133">
        <v>1132</v>
      </c>
      <c r="B1133" t="str">
        <f>"300241"</f>
        <v>300241</v>
      </c>
      <c r="C1133" t="s">
        <v>6852</v>
      </c>
      <c r="D1133" s="4">
        <v>43190</v>
      </c>
      <c r="E1133" t="s">
        <v>2156</v>
      </c>
      <c r="F1133" t="s">
        <v>160</v>
      </c>
      <c r="G1133" t="s">
        <v>3585</v>
      </c>
      <c r="H1133">
        <v>0.05</v>
      </c>
      <c r="I1133">
        <v>2.2400000000000002</v>
      </c>
      <c r="J1133">
        <v>2.31</v>
      </c>
      <c r="K1133" t="s">
        <v>47</v>
      </c>
      <c r="L1133">
        <v>-5.83</v>
      </c>
      <c r="M1133" t="s">
        <v>6853</v>
      </c>
      <c r="N1133" t="s">
        <v>6854</v>
      </c>
      <c r="O1133" t="s">
        <v>6855</v>
      </c>
      <c r="P1133" t="s">
        <v>6856</v>
      </c>
      <c r="Q1133">
        <v>41.89</v>
      </c>
      <c r="R1133" t="s">
        <v>1324</v>
      </c>
      <c r="S1133">
        <v>0.64</v>
      </c>
      <c r="T1133">
        <v>18.329999999999998</v>
      </c>
      <c r="U1133" t="s">
        <v>276</v>
      </c>
      <c r="V1133" t="s">
        <v>982</v>
      </c>
      <c r="W1133" t="s">
        <v>1611</v>
      </c>
      <c r="X1133">
        <v>2.31</v>
      </c>
      <c r="Y1133" t="s">
        <v>295</v>
      </c>
      <c r="Z1133" t="s">
        <v>3757</v>
      </c>
      <c r="AA1133" t="s">
        <v>262</v>
      </c>
      <c r="AB1133">
        <v>2.4900000000000002</v>
      </c>
      <c r="AC1133" t="s">
        <v>300</v>
      </c>
      <c r="AD1133">
        <v>54.02</v>
      </c>
      <c r="AE1133" t="s">
        <v>5080</v>
      </c>
      <c r="AF1133">
        <v>0.72</v>
      </c>
      <c r="AG1133">
        <v>0</v>
      </c>
      <c r="AH1133">
        <v>0</v>
      </c>
      <c r="AI1133" s="4">
        <v>40736</v>
      </c>
    </row>
    <row r="1134" spans="1:35">
      <c r="A1134">
        <v>1133</v>
      </c>
      <c r="B1134" t="str">
        <f>"002849"</f>
        <v>002849</v>
      </c>
      <c r="C1134" t="s">
        <v>6857</v>
      </c>
      <c r="D1134" s="4">
        <v>43190</v>
      </c>
      <c r="E1134" t="s">
        <v>802</v>
      </c>
      <c r="F1134" t="s">
        <v>6858</v>
      </c>
      <c r="G1134">
        <v>3018</v>
      </c>
      <c r="H1134">
        <v>0.09</v>
      </c>
      <c r="I1134">
        <v>4.24</v>
      </c>
      <c r="J1134">
        <v>2.31</v>
      </c>
      <c r="K1134" t="s">
        <v>863</v>
      </c>
      <c r="L1134">
        <v>74.48</v>
      </c>
      <c r="M1134" t="s">
        <v>6859</v>
      </c>
      <c r="N1134">
        <v>0</v>
      </c>
      <c r="O1134" t="s">
        <v>6860</v>
      </c>
      <c r="P1134" t="s">
        <v>6861</v>
      </c>
      <c r="Q1134">
        <v>75.900000000000006</v>
      </c>
      <c r="R1134" t="s">
        <v>748</v>
      </c>
      <c r="S1134">
        <v>1.34</v>
      </c>
      <c r="T1134">
        <v>32.700000000000003</v>
      </c>
      <c r="U1134" t="s">
        <v>2035</v>
      </c>
      <c r="V1134" t="s">
        <v>741</v>
      </c>
      <c r="W1134" t="s">
        <v>6862</v>
      </c>
      <c r="X1134">
        <v>2.31</v>
      </c>
      <c r="Y1134" t="s">
        <v>122</v>
      </c>
      <c r="Z1134" t="s">
        <v>828</v>
      </c>
      <c r="AA1134" t="s">
        <v>6863</v>
      </c>
      <c r="AB1134">
        <v>3.71</v>
      </c>
      <c r="AC1134" t="s">
        <v>1088</v>
      </c>
      <c r="AD1134">
        <v>67.31</v>
      </c>
      <c r="AE1134" t="s">
        <v>122</v>
      </c>
      <c r="AF1134">
        <v>1.72</v>
      </c>
      <c r="AG1134">
        <v>0</v>
      </c>
      <c r="AH1134">
        <v>0</v>
      </c>
      <c r="AI1134" s="4">
        <v>42783</v>
      </c>
    </row>
    <row r="1135" spans="1:35">
      <c r="A1135">
        <v>1134</v>
      </c>
      <c r="B1135" t="str">
        <f>"603519"</f>
        <v>603519</v>
      </c>
      <c r="C1135" t="s">
        <v>6864</v>
      </c>
      <c r="D1135" s="4">
        <v>43190</v>
      </c>
      <c r="E1135" t="s">
        <v>262</v>
      </c>
      <c r="F1135" t="s">
        <v>262</v>
      </c>
      <c r="G1135" t="s">
        <v>2458</v>
      </c>
      <c r="H1135">
        <v>0.08</v>
      </c>
      <c r="I1135">
        <v>2.95</v>
      </c>
      <c r="J1135">
        <v>2.2999999999999998</v>
      </c>
      <c r="K1135" t="s">
        <v>507</v>
      </c>
      <c r="L1135">
        <v>-7.41</v>
      </c>
      <c r="M1135" t="s">
        <v>6865</v>
      </c>
      <c r="N1135" t="s">
        <v>6866</v>
      </c>
      <c r="O1135" t="s">
        <v>4640</v>
      </c>
      <c r="P1135" t="s">
        <v>6867</v>
      </c>
      <c r="Q1135">
        <v>-20.12</v>
      </c>
      <c r="R1135" t="s">
        <v>218</v>
      </c>
      <c r="S1135">
        <v>1.26</v>
      </c>
      <c r="T1135">
        <v>16.34</v>
      </c>
      <c r="U1135" t="s">
        <v>277</v>
      </c>
      <c r="V1135" t="s">
        <v>3549</v>
      </c>
      <c r="W1135" t="s">
        <v>6868</v>
      </c>
      <c r="X1135">
        <v>2.2999999999999998</v>
      </c>
      <c r="Y1135" t="s">
        <v>37</v>
      </c>
      <c r="Z1135" t="s">
        <v>37</v>
      </c>
      <c r="AA1135" t="s">
        <v>6869</v>
      </c>
      <c r="AB1135">
        <v>3.95</v>
      </c>
      <c r="AC1135" t="s">
        <v>500</v>
      </c>
      <c r="AD1135">
        <v>79.739999999999995</v>
      </c>
      <c r="AE1135" t="s">
        <v>1288</v>
      </c>
      <c r="AF1135">
        <v>0.53</v>
      </c>
      <c r="AG1135">
        <v>0</v>
      </c>
      <c r="AH1135">
        <v>0</v>
      </c>
      <c r="AI1135" s="4">
        <v>42082</v>
      </c>
    </row>
    <row r="1136" spans="1:35">
      <c r="A1136">
        <v>1135</v>
      </c>
      <c r="B1136" t="str">
        <f>"603323"</f>
        <v>603323</v>
      </c>
      <c r="C1136" t="s">
        <v>6870</v>
      </c>
      <c r="D1136" s="4">
        <v>43190</v>
      </c>
      <c r="E1136" t="s">
        <v>263</v>
      </c>
      <c r="F1136" t="s">
        <v>2445</v>
      </c>
      <c r="G1136" t="s">
        <v>861</v>
      </c>
      <c r="H1136">
        <v>0.13</v>
      </c>
      <c r="I1136">
        <v>5.77</v>
      </c>
      <c r="J1136">
        <v>2.2999999999999998</v>
      </c>
      <c r="K1136" t="s">
        <v>1394</v>
      </c>
      <c r="L1136">
        <v>12.25</v>
      </c>
      <c r="M1136" t="s">
        <v>1999</v>
      </c>
      <c r="N1136" t="s">
        <v>6871</v>
      </c>
      <c r="O1136" t="s">
        <v>916</v>
      </c>
      <c r="P1136" t="s">
        <v>200</v>
      </c>
      <c r="Q1136">
        <v>14.63</v>
      </c>
      <c r="R1136" t="s">
        <v>173</v>
      </c>
      <c r="S1136">
        <v>0.83</v>
      </c>
      <c r="T1136">
        <v>0</v>
      </c>
      <c r="U1136" t="s">
        <v>6872</v>
      </c>
      <c r="V1136">
        <v>0</v>
      </c>
      <c r="W1136" t="s">
        <v>1405</v>
      </c>
      <c r="X1136">
        <v>2.2999999999999998</v>
      </c>
      <c r="Y1136" t="s">
        <v>6873</v>
      </c>
      <c r="Z1136">
        <v>0</v>
      </c>
      <c r="AA1136">
        <v>0</v>
      </c>
      <c r="AB1136">
        <v>1.03</v>
      </c>
      <c r="AC1136" t="s">
        <v>2354</v>
      </c>
      <c r="AD1136">
        <v>8.42</v>
      </c>
      <c r="AE1136" t="s">
        <v>926</v>
      </c>
      <c r="AF1136">
        <v>0.88</v>
      </c>
      <c r="AG1136">
        <v>0</v>
      </c>
      <c r="AH1136">
        <v>0</v>
      </c>
      <c r="AI1136" s="4">
        <v>42703</v>
      </c>
    </row>
    <row r="1137" spans="1:35">
      <c r="A1137">
        <v>1136</v>
      </c>
      <c r="B1137" t="str">
        <f>"600978"</f>
        <v>600978</v>
      </c>
      <c r="C1137" t="s">
        <v>6874</v>
      </c>
      <c r="D1137" s="4">
        <v>43190</v>
      </c>
      <c r="E1137" t="s">
        <v>141</v>
      </c>
      <c r="F1137" t="s">
        <v>141</v>
      </c>
      <c r="G1137" t="s">
        <v>3809</v>
      </c>
      <c r="H1137">
        <v>0.12</v>
      </c>
      <c r="I1137">
        <v>5.46</v>
      </c>
      <c r="J1137">
        <v>2.2999999999999998</v>
      </c>
      <c r="K1137" t="s">
        <v>263</v>
      </c>
      <c r="L1137">
        <v>11.22</v>
      </c>
      <c r="M1137" t="s">
        <v>912</v>
      </c>
      <c r="N1137" t="s">
        <v>6875</v>
      </c>
      <c r="O1137" t="s">
        <v>454</v>
      </c>
      <c r="P1137" t="s">
        <v>748</v>
      </c>
      <c r="Q1137">
        <v>15.14</v>
      </c>
      <c r="R1137" t="s">
        <v>1211</v>
      </c>
      <c r="S1137">
        <v>2.5499999999999998</v>
      </c>
      <c r="T1137">
        <v>39.78</v>
      </c>
      <c r="U1137" t="s">
        <v>1751</v>
      </c>
      <c r="V1137" t="s">
        <v>6404</v>
      </c>
      <c r="W1137" t="s">
        <v>1133</v>
      </c>
      <c r="X1137">
        <v>2.2999999999999998</v>
      </c>
      <c r="Y1137" t="s">
        <v>2626</v>
      </c>
      <c r="Z1137" t="s">
        <v>1387</v>
      </c>
      <c r="AA1137" t="s">
        <v>2700</v>
      </c>
      <c r="AB1137">
        <v>1.28</v>
      </c>
      <c r="AC1137" t="s">
        <v>6876</v>
      </c>
      <c r="AD1137">
        <v>49.64</v>
      </c>
      <c r="AE1137" t="s">
        <v>1516</v>
      </c>
      <c r="AF1137">
        <v>1.66</v>
      </c>
      <c r="AG1137">
        <v>0</v>
      </c>
      <c r="AH1137">
        <v>0</v>
      </c>
      <c r="AI1137" s="4">
        <v>38223</v>
      </c>
    </row>
    <row r="1138" spans="1:35">
      <c r="A1138">
        <v>1137</v>
      </c>
      <c r="B1138" t="str">
        <f>"600221"</f>
        <v>600221</v>
      </c>
      <c r="C1138" t="s">
        <v>6877</v>
      </c>
      <c r="D1138" s="4">
        <v>43190</v>
      </c>
      <c r="E1138" t="s">
        <v>1251</v>
      </c>
      <c r="F1138" t="s">
        <v>814</v>
      </c>
      <c r="G1138">
        <v>0</v>
      </c>
      <c r="H1138">
        <v>0.08</v>
      </c>
      <c r="I1138">
        <v>3.17</v>
      </c>
      <c r="J1138">
        <v>2.2999999999999998</v>
      </c>
      <c r="K1138" t="s">
        <v>1251</v>
      </c>
      <c r="L1138">
        <v>15.62</v>
      </c>
      <c r="M1138" t="s">
        <v>820</v>
      </c>
      <c r="N1138" t="s">
        <v>595</v>
      </c>
      <c r="O1138" t="s">
        <v>775</v>
      </c>
      <c r="P1138" t="s">
        <v>924</v>
      </c>
      <c r="Q1138">
        <v>60.17</v>
      </c>
      <c r="R1138" t="s">
        <v>1097</v>
      </c>
      <c r="S1138">
        <v>1</v>
      </c>
      <c r="T1138">
        <v>13.39</v>
      </c>
      <c r="U1138" t="s">
        <v>6878</v>
      </c>
      <c r="V1138" t="s">
        <v>5403</v>
      </c>
      <c r="W1138" t="s">
        <v>896</v>
      </c>
      <c r="X1138">
        <v>2.2999999999999998</v>
      </c>
      <c r="Y1138" t="s">
        <v>6879</v>
      </c>
      <c r="Z1138" t="s">
        <v>6880</v>
      </c>
      <c r="AA1138" t="s">
        <v>6881</v>
      </c>
      <c r="AB1138">
        <v>1.02</v>
      </c>
      <c r="AC1138" t="s">
        <v>3206</v>
      </c>
      <c r="AD1138">
        <v>31.45</v>
      </c>
      <c r="AE1138" t="s">
        <v>2491</v>
      </c>
      <c r="AF1138">
        <v>1.06</v>
      </c>
      <c r="AG1138" t="s">
        <v>3726</v>
      </c>
      <c r="AH1138">
        <v>0</v>
      </c>
      <c r="AI1138" s="4">
        <v>36489</v>
      </c>
    </row>
    <row r="1139" spans="1:35">
      <c r="A1139">
        <v>1138</v>
      </c>
      <c r="B1139" t="str">
        <f>"002781"</f>
        <v>002781</v>
      </c>
      <c r="C1139" t="s">
        <v>6882</v>
      </c>
      <c r="D1139" s="4">
        <v>43190</v>
      </c>
      <c r="E1139" t="s">
        <v>1484</v>
      </c>
      <c r="F1139" t="s">
        <v>6883</v>
      </c>
      <c r="G1139">
        <v>4688</v>
      </c>
      <c r="H1139">
        <v>0.18</v>
      </c>
      <c r="I1139">
        <v>8.09</v>
      </c>
      <c r="J1139">
        <v>2.2999999999999998</v>
      </c>
      <c r="K1139" t="s">
        <v>1173</v>
      </c>
      <c r="L1139">
        <v>27.93</v>
      </c>
      <c r="M1139" t="s">
        <v>6884</v>
      </c>
      <c r="N1139" t="s">
        <v>3693</v>
      </c>
      <c r="O1139" t="s">
        <v>3966</v>
      </c>
      <c r="P1139" t="s">
        <v>6885</v>
      </c>
      <c r="Q1139">
        <v>3.2</v>
      </c>
      <c r="R1139" t="s">
        <v>285</v>
      </c>
      <c r="S1139">
        <v>3.51</v>
      </c>
      <c r="T1139">
        <v>13.92</v>
      </c>
      <c r="U1139" t="s">
        <v>2348</v>
      </c>
      <c r="V1139" t="s">
        <v>1419</v>
      </c>
      <c r="W1139" t="s">
        <v>4171</v>
      </c>
      <c r="X1139">
        <v>2.2999999999999998</v>
      </c>
      <c r="Y1139" t="s">
        <v>276</v>
      </c>
      <c r="Z1139" t="s">
        <v>316</v>
      </c>
      <c r="AA1139" t="s">
        <v>6886</v>
      </c>
      <c r="AB1139">
        <v>1.9</v>
      </c>
      <c r="AC1139" t="s">
        <v>754</v>
      </c>
      <c r="AD1139">
        <v>43.45</v>
      </c>
      <c r="AE1139" t="s">
        <v>201</v>
      </c>
      <c r="AF1139">
        <v>3.22</v>
      </c>
      <c r="AG1139">
        <v>0</v>
      </c>
      <c r="AH1139">
        <v>0</v>
      </c>
      <c r="AI1139" s="4">
        <v>42360</v>
      </c>
    </row>
    <row r="1140" spans="1:35">
      <c r="A1140">
        <v>1139</v>
      </c>
      <c r="B1140" t="str">
        <f>"002225"</f>
        <v>002225</v>
      </c>
      <c r="C1140" t="s">
        <v>6887</v>
      </c>
      <c r="D1140" s="4">
        <v>43190</v>
      </c>
      <c r="E1140" t="s">
        <v>2233</v>
      </c>
      <c r="F1140" t="s">
        <v>1044</v>
      </c>
      <c r="G1140" t="s">
        <v>1199</v>
      </c>
      <c r="H1140">
        <v>0.06</v>
      </c>
      <c r="I1140">
        <v>2.73</v>
      </c>
      <c r="J1140">
        <v>2.2999999999999998</v>
      </c>
      <c r="K1140" t="s">
        <v>1589</v>
      </c>
      <c r="L1140">
        <v>54.62</v>
      </c>
      <c r="M1140" t="s">
        <v>6888</v>
      </c>
      <c r="N1140" t="s">
        <v>6889</v>
      </c>
      <c r="O1140" t="s">
        <v>6890</v>
      </c>
      <c r="P1140" t="s">
        <v>6891</v>
      </c>
      <c r="Q1140">
        <v>58.61</v>
      </c>
      <c r="R1140" t="s">
        <v>771</v>
      </c>
      <c r="S1140">
        <v>0.53</v>
      </c>
      <c r="T1140">
        <v>28.17</v>
      </c>
      <c r="U1140" t="s">
        <v>1923</v>
      </c>
      <c r="V1140" t="s">
        <v>1486</v>
      </c>
      <c r="W1140" t="s">
        <v>108</v>
      </c>
      <c r="X1140">
        <v>2.2999999999999998</v>
      </c>
      <c r="Y1140" t="s">
        <v>2280</v>
      </c>
      <c r="Z1140" t="s">
        <v>789</v>
      </c>
      <c r="AA1140" t="s">
        <v>90</v>
      </c>
      <c r="AB1140">
        <v>1.76</v>
      </c>
      <c r="AC1140" t="s">
        <v>223</v>
      </c>
      <c r="AD1140">
        <v>47.95</v>
      </c>
      <c r="AE1140" t="s">
        <v>4754</v>
      </c>
      <c r="AF1140">
        <v>1.1200000000000001</v>
      </c>
      <c r="AG1140">
        <v>0</v>
      </c>
      <c r="AH1140">
        <v>0</v>
      </c>
      <c r="AI1140" s="4">
        <v>39563</v>
      </c>
    </row>
    <row r="1141" spans="1:35">
      <c r="A1141">
        <v>1140</v>
      </c>
      <c r="B1141" t="str">
        <f>"000066"</f>
        <v>000066</v>
      </c>
      <c r="C1141" t="s">
        <v>6892</v>
      </c>
      <c r="D1141" s="4">
        <v>43190</v>
      </c>
      <c r="E1141" t="s">
        <v>1252</v>
      </c>
      <c r="F1141" t="s">
        <v>1294</v>
      </c>
      <c r="G1141" t="s">
        <v>6893</v>
      </c>
      <c r="H1141">
        <v>0.05</v>
      </c>
      <c r="I1141">
        <v>2.2200000000000002</v>
      </c>
      <c r="J1141">
        <v>2.2999999999999998</v>
      </c>
      <c r="K1141" t="s">
        <v>1752</v>
      </c>
      <c r="L1141">
        <v>-20.14</v>
      </c>
      <c r="M1141" t="s">
        <v>935</v>
      </c>
      <c r="N1141" t="s">
        <v>1839</v>
      </c>
      <c r="O1141" t="s">
        <v>1484</v>
      </c>
      <c r="P1141" t="s">
        <v>2034</v>
      </c>
      <c r="Q1141">
        <v>5.1100000000000003</v>
      </c>
      <c r="R1141" t="s">
        <v>691</v>
      </c>
      <c r="S1141">
        <v>0.67</v>
      </c>
      <c r="T1141">
        <v>19.809999999999999</v>
      </c>
      <c r="U1141" t="s">
        <v>412</v>
      </c>
      <c r="V1141" t="s">
        <v>2832</v>
      </c>
      <c r="W1141" t="s">
        <v>980</v>
      </c>
      <c r="X1141">
        <v>2.2999999999999998</v>
      </c>
      <c r="Y1141" t="s">
        <v>930</v>
      </c>
      <c r="Z1141" t="s">
        <v>4889</v>
      </c>
      <c r="AA1141" t="s">
        <v>2273</v>
      </c>
      <c r="AB1141">
        <v>3.02</v>
      </c>
      <c r="AC1141" t="s">
        <v>4672</v>
      </c>
      <c r="AD1141">
        <v>45.54</v>
      </c>
      <c r="AE1141" t="s">
        <v>150</v>
      </c>
      <c r="AF1141">
        <v>0.14000000000000001</v>
      </c>
      <c r="AG1141">
        <v>0</v>
      </c>
      <c r="AH1141">
        <v>0</v>
      </c>
      <c r="AI1141" s="4">
        <v>35607</v>
      </c>
    </row>
    <row r="1142" spans="1:35">
      <c r="A1142">
        <v>1141</v>
      </c>
      <c r="B1142" t="str">
        <f>"600616"</f>
        <v>600616</v>
      </c>
      <c r="C1142" t="s">
        <v>6894</v>
      </c>
      <c r="D1142" s="4">
        <v>43190</v>
      </c>
      <c r="E1142" t="s">
        <v>944</v>
      </c>
      <c r="F1142" t="s">
        <v>944</v>
      </c>
      <c r="G1142" t="s">
        <v>4665</v>
      </c>
      <c r="H1142">
        <v>0.09</v>
      </c>
      <c r="I1142">
        <v>4.03</v>
      </c>
      <c r="J1142">
        <v>2.29</v>
      </c>
      <c r="K1142" t="s">
        <v>1733</v>
      </c>
      <c r="L1142">
        <v>-10.39</v>
      </c>
      <c r="M1142" t="s">
        <v>6895</v>
      </c>
      <c r="N1142" t="s">
        <v>5222</v>
      </c>
      <c r="O1142" t="s">
        <v>659</v>
      </c>
      <c r="P1142" t="s">
        <v>6896</v>
      </c>
      <c r="Q1142">
        <v>-12.74</v>
      </c>
      <c r="R1142" t="s">
        <v>4861</v>
      </c>
      <c r="S1142">
        <v>1.86</v>
      </c>
      <c r="T1142">
        <v>47.66</v>
      </c>
      <c r="U1142" t="s">
        <v>242</v>
      </c>
      <c r="V1142" t="s">
        <v>161</v>
      </c>
      <c r="W1142" t="s">
        <v>494</v>
      </c>
      <c r="X1142">
        <v>2.29</v>
      </c>
      <c r="Y1142" t="s">
        <v>4871</v>
      </c>
      <c r="Z1142" t="s">
        <v>345</v>
      </c>
      <c r="AA1142" t="s">
        <v>6897</v>
      </c>
      <c r="AB1142">
        <v>1.63</v>
      </c>
      <c r="AC1142" t="s">
        <v>877</v>
      </c>
      <c r="AD1142">
        <v>88.5</v>
      </c>
      <c r="AE1142" t="s">
        <v>2178</v>
      </c>
      <c r="AF1142">
        <v>1.03</v>
      </c>
      <c r="AG1142">
        <v>0</v>
      </c>
      <c r="AH1142">
        <v>0</v>
      </c>
      <c r="AI1142" s="4">
        <v>33876</v>
      </c>
    </row>
    <row r="1143" spans="1:35">
      <c r="A1143">
        <v>1142</v>
      </c>
      <c r="B1143" t="str">
        <f>"600053"</f>
        <v>600053</v>
      </c>
      <c r="C1143" t="s">
        <v>6898</v>
      </c>
      <c r="D1143" s="4">
        <v>43190</v>
      </c>
      <c r="E1143" t="s">
        <v>1209</v>
      </c>
      <c r="F1143" t="s">
        <v>1209</v>
      </c>
      <c r="G1143" t="s">
        <v>1179</v>
      </c>
      <c r="H1143">
        <v>0.11</v>
      </c>
      <c r="I1143">
        <v>4.66</v>
      </c>
      <c r="J1143">
        <v>2.29</v>
      </c>
      <c r="K1143" t="s">
        <v>321</v>
      </c>
      <c r="L1143">
        <v>13.03</v>
      </c>
      <c r="M1143" t="s">
        <v>4986</v>
      </c>
      <c r="N1143" t="s">
        <v>6899</v>
      </c>
      <c r="O1143" t="s">
        <v>6900</v>
      </c>
      <c r="P1143" t="s">
        <v>6901</v>
      </c>
      <c r="Q1143">
        <v>-17.22</v>
      </c>
      <c r="R1143" t="s">
        <v>982</v>
      </c>
      <c r="S1143">
        <v>2.82</v>
      </c>
      <c r="T1143">
        <v>98.61</v>
      </c>
      <c r="U1143" t="s">
        <v>1061</v>
      </c>
      <c r="V1143" t="s">
        <v>2057</v>
      </c>
      <c r="W1143" t="s">
        <v>3105</v>
      </c>
      <c r="X1143">
        <v>2.29</v>
      </c>
      <c r="Y1143" t="s">
        <v>1205</v>
      </c>
      <c r="Z1143" t="s">
        <v>2542</v>
      </c>
      <c r="AA1143" t="s">
        <v>922</v>
      </c>
      <c r="AB1143">
        <v>3.73</v>
      </c>
      <c r="AC1143" t="s">
        <v>418</v>
      </c>
      <c r="AD1143">
        <v>39.89</v>
      </c>
      <c r="AE1143" t="s">
        <v>905</v>
      </c>
      <c r="AF1143">
        <v>0.44</v>
      </c>
      <c r="AG1143">
        <v>0</v>
      </c>
      <c r="AH1143">
        <v>0</v>
      </c>
      <c r="AI1143" s="4">
        <v>35538</v>
      </c>
    </row>
    <row r="1144" spans="1:35">
      <c r="A1144">
        <v>1143</v>
      </c>
      <c r="B1144" t="str">
        <f>"300666"</f>
        <v>300666</v>
      </c>
      <c r="C1144" t="s">
        <v>6902</v>
      </c>
      <c r="D1144" s="4">
        <v>43190</v>
      </c>
      <c r="E1144" t="s">
        <v>66</v>
      </c>
      <c r="F1144" t="s">
        <v>282</v>
      </c>
      <c r="G1144">
        <v>1567</v>
      </c>
      <c r="H1144">
        <v>0.06</v>
      </c>
      <c r="I1144">
        <v>2.59</v>
      </c>
      <c r="J1144">
        <v>2.29</v>
      </c>
      <c r="K1144" t="s">
        <v>657</v>
      </c>
      <c r="L1144">
        <v>19.97</v>
      </c>
      <c r="M1144" t="s">
        <v>6903</v>
      </c>
      <c r="N1144" t="s">
        <v>6904</v>
      </c>
      <c r="O1144" t="s">
        <v>4598</v>
      </c>
      <c r="P1144" t="s">
        <v>3743</v>
      </c>
      <c r="Q1144">
        <v>36.74</v>
      </c>
      <c r="R1144" t="s">
        <v>845</v>
      </c>
      <c r="S1144">
        <v>0.65</v>
      </c>
      <c r="T1144">
        <v>30.65</v>
      </c>
      <c r="U1144" t="s">
        <v>3752</v>
      </c>
      <c r="V1144" t="s">
        <v>169</v>
      </c>
      <c r="W1144" t="s">
        <v>342</v>
      </c>
      <c r="X1144">
        <v>2.29</v>
      </c>
      <c r="Y1144" t="s">
        <v>184</v>
      </c>
      <c r="Z1144" t="s">
        <v>122</v>
      </c>
      <c r="AA1144" t="s">
        <v>2360</v>
      </c>
      <c r="AB1144">
        <v>21.84</v>
      </c>
      <c r="AC1144" t="s">
        <v>2056</v>
      </c>
      <c r="AD1144">
        <v>59.5</v>
      </c>
      <c r="AE1144" t="s">
        <v>905</v>
      </c>
      <c r="AF1144">
        <v>0.86</v>
      </c>
      <c r="AG1144">
        <v>0</v>
      </c>
      <c r="AH1144">
        <v>0</v>
      </c>
      <c r="AI1144" s="4">
        <v>42901</v>
      </c>
    </row>
    <row r="1145" spans="1:35">
      <c r="A1145">
        <v>1144</v>
      </c>
      <c r="B1145" t="str">
        <f>"300632"</f>
        <v>300632</v>
      </c>
      <c r="C1145" t="s">
        <v>6905</v>
      </c>
      <c r="D1145" s="4">
        <v>43190</v>
      </c>
      <c r="E1145" t="s">
        <v>282</v>
      </c>
      <c r="F1145" t="s">
        <v>1690</v>
      </c>
      <c r="G1145">
        <v>2376</v>
      </c>
      <c r="H1145">
        <v>0.1</v>
      </c>
      <c r="I1145">
        <v>4.54</v>
      </c>
      <c r="J1145">
        <v>2.29</v>
      </c>
      <c r="K1145" t="s">
        <v>282</v>
      </c>
      <c r="L1145">
        <v>33.47</v>
      </c>
      <c r="M1145" t="s">
        <v>6906</v>
      </c>
      <c r="N1145" t="s">
        <v>6907</v>
      </c>
      <c r="O1145" t="s">
        <v>6908</v>
      </c>
      <c r="P1145" t="s">
        <v>6909</v>
      </c>
      <c r="Q1145">
        <v>4.1399999999999997</v>
      </c>
      <c r="R1145" t="s">
        <v>415</v>
      </c>
      <c r="S1145">
        <v>1.8</v>
      </c>
      <c r="T1145">
        <v>28.04</v>
      </c>
      <c r="U1145" t="s">
        <v>489</v>
      </c>
      <c r="V1145" t="s">
        <v>735</v>
      </c>
      <c r="W1145" t="s">
        <v>200</v>
      </c>
      <c r="X1145">
        <v>2.29</v>
      </c>
      <c r="Y1145" t="s">
        <v>1200</v>
      </c>
      <c r="Z1145" t="s">
        <v>337</v>
      </c>
      <c r="AA1145" t="s">
        <v>6910</v>
      </c>
      <c r="AB1145">
        <v>3.94</v>
      </c>
      <c r="AC1145" t="s">
        <v>666</v>
      </c>
      <c r="AD1145">
        <v>75.16</v>
      </c>
      <c r="AE1145" t="s">
        <v>905</v>
      </c>
      <c r="AF1145">
        <v>1.63</v>
      </c>
      <c r="AG1145">
        <v>0</v>
      </c>
      <c r="AH1145">
        <v>0</v>
      </c>
      <c r="AI1145" s="4">
        <v>42831</v>
      </c>
    </row>
    <row r="1146" spans="1:35">
      <c r="A1146">
        <v>1145</v>
      </c>
      <c r="B1146" t="str">
        <f>"300395"</f>
        <v>300395</v>
      </c>
      <c r="C1146" t="s">
        <v>6911</v>
      </c>
      <c r="D1146" s="4">
        <v>43190</v>
      </c>
      <c r="E1146" t="s">
        <v>1621</v>
      </c>
      <c r="F1146" t="s">
        <v>1733</v>
      </c>
      <c r="G1146" t="s">
        <v>6912</v>
      </c>
      <c r="H1146">
        <v>7.0000000000000007E-2</v>
      </c>
      <c r="I1146">
        <v>2.96</v>
      </c>
      <c r="J1146">
        <v>2.29</v>
      </c>
      <c r="K1146" t="s">
        <v>2306</v>
      </c>
      <c r="L1146">
        <v>41.94</v>
      </c>
      <c r="M1146" t="s">
        <v>6913</v>
      </c>
      <c r="N1146" t="s">
        <v>6914</v>
      </c>
      <c r="O1146" t="s">
        <v>6915</v>
      </c>
      <c r="P1146" t="s">
        <v>6916</v>
      </c>
      <c r="Q1146">
        <v>38.4</v>
      </c>
      <c r="R1146" t="s">
        <v>856</v>
      </c>
      <c r="S1146">
        <v>1.38</v>
      </c>
      <c r="T1146">
        <v>43.6</v>
      </c>
      <c r="U1146" t="s">
        <v>264</v>
      </c>
      <c r="V1146" t="s">
        <v>4435</v>
      </c>
      <c r="W1146" t="s">
        <v>218</v>
      </c>
      <c r="X1146">
        <v>2.29</v>
      </c>
      <c r="Y1146" t="s">
        <v>91</v>
      </c>
      <c r="Z1146" t="s">
        <v>134</v>
      </c>
      <c r="AA1146" t="s">
        <v>6917</v>
      </c>
      <c r="AB1146">
        <v>4.5199999999999996</v>
      </c>
      <c r="AC1146" t="s">
        <v>903</v>
      </c>
      <c r="AD1146">
        <v>76.98</v>
      </c>
      <c r="AE1146" t="s">
        <v>609</v>
      </c>
      <c r="AF1146">
        <v>0.5</v>
      </c>
      <c r="AG1146">
        <v>0</v>
      </c>
      <c r="AH1146">
        <v>0</v>
      </c>
      <c r="AI1146" s="4">
        <v>41892</v>
      </c>
    </row>
    <row r="1147" spans="1:35">
      <c r="A1147">
        <v>1146</v>
      </c>
      <c r="B1147" t="str">
        <f>"000903"</f>
        <v>000903</v>
      </c>
      <c r="C1147" t="s">
        <v>6918</v>
      </c>
      <c r="D1147" s="4">
        <v>43190</v>
      </c>
      <c r="E1147" t="s">
        <v>1284</v>
      </c>
      <c r="F1147" t="s">
        <v>867</v>
      </c>
      <c r="G1147" t="s">
        <v>6919</v>
      </c>
      <c r="H1147">
        <v>0.06</v>
      </c>
      <c r="I1147">
        <v>2.82</v>
      </c>
      <c r="J1147">
        <v>2.29</v>
      </c>
      <c r="K1147" t="s">
        <v>1126</v>
      </c>
      <c r="L1147">
        <v>10.7</v>
      </c>
      <c r="M1147" t="s">
        <v>1016</v>
      </c>
      <c r="N1147">
        <v>0</v>
      </c>
      <c r="O1147" t="s">
        <v>745</v>
      </c>
      <c r="P1147" t="s">
        <v>322</v>
      </c>
      <c r="Q1147">
        <v>5.84</v>
      </c>
      <c r="R1147" t="s">
        <v>903</v>
      </c>
      <c r="S1147">
        <v>0.47</v>
      </c>
      <c r="T1147">
        <v>16.39</v>
      </c>
      <c r="U1147" t="s">
        <v>1465</v>
      </c>
      <c r="V1147" t="s">
        <v>1553</v>
      </c>
      <c r="W1147" t="s">
        <v>1308</v>
      </c>
      <c r="X1147">
        <v>2.29</v>
      </c>
      <c r="Y1147" t="s">
        <v>6920</v>
      </c>
      <c r="Z1147" t="s">
        <v>2400</v>
      </c>
      <c r="AA1147" t="s">
        <v>204</v>
      </c>
      <c r="AB1147">
        <v>0.88</v>
      </c>
      <c r="AC1147" t="s">
        <v>2691</v>
      </c>
      <c r="AD1147">
        <v>45.9</v>
      </c>
      <c r="AE1147" t="s">
        <v>242</v>
      </c>
      <c r="AF1147">
        <v>1.19</v>
      </c>
      <c r="AG1147">
        <v>0</v>
      </c>
      <c r="AH1147">
        <v>0</v>
      </c>
      <c r="AI1147" s="4">
        <v>36265</v>
      </c>
    </row>
    <row r="1148" spans="1:35">
      <c r="A1148">
        <v>1147</v>
      </c>
      <c r="B1148" t="str">
        <f>"603922"</f>
        <v>603922</v>
      </c>
      <c r="C1148" t="s">
        <v>6921</v>
      </c>
      <c r="D1148" s="4">
        <v>43190</v>
      </c>
      <c r="E1148" t="s">
        <v>86</v>
      </c>
      <c r="F1148" t="s">
        <v>87</v>
      </c>
      <c r="G1148">
        <v>1775</v>
      </c>
      <c r="H1148">
        <v>0.2</v>
      </c>
      <c r="I1148">
        <v>8.9</v>
      </c>
      <c r="J1148">
        <v>2.2799999999999998</v>
      </c>
      <c r="K1148" t="s">
        <v>507</v>
      </c>
      <c r="L1148">
        <v>3.87</v>
      </c>
      <c r="M1148" t="s">
        <v>6217</v>
      </c>
      <c r="N1148" t="s">
        <v>6922</v>
      </c>
      <c r="O1148" t="s">
        <v>6923</v>
      </c>
      <c r="P1148" t="s">
        <v>6924</v>
      </c>
      <c r="Q1148">
        <v>-15.06</v>
      </c>
      <c r="R1148" t="s">
        <v>828</v>
      </c>
      <c r="S1148">
        <v>2.06</v>
      </c>
      <c r="T1148">
        <v>21.06</v>
      </c>
      <c r="U1148" t="s">
        <v>1569</v>
      </c>
      <c r="V1148" t="s">
        <v>1033</v>
      </c>
      <c r="W1148" t="s">
        <v>1180</v>
      </c>
      <c r="X1148">
        <v>2.2799999999999998</v>
      </c>
      <c r="Y1148" t="s">
        <v>1212</v>
      </c>
      <c r="Z1148" t="s">
        <v>289</v>
      </c>
      <c r="AA1148" t="s">
        <v>6925</v>
      </c>
      <c r="AB1148">
        <v>2.52</v>
      </c>
      <c r="AC1148" t="s">
        <v>354</v>
      </c>
      <c r="AD1148">
        <v>67.88</v>
      </c>
      <c r="AE1148" t="s">
        <v>3802</v>
      </c>
      <c r="AF1148">
        <v>5.59</v>
      </c>
      <c r="AG1148">
        <v>0</v>
      </c>
      <c r="AH1148">
        <v>0</v>
      </c>
      <c r="AI1148" s="4">
        <v>43031</v>
      </c>
    </row>
    <row r="1149" spans="1:35">
      <c r="A1149">
        <v>1148</v>
      </c>
      <c r="B1149" t="str">
        <f>"603689"</f>
        <v>603689</v>
      </c>
      <c r="C1149" t="s">
        <v>6926</v>
      </c>
      <c r="D1149" s="4">
        <v>43190</v>
      </c>
      <c r="E1149" t="s">
        <v>52</v>
      </c>
      <c r="F1149" t="s">
        <v>321</v>
      </c>
      <c r="G1149">
        <v>6001</v>
      </c>
      <c r="H1149">
        <v>0.13</v>
      </c>
      <c r="I1149">
        <v>5.71</v>
      </c>
      <c r="J1149">
        <v>2.2799999999999998</v>
      </c>
      <c r="K1149" t="s">
        <v>1778</v>
      </c>
      <c r="L1149">
        <v>8.6999999999999993</v>
      </c>
      <c r="M1149" t="s">
        <v>6927</v>
      </c>
      <c r="N1149">
        <v>7812</v>
      </c>
      <c r="O1149" t="s">
        <v>6928</v>
      </c>
      <c r="P1149" t="s">
        <v>6929</v>
      </c>
      <c r="Q1149">
        <v>12.97</v>
      </c>
      <c r="R1149" t="s">
        <v>2479</v>
      </c>
      <c r="S1149">
        <v>1.55</v>
      </c>
      <c r="T1149">
        <v>10.77</v>
      </c>
      <c r="U1149" t="s">
        <v>1380</v>
      </c>
      <c r="V1149" t="s">
        <v>6799</v>
      </c>
      <c r="W1149" t="s">
        <v>891</v>
      </c>
      <c r="X1149">
        <v>2.2799999999999998</v>
      </c>
      <c r="Y1149" t="s">
        <v>721</v>
      </c>
      <c r="Z1149" t="s">
        <v>2310</v>
      </c>
      <c r="AA1149" t="s">
        <v>78</v>
      </c>
      <c r="AB1149">
        <v>1.86</v>
      </c>
      <c r="AC1149" t="s">
        <v>702</v>
      </c>
      <c r="AD1149">
        <v>61.05</v>
      </c>
      <c r="AE1149" t="s">
        <v>4754</v>
      </c>
      <c r="AF1149">
        <v>2.95</v>
      </c>
      <c r="AG1149">
        <v>0</v>
      </c>
      <c r="AH1149">
        <v>0</v>
      </c>
      <c r="AI1149" s="4">
        <v>42745</v>
      </c>
    </row>
    <row r="1150" spans="1:35">
      <c r="A1150">
        <v>1149</v>
      </c>
      <c r="B1150" t="str">
        <f>"603396"</f>
        <v>603396</v>
      </c>
      <c r="C1150" t="s">
        <v>6930</v>
      </c>
      <c r="D1150" s="4">
        <v>43190</v>
      </c>
      <c r="E1150" t="s">
        <v>1760</v>
      </c>
      <c r="F1150" t="s">
        <v>6931</v>
      </c>
      <c r="G1150">
        <v>1646</v>
      </c>
      <c r="H1150">
        <v>0.25</v>
      </c>
      <c r="I1150">
        <v>10.88</v>
      </c>
      <c r="J1150">
        <v>2.2799999999999998</v>
      </c>
      <c r="K1150" t="s">
        <v>326</v>
      </c>
      <c r="L1150">
        <v>30.18</v>
      </c>
      <c r="M1150" t="s">
        <v>6932</v>
      </c>
      <c r="N1150">
        <v>0</v>
      </c>
      <c r="O1150" t="s">
        <v>4482</v>
      </c>
      <c r="P1150" t="s">
        <v>6933</v>
      </c>
      <c r="Q1150">
        <v>16.399999999999999</v>
      </c>
      <c r="R1150" t="s">
        <v>1067</v>
      </c>
      <c r="S1150">
        <v>3.44</v>
      </c>
      <c r="T1150">
        <v>44.17</v>
      </c>
      <c r="U1150" t="s">
        <v>547</v>
      </c>
      <c r="V1150" t="s">
        <v>1082</v>
      </c>
      <c r="W1150" t="s">
        <v>1689</v>
      </c>
      <c r="X1150">
        <v>2.2799999999999998</v>
      </c>
      <c r="Y1150" t="s">
        <v>846</v>
      </c>
      <c r="Z1150" t="s">
        <v>504</v>
      </c>
      <c r="AA1150" t="s">
        <v>6934</v>
      </c>
      <c r="AB1150">
        <v>2.89</v>
      </c>
      <c r="AC1150" t="s">
        <v>4041</v>
      </c>
      <c r="AD1150">
        <v>56.12</v>
      </c>
      <c r="AE1150" t="s">
        <v>155</v>
      </c>
      <c r="AF1150">
        <v>6.02</v>
      </c>
      <c r="AG1150">
        <v>0</v>
      </c>
      <c r="AH1150">
        <v>0</v>
      </c>
      <c r="AI1150" s="4">
        <v>43026</v>
      </c>
    </row>
    <row r="1151" spans="1:35">
      <c r="A1151">
        <v>1150</v>
      </c>
      <c r="B1151" t="str">
        <f>"601368"</f>
        <v>601368</v>
      </c>
      <c r="C1151" t="s">
        <v>6935</v>
      </c>
      <c r="D1151" s="4">
        <v>43190</v>
      </c>
      <c r="E1151" t="s">
        <v>2194</v>
      </c>
      <c r="F1151" t="s">
        <v>2194</v>
      </c>
      <c r="G1151">
        <v>6746</v>
      </c>
      <c r="H1151">
        <v>0.1</v>
      </c>
      <c r="I1151">
        <v>4.2699999999999996</v>
      </c>
      <c r="J1151">
        <v>2.2799999999999998</v>
      </c>
      <c r="K1151" t="s">
        <v>2102</v>
      </c>
      <c r="L1151">
        <v>3.67</v>
      </c>
      <c r="M1151" t="s">
        <v>6936</v>
      </c>
      <c r="N1151">
        <v>0</v>
      </c>
      <c r="O1151" t="s">
        <v>6937</v>
      </c>
      <c r="P1151" t="s">
        <v>2302</v>
      </c>
      <c r="Q1151">
        <v>7.02</v>
      </c>
      <c r="R1151" t="s">
        <v>101</v>
      </c>
      <c r="S1151">
        <v>1.75</v>
      </c>
      <c r="T1151">
        <v>45</v>
      </c>
      <c r="U1151" t="s">
        <v>6938</v>
      </c>
      <c r="V1151" t="s">
        <v>161</v>
      </c>
      <c r="W1151" t="s">
        <v>1545</v>
      </c>
      <c r="X1151">
        <v>2.2799999999999998</v>
      </c>
      <c r="Y1151" t="s">
        <v>2225</v>
      </c>
      <c r="Z1151" t="s">
        <v>602</v>
      </c>
      <c r="AA1151" t="s">
        <v>1305</v>
      </c>
      <c r="AB1151">
        <v>1.56</v>
      </c>
      <c r="AC1151" t="s">
        <v>1380</v>
      </c>
      <c r="AD1151">
        <v>37.94</v>
      </c>
      <c r="AE1151" t="s">
        <v>277</v>
      </c>
      <c r="AF1151">
        <v>1.24</v>
      </c>
      <c r="AG1151">
        <v>0</v>
      </c>
      <c r="AH1151">
        <v>0</v>
      </c>
      <c r="AI1151" s="4">
        <v>42167</v>
      </c>
    </row>
    <row r="1152" spans="1:35">
      <c r="A1152">
        <v>1151</v>
      </c>
      <c r="B1152" t="str">
        <f>"600650"</f>
        <v>600650</v>
      </c>
      <c r="C1152" t="s">
        <v>6939</v>
      </c>
      <c r="D1152" s="4">
        <v>43190</v>
      </c>
      <c r="E1152" t="s">
        <v>1972</v>
      </c>
      <c r="F1152" t="s">
        <v>184</v>
      </c>
      <c r="G1152">
        <v>0</v>
      </c>
      <c r="H1152">
        <v>0.14000000000000001</v>
      </c>
      <c r="I1152">
        <v>6.11</v>
      </c>
      <c r="J1152">
        <v>2.2799999999999998</v>
      </c>
      <c r="K1152" t="s">
        <v>506</v>
      </c>
      <c r="L1152">
        <v>0.87</v>
      </c>
      <c r="M1152" t="s">
        <v>6940</v>
      </c>
      <c r="N1152" t="s">
        <v>6941</v>
      </c>
      <c r="O1152" t="s">
        <v>2307</v>
      </c>
      <c r="P1152" t="s">
        <v>6942</v>
      </c>
      <c r="Q1152">
        <v>3.85</v>
      </c>
      <c r="R1152" t="s">
        <v>624</v>
      </c>
      <c r="S1152">
        <v>2.5099999999999998</v>
      </c>
      <c r="T1152">
        <v>20.49</v>
      </c>
      <c r="U1152" t="s">
        <v>5300</v>
      </c>
      <c r="V1152" t="s">
        <v>323</v>
      </c>
      <c r="W1152" t="s">
        <v>1094</v>
      </c>
      <c r="X1152">
        <v>2.2799999999999998</v>
      </c>
      <c r="Y1152" t="s">
        <v>4009</v>
      </c>
      <c r="Z1152" t="s">
        <v>860</v>
      </c>
      <c r="AA1152" t="s">
        <v>121</v>
      </c>
      <c r="AB1152">
        <v>1.73</v>
      </c>
      <c r="AC1152" t="s">
        <v>1219</v>
      </c>
      <c r="AD1152">
        <v>75.349999999999994</v>
      </c>
      <c r="AE1152" t="s">
        <v>2041</v>
      </c>
      <c r="AF1152">
        <v>0.62</v>
      </c>
      <c r="AG1152" t="s">
        <v>136</v>
      </c>
      <c r="AH1152">
        <v>0</v>
      </c>
      <c r="AI1152" s="4">
        <v>34127</v>
      </c>
    </row>
    <row r="1153" spans="1:35">
      <c r="A1153">
        <v>1152</v>
      </c>
      <c r="B1153" t="str">
        <f>"002572"</f>
        <v>002572</v>
      </c>
      <c r="C1153" t="s">
        <v>6943</v>
      </c>
      <c r="D1153" s="4">
        <v>43190</v>
      </c>
      <c r="E1153" t="s">
        <v>821</v>
      </c>
      <c r="F1153" t="s">
        <v>3587</v>
      </c>
      <c r="G1153" t="s">
        <v>6944</v>
      </c>
      <c r="H1153">
        <v>0.11</v>
      </c>
      <c r="I1153">
        <v>4.5</v>
      </c>
      <c r="J1153">
        <v>2.2799999999999998</v>
      </c>
      <c r="K1153" t="s">
        <v>548</v>
      </c>
      <c r="L1153">
        <v>30.32</v>
      </c>
      <c r="M1153" t="s">
        <v>1365</v>
      </c>
      <c r="N1153" t="s">
        <v>6945</v>
      </c>
      <c r="O1153" t="s">
        <v>1365</v>
      </c>
      <c r="P1153" t="s">
        <v>197</v>
      </c>
      <c r="Q1153">
        <v>33.479999999999997</v>
      </c>
      <c r="R1153" t="s">
        <v>1752</v>
      </c>
      <c r="S1153">
        <v>1.64</v>
      </c>
      <c r="T1153">
        <v>34.75</v>
      </c>
      <c r="U1153" t="s">
        <v>1403</v>
      </c>
      <c r="V1153" t="s">
        <v>2535</v>
      </c>
      <c r="W1153" t="s">
        <v>2753</v>
      </c>
      <c r="X1153">
        <v>2.2799999999999998</v>
      </c>
      <c r="Y1153" t="s">
        <v>775</v>
      </c>
      <c r="Z1153" t="s">
        <v>624</v>
      </c>
      <c r="AA1153" t="s">
        <v>138</v>
      </c>
      <c r="AB1153">
        <v>7.78</v>
      </c>
      <c r="AC1153" t="s">
        <v>2059</v>
      </c>
      <c r="AD1153">
        <v>67.64</v>
      </c>
      <c r="AE1153" t="s">
        <v>141</v>
      </c>
      <c r="AF1153">
        <v>1.6</v>
      </c>
      <c r="AG1153">
        <v>0</v>
      </c>
      <c r="AH1153">
        <v>0</v>
      </c>
      <c r="AI1153" s="4">
        <v>40645</v>
      </c>
    </row>
    <row r="1154" spans="1:35">
      <c r="A1154">
        <v>1153</v>
      </c>
      <c r="B1154" t="str">
        <f>"603880"</f>
        <v>603880</v>
      </c>
      <c r="C1154" t="s">
        <v>6946</v>
      </c>
      <c r="D1154" s="4">
        <v>43190</v>
      </c>
      <c r="E1154" t="s">
        <v>2307</v>
      </c>
      <c r="F1154" t="s">
        <v>534</v>
      </c>
      <c r="G1154">
        <v>2368</v>
      </c>
      <c r="H1154">
        <v>0.12</v>
      </c>
      <c r="I1154">
        <v>5.44</v>
      </c>
      <c r="J1154">
        <v>2.27</v>
      </c>
      <c r="K1154" t="s">
        <v>677</v>
      </c>
      <c r="L1154">
        <v>12.65</v>
      </c>
      <c r="M1154" t="s">
        <v>1169</v>
      </c>
      <c r="N1154" t="s">
        <v>6947</v>
      </c>
      <c r="O1154" t="s">
        <v>1169</v>
      </c>
      <c r="P1154" t="s">
        <v>6948</v>
      </c>
      <c r="Q1154">
        <v>5.39</v>
      </c>
      <c r="R1154" t="s">
        <v>382</v>
      </c>
      <c r="S1154">
        <v>1.57</v>
      </c>
      <c r="T1154">
        <v>25.61</v>
      </c>
      <c r="U1154" t="s">
        <v>539</v>
      </c>
      <c r="V1154" t="s">
        <v>1002</v>
      </c>
      <c r="W1154" t="s">
        <v>6269</v>
      </c>
      <c r="X1154">
        <v>2.27</v>
      </c>
      <c r="Y1154" t="s">
        <v>1905</v>
      </c>
      <c r="Z1154" t="s">
        <v>1489</v>
      </c>
      <c r="AA1154" t="s">
        <v>6949</v>
      </c>
      <c r="AB1154">
        <v>4.53</v>
      </c>
      <c r="AC1154" t="s">
        <v>318</v>
      </c>
      <c r="AD1154">
        <v>67.98</v>
      </c>
      <c r="AE1154" t="s">
        <v>492</v>
      </c>
      <c r="AF1154">
        <v>2.61</v>
      </c>
      <c r="AG1154">
        <v>0</v>
      </c>
      <c r="AH1154">
        <v>0</v>
      </c>
      <c r="AI1154" s="4">
        <v>42954</v>
      </c>
    </row>
    <row r="1155" spans="1:35">
      <c r="A1155">
        <v>1154</v>
      </c>
      <c r="B1155" t="str">
        <f>"603289"</f>
        <v>603289</v>
      </c>
      <c r="C1155" t="s">
        <v>6950</v>
      </c>
      <c r="D1155" s="4">
        <v>43190</v>
      </c>
      <c r="E1155" t="s">
        <v>81</v>
      </c>
      <c r="F1155" t="s">
        <v>6951</v>
      </c>
      <c r="G1155">
        <v>1959</v>
      </c>
      <c r="H1155">
        <v>0.08</v>
      </c>
      <c r="I1155">
        <v>3.32</v>
      </c>
      <c r="J1155">
        <v>2.27</v>
      </c>
      <c r="K1155" t="s">
        <v>1202</v>
      </c>
      <c r="L1155">
        <v>27.75</v>
      </c>
      <c r="M1155" t="s">
        <v>6952</v>
      </c>
      <c r="N1155" t="s">
        <v>5398</v>
      </c>
      <c r="O1155" t="s">
        <v>2577</v>
      </c>
      <c r="P1155" t="s">
        <v>6953</v>
      </c>
      <c r="Q1155">
        <v>20.58</v>
      </c>
      <c r="R1155" t="s">
        <v>205</v>
      </c>
      <c r="S1155">
        <v>1.01</v>
      </c>
      <c r="T1155">
        <v>29.85</v>
      </c>
      <c r="U1155" t="s">
        <v>1307</v>
      </c>
      <c r="V1155" t="s">
        <v>1223</v>
      </c>
      <c r="W1155" t="s">
        <v>845</v>
      </c>
      <c r="X1155">
        <v>2.27</v>
      </c>
      <c r="Y1155" t="s">
        <v>749</v>
      </c>
      <c r="Z1155" t="s">
        <v>3027</v>
      </c>
      <c r="AA1155" t="s">
        <v>2877</v>
      </c>
      <c r="AB1155">
        <v>3.48</v>
      </c>
      <c r="AC1155" t="s">
        <v>703</v>
      </c>
      <c r="AD1155">
        <v>68.63</v>
      </c>
      <c r="AE1155" t="s">
        <v>156</v>
      </c>
      <c r="AF1155">
        <v>1.19</v>
      </c>
      <c r="AG1155">
        <v>0</v>
      </c>
      <c r="AH1155">
        <v>0</v>
      </c>
      <c r="AI1155" s="4">
        <v>43039</v>
      </c>
    </row>
    <row r="1156" spans="1:35">
      <c r="A1156">
        <v>1155</v>
      </c>
      <c r="B1156" t="str">
        <f>"300661"</f>
        <v>300661</v>
      </c>
      <c r="C1156" t="s">
        <v>6954</v>
      </c>
      <c r="D1156" s="4">
        <v>43190</v>
      </c>
      <c r="E1156" t="s">
        <v>2147</v>
      </c>
      <c r="F1156" t="s">
        <v>6955</v>
      </c>
      <c r="G1156">
        <v>2626</v>
      </c>
      <c r="H1156">
        <v>0.28999999999999998</v>
      </c>
      <c r="I1156">
        <v>12.82</v>
      </c>
      <c r="J1156">
        <v>2.27</v>
      </c>
      <c r="K1156" t="s">
        <v>45</v>
      </c>
      <c r="L1156">
        <v>32.909999999999997</v>
      </c>
      <c r="M1156" t="s">
        <v>3330</v>
      </c>
      <c r="N1156" t="s">
        <v>6956</v>
      </c>
      <c r="O1156" t="s">
        <v>3330</v>
      </c>
      <c r="P1156" t="s">
        <v>6957</v>
      </c>
      <c r="Q1156">
        <v>21.67</v>
      </c>
      <c r="R1156" t="s">
        <v>531</v>
      </c>
      <c r="S1156">
        <v>3.97</v>
      </c>
      <c r="T1156">
        <v>45.28</v>
      </c>
      <c r="U1156" t="s">
        <v>4224</v>
      </c>
      <c r="V1156" t="s">
        <v>746</v>
      </c>
      <c r="W1156" t="s">
        <v>6958</v>
      </c>
      <c r="X1156">
        <v>2.27</v>
      </c>
      <c r="Y1156" t="s">
        <v>290</v>
      </c>
      <c r="Z1156" t="s">
        <v>2306</v>
      </c>
      <c r="AA1156" t="s">
        <v>6959</v>
      </c>
      <c r="AB1156">
        <v>8.7200000000000006</v>
      </c>
      <c r="AC1156" t="s">
        <v>1019</v>
      </c>
      <c r="AD1156">
        <v>82.29</v>
      </c>
      <c r="AE1156" t="s">
        <v>476</v>
      </c>
      <c r="AF1156">
        <v>7.78</v>
      </c>
      <c r="AG1156">
        <v>0</v>
      </c>
      <c r="AH1156">
        <v>0</v>
      </c>
      <c r="AI1156" s="4">
        <v>42892</v>
      </c>
    </row>
    <row r="1157" spans="1:35">
      <c r="A1157">
        <v>1156</v>
      </c>
      <c r="B1157" t="str">
        <f>"300545"</f>
        <v>300545</v>
      </c>
      <c r="C1157" t="s">
        <v>6960</v>
      </c>
      <c r="D1157" s="4">
        <v>43190</v>
      </c>
      <c r="E1157" t="s">
        <v>1016</v>
      </c>
      <c r="F1157" t="s">
        <v>5079</v>
      </c>
      <c r="G1157">
        <v>2649</v>
      </c>
      <c r="H1157">
        <v>0.08</v>
      </c>
      <c r="I1157">
        <v>3.53</v>
      </c>
      <c r="J1157">
        <v>2.27</v>
      </c>
      <c r="K1157" t="s">
        <v>642</v>
      </c>
      <c r="L1157">
        <v>75.790000000000006</v>
      </c>
      <c r="M1157" t="s">
        <v>6961</v>
      </c>
      <c r="N1157">
        <v>0</v>
      </c>
      <c r="O1157" t="s">
        <v>1093</v>
      </c>
      <c r="P1157" t="s">
        <v>4315</v>
      </c>
      <c r="Q1157">
        <v>139.4</v>
      </c>
      <c r="R1157" t="s">
        <v>293</v>
      </c>
      <c r="S1157">
        <v>1.29</v>
      </c>
      <c r="T1157">
        <v>31.97</v>
      </c>
      <c r="U1157" t="s">
        <v>919</v>
      </c>
      <c r="V1157" t="s">
        <v>895</v>
      </c>
      <c r="W1157" t="s">
        <v>6962</v>
      </c>
      <c r="X1157">
        <v>2.27</v>
      </c>
      <c r="Y1157" t="s">
        <v>1243</v>
      </c>
      <c r="Z1157" t="s">
        <v>944</v>
      </c>
      <c r="AA1157" t="s">
        <v>2793</v>
      </c>
      <c r="AB1157">
        <v>6.06</v>
      </c>
      <c r="AC1157" t="s">
        <v>269</v>
      </c>
      <c r="AD1157">
        <v>50.26</v>
      </c>
      <c r="AE1157" t="s">
        <v>641</v>
      </c>
      <c r="AF1157">
        <v>1.25</v>
      </c>
      <c r="AG1157">
        <v>0</v>
      </c>
      <c r="AH1157">
        <v>0</v>
      </c>
      <c r="AI1157" s="4">
        <v>42641</v>
      </c>
    </row>
    <row r="1158" spans="1:35">
      <c r="A1158">
        <v>1157</v>
      </c>
      <c r="B1158" t="str">
        <f>"300273"</f>
        <v>300273</v>
      </c>
      <c r="C1158" t="s">
        <v>6963</v>
      </c>
      <c r="D1158" s="4">
        <v>43190</v>
      </c>
      <c r="E1158" t="s">
        <v>1041</v>
      </c>
      <c r="F1158" t="s">
        <v>1088</v>
      </c>
      <c r="G1158" t="s">
        <v>5706</v>
      </c>
      <c r="H1158">
        <v>7.0000000000000007E-2</v>
      </c>
      <c r="I1158">
        <v>3.12</v>
      </c>
      <c r="J1158">
        <v>2.27</v>
      </c>
      <c r="K1158" t="s">
        <v>3674</v>
      </c>
      <c r="L1158">
        <v>10.210000000000001</v>
      </c>
      <c r="M1158" t="s">
        <v>6964</v>
      </c>
      <c r="N1158" t="s">
        <v>6965</v>
      </c>
      <c r="O1158" t="s">
        <v>6966</v>
      </c>
      <c r="P1158" t="s">
        <v>6967</v>
      </c>
      <c r="Q1158">
        <v>28.45</v>
      </c>
      <c r="R1158" t="s">
        <v>3587</v>
      </c>
      <c r="S1158">
        <v>0.79</v>
      </c>
      <c r="T1158">
        <v>61.5</v>
      </c>
      <c r="U1158" t="s">
        <v>2691</v>
      </c>
      <c r="V1158" t="s">
        <v>1661</v>
      </c>
      <c r="W1158" t="s">
        <v>975</v>
      </c>
      <c r="X1158">
        <v>2.27</v>
      </c>
      <c r="Y1158" t="s">
        <v>1242</v>
      </c>
      <c r="Z1158" t="s">
        <v>2329</v>
      </c>
      <c r="AA1158" t="s">
        <v>419</v>
      </c>
      <c r="AB1158">
        <v>2.0299999999999998</v>
      </c>
      <c r="AC1158" t="s">
        <v>1516</v>
      </c>
      <c r="AD1158">
        <v>44.29</v>
      </c>
      <c r="AE1158" t="s">
        <v>4539</v>
      </c>
      <c r="AF1158">
        <v>1.22</v>
      </c>
      <c r="AG1158">
        <v>0</v>
      </c>
      <c r="AH1158">
        <v>0</v>
      </c>
      <c r="AI1158" s="4">
        <v>40842</v>
      </c>
    </row>
    <row r="1159" spans="1:35">
      <c r="A1159">
        <v>1158</v>
      </c>
      <c r="B1159" t="str">
        <f>"300031"</f>
        <v>300031</v>
      </c>
      <c r="C1159" t="s">
        <v>6968</v>
      </c>
      <c r="D1159" s="4">
        <v>43190</v>
      </c>
      <c r="E1159" t="s">
        <v>2915</v>
      </c>
      <c r="F1159" t="s">
        <v>217</v>
      </c>
      <c r="G1159" t="s">
        <v>1788</v>
      </c>
      <c r="H1159">
        <v>0.14000000000000001</v>
      </c>
      <c r="I1159">
        <v>5.71</v>
      </c>
      <c r="J1159">
        <v>2.27</v>
      </c>
      <c r="K1159" t="s">
        <v>704</v>
      </c>
      <c r="L1159">
        <v>17.16</v>
      </c>
      <c r="M1159" t="s">
        <v>6969</v>
      </c>
      <c r="N1159" t="s">
        <v>1838</v>
      </c>
      <c r="O1159" t="s">
        <v>6970</v>
      </c>
      <c r="P1159" t="s">
        <v>6971</v>
      </c>
      <c r="Q1159">
        <v>46.99</v>
      </c>
      <c r="R1159" t="s">
        <v>1521</v>
      </c>
      <c r="S1159">
        <v>1.57</v>
      </c>
      <c r="T1159">
        <v>53.42</v>
      </c>
      <c r="U1159" t="s">
        <v>733</v>
      </c>
      <c r="V1159" t="s">
        <v>124</v>
      </c>
      <c r="W1159" t="s">
        <v>507</v>
      </c>
      <c r="X1159">
        <v>2.27</v>
      </c>
      <c r="Y1159" t="s">
        <v>1584</v>
      </c>
      <c r="Z1159" t="s">
        <v>2674</v>
      </c>
      <c r="AA1159" t="s">
        <v>292</v>
      </c>
      <c r="AB1159">
        <v>2.2599999999999998</v>
      </c>
      <c r="AC1159" t="s">
        <v>1029</v>
      </c>
      <c r="AD1159">
        <v>72.319999999999993</v>
      </c>
      <c r="AE1159" t="s">
        <v>982</v>
      </c>
      <c r="AF1159">
        <v>3.08</v>
      </c>
      <c r="AG1159">
        <v>0</v>
      </c>
      <c r="AH1159">
        <v>0</v>
      </c>
      <c r="AI1159" s="4">
        <v>40172</v>
      </c>
    </row>
    <row r="1160" spans="1:35">
      <c r="A1160">
        <v>1159</v>
      </c>
      <c r="B1160" t="str">
        <f>"002913"</f>
        <v>002913</v>
      </c>
      <c r="C1160" t="s">
        <v>6972</v>
      </c>
      <c r="D1160" s="4">
        <v>43190</v>
      </c>
      <c r="E1160" t="s">
        <v>1016</v>
      </c>
      <c r="F1160" t="s">
        <v>6973</v>
      </c>
      <c r="G1160">
        <v>1157</v>
      </c>
      <c r="H1160">
        <v>0.31</v>
      </c>
      <c r="I1160">
        <v>13.63</v>
      </c>
      <c r="J1160">
        <v>2.27</v>
      </c>
      <c r="K1160" t="s">
        <v>1721</v>
      </c>
      <c r="L1160">
        <v>26.8</v>
      </c>
      <c r="M1160" t="s">
        <v>2189</v>
      </c>
      <c r="N1160" t="s">
        <v>6974</v>
      </c>
      <c r="O1160" t="s">
        <v>6975</v>
      </c>
      <c r="P1160" t="s">
        <v>6976</v>
      </c>
      <c r="Q1160">
        <v>-4.8899999999999997</v>
      </c>
      <c r="R1160" t="s">
        <v>3067</v>
      </c>
      <c r="S1160">
        <v>2.84</v>
      </c>
      <c r="T1160">
        <v>23.88</v>
      </c>
      <c r="U1160" t="s">
        <v>356</v>
      </c>
      <c r="V1160" t="s">
        <v>2328</v>
      </c>
      <c r="W1160" t="s">
        <v>3757</v>
      </c>
      <c r="X1160">
        <v>2.27</v>
      </c>
      <c r="Y1160" t="s">
        <v>909</v>
      </c>
      <c r="Z1160" t="s">
        <v>1013</v>
      </c>
      <c r="AA1160" t="s">
        <v>6977</v>
      </c>
      <c r="AB1160">
        <v>3.18</v>
      </c>
      <c r="AC1160" t="s">
        <v>1255</v>
      </c>
      <c r="AD1160">
        <v>70.89</v>
      </c>
      <c r="AE1160" t="s">
        <v>350</v>
      </c>
      <c r="AF1160">
        <v>9.44</v>
      </c>
      <c r="AG1160">
        <v>0</v>
      </c>
      <c r="AH1160">
        <v>0</v>
      </c>
      <c r="AI1160" s="4">
        <v>43070</v>
      </c>
    </row>
    <row r="1161" spans="1:35">
      <c r="A1161">
        <v>1160</v>
      </c>
      <c r="B1161" t="str">
        <f>"002056"</f>
        <v>002056</v>
      </c>
      <c r="C1161" t="s">
        <v>6978</v>
      </c>
      <c r="D1161" s="4">
        <v>43190</v>
      </c>
      <c r="E1161" t="s">
        <v>76</v>
      </c>
      <c r="F1161" t="s">
        <v>76</v>
      </c>
      <c r="G1161" t="s">
        <v>3809</v>
      </c>
      <c r="H1161">
        <v>0.06</v>
      </c>
      <c r="I1161">
        <v>2.75</v>
      </c>
      <c r="J1161">
        <v>2.27</v>
      </c>
      <c r="K1161" t="s">
        <v>538</v>
      </c>
      <c r="L1161">
        <v>13.46</v>
      </c>
      <c r="M1161" t="s">
        <v>1525</v>
      </c>
      <c r="N1161" t="s">
        <v>6979</v>
      </c>
      <c r="O1161" t="s">
        <v>2360</v>
      </c>
      <c r="P1161" t="s">
        <v>198</v>
      </c>
      <c r="Q1161">
        <v>67.77</v>
      </c>
      <c r="R1161" t="s">
        <v>1029</v>
      </c>
      <c r="S1161">
        <v>1.31</v>
      </c>
      <c r="T1161">
        <v>22.83</v>
      </c>
      <c r="U1161" t="s">
        <v>709</v>
      </c>
      <c r="V1161" t="s">
        <v>3122</v>
      </c>
      <c r="W1161" t="s">
        <v>876</v>
      </c>
      <c r="X1161">
        <v>2.27</v>
      </c>
      <c r="Y1161" t="s">
        <v>1455</v>
      </c>
      <c r="Z1161" t="s">
        <v>76</v>
      </c>
      <c r="AA1161" t="s">
        <v>284</v>
      </c>
      <c r="AB1161">
        <v>2.4900000000000002</v>
      </c>
      <c r="AC1161" t="s">
        <v>553</v>
      </c>
      <c r="AD1161">
        <v>72.02</v>
      </c>
      <c r="AE1161" t="s">
        <v>1594</v>
      </c>
      <c r="AF1161">
        <v>0.21</v>
      </c>
      <c r="AG1161">
        <v>0</v>
      </c>
      <c r="AH1161">
        <v>0</v>
      </c>
      <c r="AI1161" s="4">
        <v>38931</v>
      </c>
    </row>
    <row r="1162" spans="1:35">
      <c r="A1162">
        <v>1161</v>
      </c>
      <c r="B1162" t="str">
        <f>"600120"</f>
        <v>600120</v>
      </c>
      <c r="C1162" t="s">
        <v>6980</v>
      </c>
      <c r="D1162" s="4">
        <v>43190</v>
      </c>
      <c r="E1162" t="s">
        <v>5080</v>
      </c>
      <c r="F1162" t="s">
        <v>2255</v>
      </c>
      <c r="G1162" t="s">
        <v>70</v>
      </c>
      <c r="H1162">
        <v>0.34</v>
      </c>
      <c r="I1162">
        <v>15.17</v>
      </c>
      <c r="J1162">
        <v>2.2599999999999998</v>
      </c>
      <c r="K1162" t="s">
        <v>187</v>
      </c>
      <c r="L1162">
        <v>83.38</v>
      </c>
      <c r="M1162" t="s">
        <v>296</v>
      </c>
      <c r="N1162" t="s">
        <v>535</v>
      </c>
      <c r="O1162" t="s">
        <v>296</v>
      </c>
      <c r="P1162" t="s">
        <v>807</v>
      </c>
      <c r="Q1162">
        <v>-6.2</v>
      </c>
      <c r="R1162" t="s">
        <v>737</v>
      </c>
      <c r="S1162">
        <v>6.26</v>
      </c>
      <c r="T1162">
        <v>1.18</v>
      </c>
      <c r="U1162" t="s">
        <v>2761</v>
      </c>
      <c r="V1162" t="s">
        <v>2354</v>
      </c>
      <c r="W1162" t="s">
        <v>533</v>
      </c>
      <c r="X1162">
        <v>2.2599999999999998</v>
      </c>
      <c r="Y1162" t="s">
        <v>1030</v>
      </c>
      <c r="Z1162" t="s">
        <v>3065</v>
      </c>
      <c r="AA1162" t="s">
        <v>354</v>
      </c>
      <c r="AB1162">
        <v>1.1000000000000001</v>
      </c>
      <c r="AC1162" t="s">
        <v>716</v>
      </c>
      <c r="AD1162">
        <v>53.16</v>
      </c>
      <c r="AE1162" t="s">
        <v>514</v>
      </c>
      <c r="AF1162">
        <v>3.17</v>
      </c>
      <c r="AG1162">
        <v>0</v>
      </c>
      <c r="AH1162">
        <v>0</v>
      </c>
      <c r="AI1162" s="4">
        <v>35765</v>
      </c>
    </row>
    <row r="1163" spans="1:35">
      <c r="A1163">
        <v>1162</v>
      </c>
      <c r="B1163" t="str">
        <f>"600090"</f>
        <v>600090</v>
      </c>
      <c r="C1163" t="s">
        <v>6981</v>
      </c>
      <c r="D1163" s="4">
        <v>43190</v>
      </c>
      <c r="E1163" t="s">
        <v>161</v>
      </c>
      <c r="F1163" t="s">
        <v>2778</v>
      </c>
      <c r="G1163" t="s">
        <v>6893</v>
      </c>
      <c r="H1163">
        <v>0.09</v>
      </c>
      <c r="I1163">
        <v>4.1399999999999997</v>
      </c>
      <c r="J1163">
        <v>2.2599999999999998</v>
      </c>
      <c r="K1163" t="s">
        <v>306</v>
      </c>
      <c r="L1163">
        <v>10.85</v>
      </c>
      <c r="M1163" t="s">
        <v>2769</v>
      </c>
      <c r="N1163">
        <v>-7562</v>
      </c>
      <c r="O1163" t="s">
        <v>905</v>
      </c>
      <c r="P1163" t="s">
        <v>45</v>
      </c>
      <c r="Q1163">
        <v>1.51</v>
      </c>
      <c r="R1163" t="s">
        <v>710</v>
      </c>
      <c r="S1163">
        <v>1.78</v>
      </c>
      <c r="T1163">
        <v>15.24</v>
      </c>
      <c r="U1163" t="s">
        <v>1293</v>
      </c>
      <c r="V1163" t="s">
        <v>6982</v>
      </c>
      <c r="W1163" t="s">
        <v>192</v>
      </c>
      <c r="X1163">
        <v>2.2599999999999998</v>
      </c>
      <c r="Y1163" t="s">
        <v>757</v>
      </c>
      <c r="Z1163" t="s">
        <v>1569</v>
      </c>
      <c r="AA1163" t="s">
        <v>1365</v>
      </c>
      <c r="AB1163">
        <v>1.47</v>
      </c>
      <c r="AC1163" t="s">
        <v>2727</v>
      </c>
      <c r="AD1163">
        <v>74.69</v>
      </c>
      <c r="AE1163" t="s">
        <v>512</v>
      </c>
      <c r="AF1163">
        <v>1.8</v>
      </c>
      <c r="AG1163">
        <v>0</v>
      </c>
      <c r="AH1163">
        <v>0</v>
      </c>
      <c r="AI1163" s="4">
        <v>35597</v>
      </c>
    </row>
    <row r="1164" spans="1:35">
      <c r="A1164">
        <v>1163</v>
      </c>
      <c r="B1164" t="str">
        <f>"300548"</f>
        <v>300548</v>
      </c>
      <c r="C1164" t="s">
        <v>6983</v>
      </c>
      <c r="D1164" s="4">
        <v>43190</v>
      </c>
      <c r="E1164" t="s">
        <v>6984</v>
      </c>
      <c r="F1164" t="s">
        <v>6985</v>
      </c>
      <c r="G1164">
        <v>2583</v>
      </c>
      <c r="H1164">
        <v>0.17</v>
      </c>
      <c r="I1164">
        <v>7.45</v>
      </c>
      <c r="J1164">
        <v>2.25</v>
      </c>
      <c r="K1164" t="s">
        <v>6986</v>
      </c>
      <c r="L1164">
        <v>-18</v>
      </c>
      <c r="M1164" t="s">
        <v>6987</v>
      </c>
      <c r="N1164" t="s">
        <v>2937</v>
      </c>
      <c r="O1164" t="s">
        <v>6988</v>
      </c>
      <c r="P1164" t="s">
        <v>5582</v>
      </c>
      <c r="Q1164">
        <v>-30.19</v>
      </c>
      <c r="R1164" t="s">
        <v>1067</v>
      </c>
      <c r="S1164">
        <v>3.23</v>
      </c>
      <c r="T1164">
        <v>30.38</v>
      </c>
      <c r="U1164" t="s">
        <v>259</v>
      </c>
      <c r="V1164" t="s">
        <v>1212</v>
      </c>
      <c r="W1164" t="s">
        <v>4639</v>
      </c>
      <c r="X1164">
        <v>2.25</v>
      </c>
      <c r="Y1164" t="s">
        <v>6989</v>
      </c>
      <c r="Z1164" t="s">
        <v>1474</v>
      </c>
      <c r="AA1164" t="s">
        <v>6990</v>
      </c>
      <c r="AB1164">
        <v>4.37</v>
      </c>
      <c r="AC1164" t="s">
        <v>1491</v>
      </c>
      <c r="AD1164">
        <v>90.67</v>
      </c>
      <c r="AE1164" t="s">
        <v>1484</v>
      </c>
      <c r="AF1164">
        <v>2.72</v>
      </c>
      <c r="AG1164">
        <v>0</v>
      </c>
      <c r="AH1164">
        <v>0</v>
      </c>
      <c r="AI1164" s="4">
        <v>42655</v>
      </c>
    </row>
    <row r="1165" spans="1:35">
      <c r="A1165">
        <v>1164</v>
      </c>
      <c r="B1165" t="str">
        <f>"002340"</f>
        <v>002340</v>
      </c>
      <c r="C1165" t="s">
        <v>6991</v>
      </c>
      <c r="D1165" s="4">
        <v>43190</v>
      </c>
      <c r="E1165" t="s">
        <v>3160</v>
      </c>
      <c r="F1165" t="s">
        <v>2064</v>
      </c>
      <c r="G1165" t="s">
        <v>4245</v>
      </c>
      <c r="H1165">
        <v>0.04</v>
      </c>
      <c r="I1165">
        <v>1.97</v>
      </c>
      <c r="J1165">
        <v>2.25</v>
      </c>
      <c r="K1165" t="s">
        <v>756</v>
      </c>
      <c r="L1165">
        <v>80.05</v>
      </c>
      <c r="M1165" t="s">
        <v>1364</v>
      </c>
      <c r="N1165" t="s">
        <v>6992</v>
      </c>
      <c r="O1165" t="s">
        <v>1435</v>
      </c>
      <c r="P1165" t="s">
        <v>368</v>
      </c>
      <c r="Q1165">
        <v>68.31</v>
      </c>
      <c r="R1165" t="s">
        <v>1343</v>
      </c>
      <c r="S1165">
        <v>0.43</v>
      </c>
      <c r="T1165">
        <v>19.77</v>
      </c>
      <c r="U1165" t="s">
        <v>1100</v>
      </c>
      <c r="V1165" t="s">
        <v>815</v>
      </c>
      <c r="W1165" t="s">
        <v>1195</v>
      </c>
      <c r="X1165">
        <v>2.25</v>
      </c>
      <c r="Y1165" t="s">
        <v>899</v>
      </c>
      <c r="Z1165" t="s">
        <v>3472</v>
      </c>
      <c r="AA1165" t="s">
        <v>369</v>
      </c>
      <c r="AB1165">
        <v>2.95</v>
      </c>
      <c r="AC1165" t="s">
        <v>3313</v>
      </c>
      <c r="AD1165">
        <v>33.450000000000003</v>
      </c>
      <c r="AE1165" t="s">
        <v>1843</v>
      </c>
      <c r="AF1165">
        <v>0.53</v>
      </c>
      <c r="AG1165">
        <v>0</v>
      </c>
      <c r="AH1165">
        <v>0</v>
      </c>
      <c r="AI1165" s="4">
        <v>40200</v>
      </c>
    </row>
    <row r="1166" spans="1:35">
      <c r="A1166">
        <v>1165</v>
      </c>
      <c r="B1166" t="str">
        <f>"603618"</f>
        <v>603618</v>
      </c>
      <c r="C1166" t="s">
        <v>6993</v>
      </c>
      <c r="D1166" s="4">
        <v>43190</v>
      </c>
      <c r="E1166" t="s">
        <v>475</v>
      </c>
      <c r="F1166" t="s">
        <v>475</v>
      </c>
      <c r="G1166" t="s">
        <v>268</v>
      </c>
      <c r="H1166">
        <v>7.0000000000000007E-2</v>
      </c>
      <c r="I1166">
        <v>3.07</v>
      </c>
      <c r="J1166">
        <v>2.2400000000000002</v>
      </c>
      <c r="K1166" t="s">
        <v>960</v>
      </c>
      <c r="L1166">
        <v>12.63</v>
      </c>
      <c r="M1166" t="s">
        <v>6994</v>
      </c>
      <c r="N1166" t="s">
        <v>6995</v>
      </c>
      <c r="O1166" t="s">
        <v>6996</v>
      </c>
      <c r="P1166" t="s">
        <v>6997</v>
      </c>
      <c r="Q1166">
        <v>28.54</v>
      </c>
      <c r="R1166" t="s">
        <v>2681</v>
      </c>
      <c r="S1166">
        <v>0.76</v>
      </c>
      <c r="T1166">
        <v>16.78</v>
      </c>
      <c r="U1166" t="s">
        <v>956</v>
      </c>
      <c r="V1166" t="s">
        <v>235</v>
      </c>
      <c r="W1166" t="s">
        <v>769</v>
      </c>
      <c r="X1166">
        <v>2.2400000000000002</v>
      </c>
      <c r="Y1166" t="s">
        <v>386</v>
      </c>
      <c r="Z1166" t="s">
        <v>440</v>
      </c>
      <c r="AA1166" t="s">
        <v>1941</v>
      </c>
      <c r="AB1166">
        <v>1.99</v>
      </c>
      <c r="AC1166" t="s">
        <v>576</v>
      </c>
      <c r="AD1166">
        <v>40.450000000000003</v>
      </c>
      <c r="AE1166" t="s">
        <v>125</v>
      </c>
      <c r="AF1166">
        <v>1.27</v>
      </c>
      <c r="AG1166">
        <v>0</v>
      </c>
      <c r="AH1166">
        <v>0</v>
      </c>
      <c r="AI1166" s="4">
        <v>42052</v>
      </c>
    </row>
    <row r="1167" spans="1:35">
      <c r="A1167">
        <v>1166</v>
      </c>
      <c r="B1167" t="str">
        <f>"300160"</f>
        <v>300160</v>
      </c>
      <c r="C1167" t="s">
        <v>6998</v>
      </c>
      <c r="D1167" s="4">
        <v>43190</v>
      </c>
      <c r="E1167" t="s">
        <v>2938</v>
      </c>
      <c r="F1167" t="s">
        <v>2851</v>
      </c>
      <c r="G1167" t="s">
        <v>3585</v>
      </c>
      <c r="H1167">
        <v>0.05</v>
      </c>
      <c r="I1167">
        <v>2.23</v>
      </c>
      <c r="J1167">
        <v>2.2400000000000002</v>
      </c>
      <c r="K1167" t="s">
        <v>597</v>
      </c>
      <c r="L1167">
        <v>-8.11</v>
      </c>
      <c r="M1167" t="s">
        <v>6999</v>
      </c>
      <c r="N1167">
        <v>0</v>
      </c>
      <c r="O1167" t="s">
        <v>7000</v>
      </c>
      <c r="P1167" t="s">
        <v>2420</v>
      </c>
      <c r="Q1167">
        <v>-52.49</v>
      </c>
      <c r="R1167" t="s">
        <v>4185</v>
      </c>
      <c r="S1167">
        <v>0.73</v>
      </c>
      <c r="T1167">
        <v>28.3</v>
      </c>
      <c r="U1167" t="s">
        <v>243</v>
      </c>
      <c r="V1167" t="s">
        <v>521</v>
      </c>
      <c r="W1167" t="s">
        <v>2792</v>
      </c>
      <c r="X1167">
        <v>2.2400000000000002</v>
      </c>
      <c r="Y1167" t="s">
        <v>2131</v>
      </c>
      <c r="Z1167" t="s">
        <v>46</v>
      </c>
      <c r="AA1167" t="s">
        <v>993</v>
      </c>
      <c r="AB1167">
        <v>1.82</v>
      </c>
      <c r="AC1167" t="s">
        <v>924</v>
      </c>
      <c r="AD1167">
        <v>60.07</v>
      </c>
      <c r="AE1167" t="s">
        <v>985</v>
      </c>
      <c r="AF1167">
        <v>0.38</v>
      </c>
      <c r="AG1167">
        <v>0</v>
      </c>
      <c r="AH1167">
        <v>0</v>
      </c>
      <c r="AI1167" s="4">
        <v>40556</v>
      </c>
    </row>
    <row r="1168" spans="1:35">
      <c r="A1168">
        <v>1167</v>
      </c>
      <c r="B1168" t="str">
        <f>"002481"</f>
        <v>002481</v>
      </c>
      <c r="C1168" t="s">
        <v>7001</v>
      </c>
      <c r="D1168" s="4">
        <v>43190</v>
      </c>
      <c r="E1168" t="s">
        <v>164</v>
      </c>
      <c r="F1168" t="s">
        <v>835</v>
      </c>
      <c r="G1168" t="s">
        <v>1080</v>
      </c>
      <c r="H1168">
        <v>0.05</v>
      </c>
      <c r="I1168">
        <v>2.08</v>
      </c>
      <c r="J1168">
        <v>2.2400000000000002</v>
      </c>
      <c r="K1168" t="s">
        <v>1867</v>
      </c>
      <c r="L1168">
        <v>81.599999999999994</v>
      </c>
      <c r="M1168" t="s">
        <v>4066</v>
      </c>
      <c r="N1168" t="s">
        <v>6177</v>
      </c>
      <c r="O1168" t="s">
        <v>7002</v>
      </c>
      <c r="P1168" t="s">
        <v>7003</v>
      </c>
      <c r="Q1168">
        <v>102.01</v>
      </c>
      <c r="R1168" t="s">
        <v>1993</v>
      </c>
      <c r="S1168">
        <v>0.55000000000000004</v>
      </c>
      <c r="T1168">
        <v>14.41</v>
      </c>
      <c r="U1168" t="s">
        <v>3016</v>
      </c>
      <c r="V1168" t="s">
        <v>3356</v>
      </c>
      <c r="W1168" t="s">
        <v>3154</v>
      </c>
      <c r="X1168">
        <v>2.2400000000000002</v>
      </c>
      <c r="Y1168" t="s">
        <v>757</v>
      </c>
      <c r="Z1168" t="s">
        <v>1678</v>
      </c>
      <c r="AA1168" t="s">
        <v>214</v>
      </c>
      <c r="AB1168">
        <v>2.21</v>
      </c>
      <c r="AC1168" t="s">
        <v>2515</v>
      </c>
      <c r="AD1168">
        <v>59.56</v>
      </c>
      <c r="AE1168" t="s">
        <v>792</v>
      </c>
      <c r="AF1168">
        <v>0.49</v>
      </c>
      <c r="AG1168">
        <v>0</v>
      </c>
      <c r="AH1168">
        <v>0</v>
      </c>
      <c r="AI1168" s="4">
        <v>40442</v>
      </c>
    </row>
    <row r="1169" spans="1:35">
      <c r="A1169">
        <v>1168</v>
      </c>
      <c r="B1169" t="str">
        <f>"000601"</f>
        <v>000601</v>
      </c>
      <c r="C1169" t="s">
        <v>7004</v>
      </c>
      <c r="D1169" s="4">
        <v>43190</v>
      </c>
      <c r="E1169" t="s">
        <v>699</v>
      </c>
      <c r="F1169" t="s">
        <v>699</v>
      </c>
      <c r="G1169" t="s">
        <v>1340</v>
      </c>
      <c r="H1169">
        <v>0.09</v>
      </c>
      <c r="I1169">
        <v>4.22</v>
      </c>
      <c r="J1169">
        <v>2.2400000000000002</v>
      </c>
      <c r="K1169" t="s">
        <v>2646</v>
      </c>
      <c r="L1169">
        <v>-10.91</v>
      </c>
      <c r="M1169" t="s">
        <v>802</v>
      </c>
      <c r="N1169">
        <v>0</v>
      </c>
      <c r="O1169" t="s">
        <v>372</v>
      </c>
      <c r="P1169" t="s">
        <v>651</v>
      </c>
      <c r="Q1169">
        <v>-18.28</v>
      </c>
      <c r="R1169" t="s">
        <v>926</v>
      </c>
      <c r="S1169">
        <v>1.19</v>
      </c>
      <c r="T1169">
        <v>22.19</v>
      </c>
      <c r="U1169" t="s">
        <v>2104</v>
      </c>
      <c r="V1169" t="s">
        <v>1343</v>
      </c>
      <c r="W1169" t="s">
        <v>2227</v>
      </c>
      <c r="X1169">
        <v>2.2400000000000002</v>
      </c>
      <c r="Y1169" t="s">
        <v>1841</v>
      </c>
      <c r="Z1169" t="s">
        <v>3356</v>
      </c>
      <c r="AA1169" t="s">
        <v>1675</v>
      </c>
      <c r="AB1169">
        <v>1.23</v>
      </c>
      <c r="AC1169" t="s">
        <v>1660</v>
      </c>
      <c r="AD1169">
        <v>47.33</v>
      </c>
      <c r="AE1169" t="s">
        <v>1367</v>
      </c>
      <c r="AF1169">
        <v>1.47</v>
      </c>
      <c r="AG1169">
        <v>0</v>
      </c>
      <c r="AH1169">
        <v>0</v>
      </c>
      <c r="AI1169" s="4">
        <v>35307</v>
      </c>
    </row>
    <row r="1170" spans="1:35">
      <c r="A1170">
        <v>1169</v>
      </c>
      <c r="B1170" t="str">
        <f>"603557"</f>
        <v>603557</v>
      </c>
      <c r="C1170" t="s">
        <v>7005</v>
      </c>
      <c r="D1170" s="4">
        <v>43190</v>
      </c>
      <c r="E1170" t="s">
        <v>1721</v>
      </c>
      <c r="F1170" t="s">
        <v>7006</v>
      </c>
      <c r="G1170">
        <v>2316</v>
      </c>
      <c r="H1170">
        <v>7.0000000000000007E-2</v>
      </c>
      <c r="I1170">
        <v>3.04</v>
      </c>
      <c r="J1170">
        <v>2.23</v>
      </c>
      <c r="K1170" t="s">
        <v>1733</v>
      </c>
      <c r="L1170">
        <v>4.0599999999999996</v>
      </c>
      <c r="M1170" t="s">
        <v>151</v>
      </c>
      <c r="N1170" t="s">
        <v>6768</v>
      </c>
      <c r="O1170" t="s">
        <v>7007</v>
      </c>
      <c r="P1170" t="s">
        <v>7008</v>
      </c>
      <c r="Q1170">
        <v>9.15</v>
      </c>
      <c r="R1170" t="s">
        <v>2953</v>
      </c>
      <c r="S1170">
        <v>0.84</v>
      </c>
      <c r="T1170">
        <v>36.369999999999997</v>
      </c>
      <c r="U1170" t="s">
        <v>1126</v>
      </c>
      <c r="V1170" t="s">
        <v>1214</v>
      </c>
      <c r="W1170" t="s">
        <v>2751</v>
      </c>
      <c r="X1170">
        <v>2.23</v>
      </c>
      <c r="Y1170" t="s">
        <v>143</v>
      </c>
      <c r="Z1170" t="s">
        <v>976</v>
      </c>
      <c r="AA1170" t="s">
        <v>3291</v>
      </c>
      <c r="AB1170">
        <v>4.46</v>
      </c>
      <c r="AC1170" t="s">
        <v>162</v>
      </c>
      <c r="AD1170">
        <v>80.709999999999994</v>
      </c>
      <c r="AE1170" t="s">
        <v>2587</v>
      </c>
      <c r="AF1170">
        <v>1.1499999999999999</v>
      </c>
      <c r="AG1170">
        <v>0</v>
      </c>
      <c r="AH1170">
        <v>0</v>
      </c>
      <c r="AI1170" s="4">
        <v>42965</v>
      </c>
    </row>
    <row r="1171" spans="1:35">
      <c r="A1171">
        <v>1170</v>
      </c>
      <c r="B1171" t="str">
        <f>"600057"</f>
        <v>600057</v>
      </c>
      <c r="C1171" t="s">
        <v>7009</v>
      </c>
      <c r="D1171" s="4">
        <v>43190</v>
      </c>
      <c r="E1171" t="s">
        <v>114</v>
      </c>
      <c r="F1171" t="s">
        <v>420</v>
      </c>
      <c r="G1171" t="s">
        <v>4156</v>
      </c>
      <c r="H1171">
        <v>0.11</v>
      </c>
      <c r="I1171">
        <v>4.16</v>
      </c>
      <c r="J1171">
        <v>2.23</v>
      </c>
      <c r="K1171" t="s">
        <v>2653</v>
      </c>
      <c r="L1171">
        <v>15.72</v>
      </c>
      <c r="M1171" t="s">
        <v>542</v>
      </c>
      <c r="N1171" t="s">
        <v>7010</v>
      </c>
      <c r="O1171" t="s">
        <v>2036</v>
      </c>
      <c r="P1171" t="s">
        <v>4614</v>
      </c>
      <c r="Q1171">
        <v>67.05</v>
      </c>
      <c r="R1171" t="s">
        <v>1348</v>
      </c>
      <c r="S1171">
        <v>1.04</v>
      </c>
      <c r="T1171">
        <v>3.02</v>
      </c>
      <c r="U1171" t="s">
        <v>7011</v>
      </c>
      <c r="V1171" t="s">
        <v>2864</v>
      </c>
      <c r="W1171" t="s">
        <v>1143</v>
      </c>
      <c r="X1171">
        <v>2.23</v>
      </c>
      <c r="Y1171" t="s">
        <v>1271</v>
      </c>
      <c r="Z1171" t="s">
        <v>7012</v>
      </c>
      <c r="AA1171" t="s">
        <v>756</v>
      </c>
      <c r="AB1171">
        <v>1.24</v>
      </c>
      <c r="AC1171" t="s">
        <v>558</v>
      </c>
      <c r="AD1171">
        <v>20.170000000000002</v>
      </c>
      <c r="AE1171" t="s">
        <v>3217</v>
      </c>
      <c r="AF1171">
        <v>2.0499999999999998</v>
      </c>
      <c r="AG1171">
        <v>0</v>
      </c>
      <c r="AH1171">
        <v>0</v>
      </c>
      <c r="AI1171" s="4">
        <v>35585</v>
      </c>
    </row>
    <row r="1172" spans="1:35">
      <c r="A1172">
        <v>1171</v>
      </c>
      <c r="B1172" t="str">
        <f>"300566"</f>
        <v>300566</v>
      </c>
      <c r="C1172" t="s">
        <v>7013</v>
      </c>
      <c r="D1172" s="4">
        <v>43190</v>
      </c>
      <c r="E1172" t="s">
        <v>1365</v>
      </c>
      <c r="F1172" t="s">
        <v>7014</v>
      </c>
      <c r="G1172">
        <v>6411</v>
      </c>
      <c r="H1172">
        <v>0.12</v>
      </c>
      <c r="I1172">
        <v>5.19</v>
      </c>
      <c r="J1172">
        <v>2.23</v>
      </c>
      <c r="K1172" t="s">
        <v>1597</v>
      </c>
      <c r="L1172">
        <v>40.06</v>
      </c>
      <c r="M1172" t="s">
        <v>7015</v>
      </c>
      <c r="N1172" t="s">
        <v>7016</v>
      </c>
      <c r="O1172" t="s">
        <v>7017</v>
      </c>
      <c r="P1172" t="s">
        <v>5493</v>
      </c>
      <c r="Q1172">
        <v>28.16</v>
      </c>
      <c r="R1172" t="s">
        <v>66</v>
      </c>
      <c r="S1172">
        <v>1.76</v>
      </c>
      <c r="T1172">
        <v>28.27</v>
      </c>
      <c r="U1172" t="s">
        <v>115</v>
      </c>
      <c r="V1172" t="s">
        <v>703</v>
      </c>
      <c r="W1172" t="s">
        <v>375</v>
      </c>
      <c r="X1172">
        <v>2.23</v>
      </c>
      <c r="Y1172" t="s">
        <v>1094</v>
      </c>
      <c r="Z1172" t="s">
        <v>3290</v>
      </c>
      <c r="AA1172" t="s">
        <v>3389</v>
      </c>
      <c r="AB1172">
        <v>4.76</v>
      </c>
      <c r="AC1172" t="s">
        <v>4760</v>
      </c>
      <c r="AD1172">
        <v>38.26</v>
      </c>
      <c r="AE1172" t="s">
        <v>2608</v>
      </c>
      <c r="AF1172">
        <v>3.32</v>
      </c>
      <c r="AG1172">
        <v>0</v>
      </c>
      <c r="AH1172">
        <v>0</v>
      </c>
      <c r="AI1172" s="4">
        <v>42689</v>
      </c>
    </row>
    <row r="1173" spans="1:35">
      <c r="A1173">
        <v>1172</v>
      </c>
      <c r="B1173" t="str">
        <f>"300178"</f>
        <v>300178</v>
      </c>
      <c r="C1173" t="s">
        <v>7018</v>
      </c>
      <c r="D1173" s="4">
        <v>43190</v>
      </c>
      <c r="E1173" t="s">
        <v>792</v>
      </c>
      <c r="F1173" t="s">
        <v>943</v>
      </c>
      <c r="G1173" t="s">
        <v>3091</v>
      </c>
      <c r="H1173">
        <v>0.1</v>
      </c>
      <c r="I1173">
        <v>4.38</v>
      </c>
      <c r="J1173">
        <v>2.23</v>
      </c>
      <c r="K1173" t="s">
        <v>613</v>
      </c>
      <c r="L1173">
        <v>99.01</v>
      </c>
      <c r="M1173" t="s">
        <v>7019</v>
      </c>
      <c r="N1173" t="s">
        <v>3991</v>
      </c>
      <c r="O1173" t="s">
        <v>7020</v>
      </c>
      <c r="P1173" t="s">
        <v>7021</v>
      </c>
      <c r="Q1173">
        <v>22.95</v>
      </c>
      <c r="R1173" t="s">
        <v>4953</v>
      </c>
      <c r="S1173">
        <v>1.5</v>
      </c>
      <c r="T1173">
        <v>19.100000000000001</v>
      </c>
      <c r="U1173" t="s">
        <v>2631</v>
      </c>
      <c r="V1173" t="s">
        <v>3578</v>
      </c>
      <c r="W1173" t="s">
        <v>1229</v>
      </c>
      <c r="X1173">
        <v>2.23</v>
      </c>
      <c r="Y1173" t="s">
        <v>3770</v>
      </c>
      <c r="Z1173" t="s">
        <v>588</v>
      </c>
      <c r="AA1173" t="s">
        <v>749</v>
      </c>
      <c r="AB1173">
        <v>2.91</v>
      </c>
      <c r="AC1173" t="s">
        <v>426</v>
      </c>
      <c r="AD1173">
        <v>37.1</v>
      </c>
      <c r="AE1173" t="s">
        <v>323</v>
      </c>
      <c r="AF1173">
        <v>1.8</v>
      </c>
      <c r="AG1173">
        <v>0</v>
      </c>
      <c r="AH1173">
        <v>0</v>
      </c>
      <c r="AI1173" s="4">
        <v>40589</v>
      </c>
    </row>
    <row r="1174" spans="1:35">
      <c r="A1174">
        <v>1173</v>
      </c>
      <c r="B1174" t="str">
        <f>"002612"</f>
        <v>002612</v>
      </c>
      <c r="C1174" t="s">
        <v>7022</v>
      </c>
      <c r="D1174" s="4">
        <v>43190</v>
      </c>
      <c r="E1174" t="s">
        <v>150</v>
      </c>
      <c r="F1174" t="s">
        <v>193</v>
      </c>
      <c r="G1174">
        <v>7930</v>
      </c>
      <c r="H1174">
        <v>0.15</v>
      </c>
      <c r="I1174">
        <v>6.73</v>
      </c>
      <c r="J1174">
        <v>2.23</v>
      </c>
      <c r="K1174" t="s">
        <v>359</v>
      </c>
      <c r="L1174">
        <v>20.47</v>
      </c>
      <c r="M1174" t="s">
        <v>7023</v>
      </c>
      <c r="N1174" t="s">
        <v>7024</v>
      </c>
      <c r="O1174" t="s">
        <v>7025</v>
      </c>
      <c r="P1174" t="s">
        <v>7026</v>
      </c>
      <c r="Q1174">
        <v>71.75</v>
      </c>
      <c r="R1174" t="s">
        <v>632</v>
      </c>
      <c r="S1174">
        <v>1.73</v>
      </c>
      <c r="T1174">
        <v>56.91</v>
      </c>
      <c r="U1174" t="s">
        <v>3167</v>
      </c>
      <c r="V1174" t="s">
        <v>1661</v>
      </c>
      <c r="W1174" t="s">
        <v>69</v>
      </c>
      <c r="X1174">
        <v>2.23</v>
      </c>
      <c r="Y1174" t="s">
        <v>431</v>
      </c>
      <c r="Z1174" t="s">
        <v>1252</v>
      </c>
      <c r="AA1174" t="s">
        <v>1168</v>
      </c>
      <c r="AB1174">
        <v>1.7</v>
      </c>
      <c r="AC1174" t="s">
        <v>239</v>
      </c>
      <c r="AD1174">
        <v>36.11</v>
      </c>
      <c r="AE1174" t="s">
        <v>547</v>
      </c>
      <c r="AF1174">
        <v>3.77</v>
      </c>
      <c r="AG1174">
        <v>0</v>
      </c>
      <c r="AH1174">
        <v>0</v>
      </c>
      <c r="AI1174" s="4">
        <v>40785</v>
      </c>
    </row>
    <row r="1175" spans="1:35">
      <c r="A1175">
        <v>1174</v>
      </c>
      <c r="B1175" t="str">
        <f>"000926"</f>
        <v>000926</v>
      </c>
      <c r="C1175" t="s">
        <v>7027</v>
      </c>
      <c r="D1175" s="4">
        <v>43190</v>
      </c>
      <c r="E1175" t="s">
        <v>59</v>
      </c>
      <c r="F1175" t="s">
        <v>4224</v>
      </c>
      <c r="G1175" t="s">
        <v>7028</v>
      </c>
      <c r="H1175">
        <v>0.24</v>
      </c>
      <c r="I1175">
        <v>10.54</v>
      </c>
      <c r="J1175">
        <v>2.23</v>
      </c>
      <c r="K1175" t="s">
        <v>158</v>
      </c>
      <c r="L1175">
        <v>-10.73</v>
      </c>
      <c r="M1175" t="s">
        <v>479</v>
      </c>
      <c r="N1175" t="s">
        <v>1185</v>
      </c>
      <c r="O1175" t="s">
        <v>165</v>
      </c>
      <c r="P1175" t="s">
        <v>4614</v>
      </c>
      <c r="Q1175">
        <v>-18.47</v>
      </c>
      <c r="R1175" t="s">
        <v>572</v>
      </c>
      <c r="S1175">
        <v>5.17</v>
      </c>
      <c r="T1175">
        <v>41.24</v>
      </c>
      <c r="U1175" t="s">
        <v>7029</v>
      </c>
      <c r="V1175" t="s">
        <v>2334</v>
      </c>
      <c r="W1175" t="s">
        <v>101</v>
      </c>
      <c r="X1175">
        <v>2.23</v>
      </c>
      <c r="Y1175" t="s">
        <v>4455</v>
      </c>
      <c r="Z1175" t="s">
        <v>1146</v>
      </c>
      <c r="AA1175" t="s">
        <v>4304</v>
      </c>
      <c r="AB1175">
        <v>0.69</v>
      </c>
      <c r="AC1175" t="s">
        <v>252</v>
      </c>
      <c r="AD1175">
        <v>22.27</v>
      </c>
      <c r="AE1175" t="s">
        <v>158</v>
      </c>
      <c r="AF1175">
        <v>2.78</v>
      </c>
      <c r="AG1175">
        <v>0</v>
      </c>
      <c r="AH1175">
        <v>0</v>
      </c>
      <c r="AI1175" s="4">
        <v>36329</v>
      </c>
    </row>
    <row r="1176" spans="1:35">
      <c r="A1176">
        <v>1175</v>
      </c>
      <c r="B1176" t="str">
        <f>"000425"</f>
        <v>000425</v>
      </c>
      <c r="C1176" t="s">
        <v>7030</v>
      </c>
      <c r="D1176" s="4">
        <v>43190</v>
      </c>
      <c r="E1176" t="s">
        <v>4013</v>
      </c>
      <c r="F1176" t="s">
        <v>5268</v>
      </c>
      <c r="G1176" t="s">
        <v>6572</v>
      </c>
      <c r="H1176">
        <v>7.0000000000000007E-2</v>
      </c>
      <c r="I1176">
        <v>3.08</v>
      </c>
      <c r="J1176">
        <v>2.23</v>
      </c>
      <c r="K1176" t="s">
        <v>1159</v>
      </c>
      <c r="L1176">
        <v>79.790000000000006</v>
      </c>
      <c r="M1176" t="s">
        <v>2647</v>
      </c>
      <c r="N1176" t="s">
        <v>7031</v>
      </c>
      <c r="O1176" t="s">
        <v>2094</v>
      </c>
      <c r="P1176" t="s">
        <v>2681</v>
      </c>
      <c r="Q1176">
        <v>157.38999999999999</v>
      </c>
      <c r="R1176" t="s">
        <v>900</v>
      </c>
      <c r="S1176">
        <v>1.47</v>
      </c>
      <c r="T1176">
        <v>18.11</v>
      </c>
      <c r="U1176" t="s">
        <v>7032</v>
      </c>
      <c r="V1176" t="s">
        <v>1135</v>
      </c>
      <c r="W1176" t="s">
        <v>4205</v>
      </c>
      <c r="X1176">
        <v>2.23</v>
      </c>
      <c r="Y1176" t="s">
        <v>1148</v>
      </c>
      <c r="Z1176" t="s">
        <v>2270</v>
      </c>
      <c r="AA1176" t="s">
        <v>2881</v>
      </c>
      <c r="AB1176">
        <v>1.32</v>
      </c>
      <c r="AC1176" t="s">
        <v>3748</v>
      </c>
      <c r="AD1176">
        <v>46.19</v>
      </c>
      <c r="AE1176" t="s">
        <v>2283</v>
      </c>
      <c r="AF1176">
        <v>0.48</v>
      </c>
      <c r="AG1176">
        <v>0</v>
      </c>
      <c r="AH1176">
        <v>0</v>
      </c>
      <c r="AI1176" s="4">
        <v>35305</v>
      </c>
    </row>
    <row r="1177" spans="1:35">
      <c r="A1177">
        <v>1176</v>
      </c>
      <c r="B1177" t="str">
        <f>"603906"</f>
        <v>603906</v>
      </c>
      <c r="C1177" t="s">
        <v>7033</v>
      </c>
      <c r="D1177" s="4">
        <v>43190</v>
      </c>
      <c r="E1177" t="s">
        <v>1180</v>
      </c>
      <c r="F1177" t="s">
        <v>7034</v>
      </c>
      <c r="G1177">
        <v>2878</v>
      </c>
      <c r="H1177">
        <v>0.11</v>
      </c>
      <c r="I1177">
        <v>4.83</v>
      </c>
      <c r="J1177">
        <v>2.2200000000000002</v>
      </c>
      <c r="K1177" t="s">
        <v>1789</v>
      </c>
      <c r="L1177">
        <v>3.51</v>
      </c>
      <c r="M1177" t="s">
        <v>7035</v>
      </c>
      <c r="N1177" t="s">
        <v>7036</v>
      </c>
      <c r="O1177" t="s">
        <v>7037</v>
      </c>
      <c r="P1177" t="s">
        <v>7038</v>
      </c>
      <c r="Q1177">
        <v>-15.26</v>
      </c>
      <c r="R1177" t="s">
        <v>2661</v>
      </c>
      <c r="S1177">
        <v>1.22</v>
      </c>
      <c r="T1177">
        <v>30.44</v>
      </c>
      <c r="U1177" t="s">
        <v>303</v>
      </c>
      <c r="V1177" t="s">
        <v>164</v>
      </c>
      <c r="W1177" t="s">
        <v>2751</v>
      </c>
      <c r="X1177">
        <v>2.2200000000000002</v>
      </c>
      <c r="Y1177" t="s">
        <v>1212</v>
      </c>
      <c r="Z1177" t="s">
        <v>155</v>
      </c>
      <c r="AA1177" t="s">
        <v>6322</v>
      </c>
      <c r="AB1177">
        <v>2.11</v>
      </c>
      <c r="AC1177" t="s">
        <v>300</v>
      </c>
      <c r="AD1177">
        <v>69.83</v>
      </c>
      <c r="AE1177" t="s">
        <v>487</v>
      </c>
      <c r="AF1177">
        <v>2.52</v>
      </c>
      <c r="AG1177">
        <v>0</v>
      </c>
      <c r="AH1177">
        <v>0</v>
      </c>
      <c r="AI1177" s="4">
        <v>42835</v>
      </c>
    </row>
    <row r="1178" spans="1:35">
      <c r="A1178">
        <v>1177</v>
      </c>
      <c r="B1178" t="str">
        <f>"603508"</f>
        <v>603508</v>
      </c>
      <c r="C1178" t="s">
        <v>7039</v>
      </c>
      <c r="D1178" s="4">
        <v>43190</v>
      </c>
      <c r="E1178" t="s">
        <v>1203</v>
      </c>
      <c r="F1178" t="s">
        <v>7040</v>
      </c>
      <c r="G1178">
        <v>2812</v>
      </c>
      <c r="H1178">
        <v>0.36</v>
      </c>
      <c r="I1178">
        <v>15.95</v>
      </c>
      <c r="J1178">
        <v>2.2200000000000002</v>
      </c>
      <c r="K1178" t="s">
        <v>1689</v>
      </c>
      <c r="L1178">
        <v>43.7</v>
      </c>
      <c r="M1178" t="s">
        <v>7041</v>
      </c>
      <c r="N1178" t="s">
        <v>7042</v>
      </c>
      <c r="O1178" t="s">
        <v>7043</v>
      </c>
      <c r="P1178" t="s">
        <v>7044</v>
      </c>
      <c r="Q1178">
        <v>36.97</v>
      </c>
      <c r="R1178" t="s">
        <v>895</v>
      </c>
      <c r="S1178">
        <v>5.94</v>
      </c>
      <c r="T1178">
        <v>56.9</v>
      </c>
      <c r="U1178" t="s">
        <v>700</v>
      </c>
      <c r="V1178" t="s">
        <v>865</v>
      </c>
      <c r="W1178" t="s">
        <v>1457</v>
      </c>
      <c r="X1178">
        <v>2.2200000000000002</v>
      </c>
      <c r="Y1178" t="s">
        <v>603</v>
      </c>
      <c r="Z1178" t="s">
        <v>1457</v>
      </c>
      <c r="AA1178" t="s">
        <v>7045</v>
      </c>
      <c r="AB1178">
        <v>2.2599999999999998</v>
      </c>
      <c r="AC1178" t="s">
        <v>370</v>
      </c>
      <c r="AD1178">
        <v>92.8</v>
      </c>
      <c r="AE1178" t="s">
        <v>1214</v>
      </c>
      <c r="AF1178">
        <v>8.41</v>
      </c>
      <c r="AG1178">
        <v>0</v>
      </c>
      <c r="AH1178">
        <v>0</v>
      </c>
      <c r="AI1178" s="4">
        <v>42362</v>
      </c>
    </row>
    <row r="1179" spans="1:35">
      <c r="A1179">
        <v>1178</v>
      </c>
      <c r="B1179" t="str">
        <f>"603355"</f>
        <v>603355</v>
      </c>
      <c r="C1179" t="s">
        <v>7046</v>
      </c>
      <c r="D1179" s="4">
        <v>43190</v>
      </c>
      <c r="E1179" t="s">
        <v>241</v>
      </c>
      <c r="F1179" t="s">
        <v>241</v>
      </c>
      <c r="G1179">
        <v>4801</v>
      </c>
      <c r="H1179">
        <v>0.18</v>
      </c>
      <c r="I1179">
        <v>8.07</v>
      </c>
      <c r="J1179">
        <v>2.2200000000000002</v>
      </c>
      <c r="K1179" t="s">
        <v>547</v>
      </c>
      <c r="L1179">
        <v>11.76</v>
      </c>
      <c r="M1179" t="s">
        <v>7047</v>
      </c>
      <c r="N1179" t="s">
        <v>7048</v>
      </c>
      <c r="O1179" t="s">
        <v>7049</v>
      </c>
      <c r="P1179" t="s">
        <v>7050</v>
      </c>
      <c r="Q1179">
        <v>-50.17</v>
      </c>
      <c r="R1179" t="s">
        <v>702</v>
      </c>
      <c r="S1179">
        <v>4.59</v>
      </c>
      <c r="T1179">
        <v>23.7</v>
      </c>
      <c r="U1179" t="s">
        <v>5270</v>
      </c>
      <c r="V1179" t="s">
        <v>3160</v>
      </c>
      <c r="W1179" t="s">
        <v>4000</v>
      </c>
      <c r="X1179">
        <v>2.2200000000000002</v>
      </c>
      <c r="Y1179" t="s">
        <v>820</v>
      </c>
      <c r="Z1179" t="s">
        <v>115</v>
      </c>
      <c r="AA1179" t="s">
        <v>7051</v>
      </c>
      <c r="AB1179">
        <v>3.56</v>
      </c>
      <c r="AC1179" t="s">
        <v>638</v>
      </c>
      <c r="AD1179">
        <v>66.010000000000005</v>
      </c>
      <c r="AE1179" t="s">
        <v>2192</v>
      </c>
      <c r="AF1179">
        <v>1.98</v>
      </c>
      <c r="AG1179">
        <v>0</v>
      </c>
      <c r="AH1179">
        <v>0</v>
      </c>
      <c r="AI1179" s="4">
        <v>42137</v>
      </c>
    </row>
    <row r="1180" spans="1:35">
      <c r="A1180">
        <v>1179</v>
      </c>
      <c r="B1180" t="str">
        <f>"601158"</f>
        <v>601158</v>
      </c>
      <c r="C1180" t="s">
        <v>7052</v>
      </c>
      <c r="D1180" s="4">
        <v>43190</v>
      </c>
      <c r="E1180" t="s">
        <v>1925</v>
      </c>
      <c r="F1180" t="s">
        <v>1925</v>
      </c>
      <c r="G1180" t="s">
        <v>7053</v>
      </c>
      <c r="H1180">
        <v>7.0000000000000007E-2</v>
      </c>
      <c r="I1180">
        <v>2.72</v>
      </c>
      <c r="J1180">
        <v>2.2200000000000002</v>
      </c>
      <c r="K1180" t="s">
        <v>4514</v>
      </c>
      <c r="L1180">
        <v>11.33</v>
      </c>
      <c r="M1180" t="s">
        <v>121</v>
      </c>
      <c r="N1180" t="s">
        <v>7054</v>
      </c>
      <c r="O1180" t="s">
        <v>1074</v>
      </c>
      <c r="P1180" t="s">
        <v>301</v>
      </c>
      <c r="Q1180">
        <v>-42.99</v>
      </c>
      <c r="R1180" t="s">
        <v>2871</v>
      </c>
      <c r="S1180">
        <v>0.47</v>
      </c>
      <c r="T1180">
        <v>43.39</v>
      </c>
      <c r="U1180" t="s">
        <v>4462</v>
      </c>
      <c r="V1180" t="s">
        <v>7055</v>
      </c>
      <c r="W1180" t="s">
        <v>4997</v>
      </c>
      <c r="X1180">
        <v>2.2200000000000002</v>
      </c>
      <c r="Y1180" t="s">
        <v>351</v>
      </c>
      <c r="Z1180" t="s">
        <v>789</v>
      </c>
      <c r="AA1180" t="s">
        <v>119</v>
      </c>
      <c r="AB1180">
        <v>2.0099999999999998</v>
      </c>
      <c r="AC1180" t="s">
        <v>1222</v>
      </c>
      <c r="AD1180">
        <v>77.45</v>
      </c>
      <c r="AE1180" t="s">
        <v>1738</v>
      </c>
      <c r="AF1180">
        <v>0.96</v>
      </c>
      <c r="AG1180">
        <v>0</v>
      </c>
      <c r="AH1180">
        <v>0</v>
      </c>
      <c r="AI1180" s="4">
        <v>40266</v>
      </c>
    </row>
    <row r="1181" spans="1:35">
      <c r="A1181">
        <v>1180</v>
      </c>
      <c r="B1181" t="str">
        <f>"600528"</f>
        <v>600528</v>
      </c>
      <c r="C1181" t="s">
        <v>7056</v>
      </c>
      <c r="D1181" s="4">
        <v>43190</v>
      </c>
      <c r="E1181" t="s">
        <v>728</v>
      </c>
      <c r="F1181" t="s">
        <v>980</v>
      </c>
      <c r="G1181" t="s">
        <v>1440</v>
      </c>
      <c r="H1181">
        <v>0.15</v>
      </c>
      <c r="I1181">
        <v>6.7</v>
      </c>
      <c r="J1181">
        <v>2.2200000000000002</v>
      </c>
      <c r="K1181" t="s">
        <v>1031</v>
      </c>
      <c r="L1181">
        <v>16.329999999999998</v>
      </c>
      <c r="M1181" t="s">
        <v>2468</v>
      </c>
      <c r="N1181" t="s">
        <v>7057</v>
      </c>
      <c r="O1181" t="s">
        <v>150</v>
      </c>
      <c r="P1181" t="s">
        <v>2661</v>
      </c>
      <c r="Q1181">
        <v>17.91</v>
      </c>
      <c r="R1181" t="s">
        <v>2243</v>
      </c>
      <c r="S1181">
        <v>2.96</v>
      </c>
      <c r="T1181">
        <v>19.3</v>
      </c>
      <c r="U1181" t="s">
        <v>3851</v>
      </c>
      <c r="V1181" t="s">
        <v>2201</v>
      </c>
      <c r="W1181" t="s">
        <v>2301</v>
      </c>
      <c r="X1181">
        <v>2.2200000000000002</v>
      </c>
      <c r="Y1181" t="s">
        <v>1114</v>
      </c>
      <c r="Z1181" t="s">
        <v>1097</v>
      </c>
      <c r="AA1181" t="s">
        <v>1481</v>
      </c>
      <c r="AB1181">
        <v>1.53</v>
      </c>
      <c r="AC1181" t="s">
        <v>1741</v>
      </c>
      <c r="AD1181">
        <v>45.68</v>
      </c>
      <c r="AE1181" t="s">
        <v>1494</v>
      </c>
      <c r="AF1181">
        <v>2.39</v>
      </c>
      <c r="AG1181">
        <v>0</v>
      </c>
      <c r="AH1181">
        <v>0</v>
      </c>
      <c r="AI1181" s="4">
        <v>37039</v>
      </c>
    </row>
    <row r="1182" spans="1:35">
      <c r="A1182">
        <v>1181</v>
      </c>
      <c r="B1182" t="str">
        <f>"600422"</f>
        <v>600422</v>
      </c>
      <c r="C1182" t="s">
        <v>7058</v>
      </c>
      <c r="D1182" s="4">
        <v>43190</v>
      </c>
      <c r="E1182" t="s">
        <v>1021</v>
      </c>
      <c r="F1182" t="s">
        <v>1671</v>
      </c>
      <c r="G1182" t="s">
        <v>2531</v>
      </c>
      <c r="H1182">
        <v>0.1</v>
      </c>
      <c r="I1182">
        <v>4.7699999999999996</v>
      </c>
      <c r="J1182">
        <v>2.2200000000000002</v>
      </c>
      <c r="K1182" t="s">
        <v>76</v>
      </c>
      <c r="L1182">
        <v>35.159999999999997</v>
      </c>
      <c r="M1182" t="s">
        <v>651</v>
      </c>
      <c r="N1182" t="s">
        <v>4127</v>
      </c>
      <c r="O1182" t="s">
        <v>651</v>
      </c>
      <c r="P1182" t="s">
        <v>7059</v>
      </c>
      <c r="Q1182">
        <v>-12.91</v>
      </c>
      <c r="R1182" t="s">
        <v>173</v>
      </c>
      <c r="S1182">
        <v>1.8</v>
      </c>
      <c r="T1182">
        <v>48.99</v>
      </c>
      <c r="U1182" t="s">
        <v>3278</v>
      </c>
      <c r="V1182" t="s">
        <v>737</v>
      </c>
      <c r="W1182" t="s">
        <v>2586</v>
      </c>
      <c r="X1182">
        <v>2.2200000000000002</v>
      </c>
      <c r="Y1182" t="s">
        <v>371</v>
      </c>
      <c r="Z1182" t="s">
        <v>728</v>
      </c>
      <c r="AA1182" t="s">
        <v>1408</v>
      </c>
      <c r="AB1182">
        <v>1.61</v>
      </c>
      <c r="AC1182" t="s">
        <v>1486</v>
      </c>
      <c r="AD1182">
        <v>55.69</v>
      </c>
      <c r="AE1182" t="s">
        <v>624</v>
      </c>
      <c r="AF1182">
        <v>1.77</v>
      </c>
      <c r="AG1182">
        <v>0</v>
      </c>
      <c r="AH1182">
        <v>0</v>
      </c>
      <c r="AI1182" s="4">
        <v>36866</v>
      </c>
    </row>
    <row r="1183" spans="1:35">
      <c r="A1183">
        <v>1182</v>
      </c>
      <c r="B1183" t="str">
        <f>"300727"</f>
        <v>300727</v>
      </c>
      <c r="C1183" t="s">
        <v>7060</v>
      </c>
      <c r="D1183" s="4">
        <v>43190</v>
      </c>
      <c r="E1183" t="s">
        <v>7061</v>
      </c>
      <c r="F1183" t="s">
        <v>7062</v>
      </c>
      <c r="G1183">
        <v>1837</v>
      </c>
      <c r="H1183">
        <v>0.11</v>
      </c>
      <c r="I1183">
        <v>4.87</v>
      </c>
      <c r="J1183">
        <v>2.2200000000000002</v>
      </c>
      <c r="K1183" t="s">
        <v>595</v>
      </c>
      <c r="L1183">
        <v>72.98</v>
      </c>
      <c r="M1183" t="s">
        <v>7063</v>
      </c>
      <c r="N1183">
        <v>0</v>
      </c>
      <c r="O1183" t="s">
        <v>1873</v>
      </c>
      <c r="P1183" t="s">
        <v>7064</v>
      </c>
      <c r="Q1183">
        <v>214.59</v>
      </c>
      <c r="R1183" t="s">
        <v>1119</v>
      </c>
      <c r="S1183">
        <v>1.07</v>
      </c>
      <c r="T1183">
        <v>23.98</v>
      </c>
      <c r="U1183" t="s">
        <v>1480</v>
      </c>
      <c r="V1183" t="s">
        <v>1476</v>
      </c>
      <c r="W1183" t="s">
        <v>2115</v>
      </c>
      <c r="X1183">
        <v>2.2200000000000002</v>
      </c>
      <c r="Y1183" t="s">
        <v>993</v>
      </c>
      <c r="Z1183" t="s">
        <v>993</v>
      </c>
      <c r="AA1183">
        <v>0</v>
      </c>
      <c r="AB1183">
        <v>7.1</v>
      </c>
      <c r="AC1183" t="s">
        <v>2685</v>
      </c>
      <c r="AD1183">
        <v>77.58</v>
      </c>
      <c r="AE1183" t="s">
        <v>126</v>
      </c>
      <c r="AF1183">
        <v>2.56</v>
      </c>
      <c r="AG1183">
        <v>0</v>
      </c>
      <c r="AH1183">
        <v>0</v>
      </c>
      <c r="AI1183" s="4">
        <v>43066</v>
      </c>
    </row>
    <row r="1184" spans="1:35">
      <c r="A1184">
        <v>1183</v>
      </c>
      <c r="B1184" t="str">
        <f>"300336"</f>
        <v>300336</v>
      </c>
      <c r="C1184" t="s">
        <v>7065</v>
      </c>
      <c r="D1184" s="4">
        <v>43190</v>
      </c>
      <c r="E1184" t="s">
        <v>2587</v>
      </c>
      <c r="F1184" t="s">
        <v>645</v>
      </c>
      <c r="G1184" t="s">
        <v>2589</v>
      </c>
      <c r="H1184">
        <v>0.13</v>
      </c>
      <c r="I1184">
        <v>5.7</v>
      </c>
      <c r="J1184">
        <v>2.2200000000000002</v>
      </c>
      <c r="K1184" t="s">
        <v>1860</v>
      </c>
      <c r="L1184">
        <v>-34.770000000000003</v>
      </c>
      <c r="M1184" t="s">
        <v>7066</v>
      </c>
      <c r="N1184" t="s">
        <v>7067</v>
      </c>
      <c r="O1184" t="s">
        <v>4780</v>
      </c>
      <c r="P1184" t="s">
        <v>7068</v>
      </c>
      <c r="Q1184">
        <v>1.97</v>
      </c>
      <c r="R1184" t="s">
        <v>4568</v>
      </c>
      <c r="S1184">
        <v>1.72</v>
      </c>
      <c r="T1184">
        <v>60.54</v>
      </c>
      <c r="U1184" t="s">
        <v>1923</v>
      </c>
      <c r="V1184" t="s">
        <v>371</v>
      </c>
      <c r="W1184" t="s">
        <v>7069</v>
      </c>
      <c r="X1184">
        <v>2.2200000000000002</v>
      </c>
      <c r="Y1184" t="s">
        <v>275</v>
      </c>
      <c r="Z1184" t="s">
        <v>633</v>
      </c>
      <c r="AA1184" t="s">
        <v>538</v>
      </c>
      <c r="AB1184">
        <v>1.43</v>
      </c>
      <c r="AC1184" t="s">
        <v>1515</v>
      </c>
      <c r="AD1184">
        <v>60.86</v>
      </c>
      <c r="AE1184" t="s">
        <v>759</v>
      </c>
      <c r="AF1184">
        <v>2.77</v>
      </c>
      <c r="AG1184">
        <v>0</v>
      </c>
      <c r="AH1184">
        <v>0</v>
      </c>
      <c r="AI1184" s="4">
        <v>41100</v>
      </c>
    </row>
    <row r="1185" spans="1:35">
      <c r="A1185">
        <v>1184</v>
      </c>
      <c r="B1185" t="str">
        <f>"300221"</f>
        <v>300221</v>
      </c>
      <c r="C1185" t="s">
        <v>7070</v>
      </c>
      <c r="D1185" s="4">
        <v>43190</v>
      </c>
      <c r="E1185" t="s">
        <v>1012</v>
      </c>
      <c r="F1185" t="s">
        <v>806</v>
      </c>
      <c r="G1185" t="s">
        <v>3310</v>
      </c>
      <c r="H1185">
        <v>0.1</v>
      </c>
      <c r="I1185">
        <v>4.4000000000000004</v>
      </c>
      <c r="J1185">
        <v>2.2200000000000002</v>
      </c>
      <c r="K1185" t="s">
        <v>2295</v>
      </c>
      <c r="L1185">
        <v>41.23</v>
      </c>
      <c r="M1185" t="s">
        <v>7071</v>
      </c>
      <c r="N1185" t="s">
        <v>7072</v>
      </c>
      <c r="O1185" t="s">
        <v>7073</v>
      </c>
      <c r="P1185" t="s">
        <v>7074</v>
      </c>
      <c r="Q1185">
        <v>16.03</v>
      </c>
      <c r="R1185" t="s">
        <v>318</v>
      </c>
      <c r="S1185">
        <v>0.95</v>
      </c>
      <c r="T1185">
        <v>20.49</v>
      </c>
      <c r="U1185" t="s">
        <v>2498</v>
      </c>
      <c r="V1185" t="s">
        <v>183</v>
      </c>
      <c r="W1185" t="s">
        <v>1408</v>
      </c>
      <c r="X1185">
        <v>2.2200000000000002</v>
      </c>
      <c r="Y1185" t="s">
        <v>982</v>
      </c>
      <c r="Z1185" t="s">
        <v>147</v>
      </c>
      <c r="AA1185" t="s">
        <v>71</v>
      </c>
      <c r="AB1185">
        <v>2.29</v>
      </c>
      <c r="AC1185" t="s">
        <v>2291</v>
      </c>
      <c r="AD1185">
        <v>64.650000000000006</v>
      </c>
      <c r="AE1185" t="s">
        <v>625</v>
      </c>
      <c r="AF1185">
        <v>2.39</v>
      </c>
      <c r="AG1185">
        <v>0</v>
      </c>
      <c r="AH1185">
        <v>0</v>
      </c>
      <c r="AI1185" s="4">
        <v>40688</v>
      </c>
    </row>
    <row r="1186" spans="1:35">
      <c r="A1186">
        <v>1185</v>
      </c>
      <c r="B1186" t="str">
        <f>"002930"</f>
        <v>002930</v>
      </c>
      <c r="C1186" t="s">
        <v>7075</v>
      </c>
      <c r="D1186" s="4">
        <v>43190</v>
      </c>
      <c r="E1186" t="s">
        <v>3674</v>
      </c>
      <c r="F1186" t="s">
        <v>7076</v>
      </c>
      <c r="G1186">
        <v>527</v>
      </c>
      <c r="H1186">
        <v>0.11</v>
      </c>
      <c r="I1186">
        <v>6.97</v>
      </c>
      <c r="J1186">
        <v>2.2200000000000002</v>
      </c>
      <c r="K1186" t="s">
        <v>7077</v>
      </c>
      <c r="L1186">
        <v>11.19</v>
      </c>
      <c r="M1186" t="s">
        <v>7078</v>
      </c>
      <c r="N1186">
        <v>0</v>
      </c>
      <c r="O1186" t="s">
        <v>7079</v>
      </c>
      <c r="P1186" t="s">
        <v>7080</v>
      </c>
      <c r="Q1186">
        <v>10.92</v>
      </c>
      <c r="R1186" t="s">
        <v>623</v>
      </c>
      <c r="S1186">
        <v>1.68</v>
      </c>
      <c r="T1186">
        <v>61.03</v>
      </c>
      <c r="U1186" t="s">
        <v>242</v>
      </c>
      <c r="V1186" t="s">
        <v>1965</v>
      </c>
      <c r="W1186" t="s">
        <v>1496</v>
      </c>
      <c r="X1186">
        <v>2.2200000000000002</v>
      </c>
      <c r="Y1186" t="s">
        <v>359</v>
      </c>
      <c r="Z1186" t="s">
        <v>45</v>
      </c>
      <c r="AA1186" t="s">
        <v>647</v>
      </c>
      <c r="AB1186">
        <v>6.07</v>
      </c>
      <c r="AC1186" t="s">
        <v>820</v>
      </c>
      <c r="AD1186">
        <v>72.41</v>
      </c>
      <c r="AE1186" t="s">
        <v>1496</v>
      </c>
      <c r="AF1186">
        <v>4.2</v>
      </c>
      <c r="AG1186">
        <v>0</v>
      </c>
      <c r="AH1186">
        <v>0</v>
      </c>
      <c r="AI1186" s="4">
        <v>43187</v>
      </c>
    </row>
    <row r="1187" spans="1:35">
      <c r="A1187">
        <v>1186</v>
      </c>
      <c r="B1187" t="str">
        <f>"002020"</f>
        <v>002020</v>
      </c>
      <c r="C1187" t="s">
        <v>7081</v>
      </c>
      <c r="D1187" s="4">
        <v>43190</v>
      </c>
      <c r="E1187" t="s">
        <v>1073</v>
      </c>
      <c r="F1187" t="s">
        <v>44</v>
      </c>
      <c r="G1187" t="s">
        <v>3048</v>
      </c>
      <c r="H1187">
        <v>0.12</v>
      </c>
      <c r="I1187">
        <v>5.27</v>
      </c>
      <c r="J1187">
        <v>2.2200000000000002</v>
      </c>
      <c r="K1187" t="s">
        <v>941</v>
      </c>
      <c r="L1187">
        <v>34.53</v>
      </c>
      <c r="M1187" t="s">
        <v>533</v>
      </c>
      <c r="N1187" t="s">
        <v>7082</v>
      </c>
      <c r="O1187" t="s">
        <v>197</v>
      </c>
      <c r="P1187" t="s">
        <v>2252</v>
      </c>
      <c r="Q1187">
        <v>19.54</v>
      </c>
      <c r="R1187" t="s">
        <v>1651</v>
      </c>
      <c r="S1187">
        <v>0.81</v>
      </c>
      <c r="T1187">
        <v>61.52</v>
      </c>
      <c r="U1187" t="s">
        <v>952</v>
      </c>
      <c r="V1187" t="s">
        <v>1515</v>
      </c>
      <c r="W1187" t="s">
        <v>675</v>
      </c>
      <c r="X1187">
        <v>2.2200000000000002</v>
      </c>
      <c r="Y1187" t="s">
        <v>2421</v>
      </c>
      <c r="Z1187" t="s">
        <v>3117</v>
      </c>
      <c r="AA1187" t="s">
        <v>7083</v>
      </c>
      <c r="AB1187">
        <v>2.2999999999999998</v>
      </c>
      <c r="AC1187" t="s">
        <v>588</v>
      </c>
      <c r="AD1187">
        <v>79.64</v>
      </c>
      <c r="AE1187" t="s">
        <v>1875</v>
      </c>
      <c r="AF1187">
        <v>3.04</v>
      </c>
      <c r="AG1187">
        <v>0</v>
      </c>
      <c r="AH1187">
        <v>0</v>
      </c>
      <c r="AI1187" s="4">
        <v>38183</v>
      </c>
    </row>
    <row r="1188" spans="1:35">
      <c r="A1188">
        <v>1187</v>
      </c>
      <c r="B1188" t="str">
        <f>"000708"</f>
        <v>000708</v>
      </c>
      <c r="C1188" t="s">
        <v>7084</v>
      </c>
      <c r="D1188" s="4">
        <v>43190</v>
      </c>
      <c r="E1188" t="s">
        <v>1059</v>
      </c>
      <c r="F1188" t="s">
        <v>1059</v>
      </c>
      <c r="G1188" t="s">
        <v>853</v>
      </c>
      <c r="H1188">
        <v>0.2</v>
      </c>
      <c r="I1188">
        <v>8.8699999999999992</v>
      </c>
      <c r="J1188">
        <v>2.2200000000000002</v>
      </c>
      <c r="K1188" t="s">
        <v>1625</v>
      </c>
      <c r="L1188">
        <v>28.56</v>
      </c>
      <c r="M1188" t="s">
        <v>71</v>
      </c>
      <c r="N1188">
        <v>0</v>
      </c>
      <c r="O1188" t="s">
        <v>1459</v>
      </c>
      <c r="P1188" t="s">
        <v>7085</v>
      </c>
      <c r="Q1188">
        <v>38.72</v>
      </c>
      <c r="R1188" t="s">
        <v>583</v>
      </c>
      <c r="S1188">
        <v>6.28</v>
      </c>
      <c r="T1188">
        <v>12</v>
      </c>
      <c r="U1188" t="s">
        <v>1531</v>
      </c>
      <c r="V1188" t="s">
        <v>2642</v>
      </c>
      <c r="W1188" t="s">
        <v>223</v>
      </c>
      <c r="X1188">
        <v>2.2200000000000002</v>
      </c>
      <c r="Y1188" t="s">
        <v>260</v>
      </c>
      <c r="Z1188" t="s">
        <v>2542</v>
      </c>
      <c r="AA1188" t="s">
        <v>802</v>
      </c>
      <c r="AB1188">
        <v>1.06</v>
      </c>
      <c r="AC1188" t="s">
        <v>2452</v>
      </c>
      <c r="AD1188">
        <v>60.65</v>
      </c>
      <c r="AE1188" t="s">
        <v>1436</v>
      </c>
      <c r="AF1188">
        <v>1.08</v>
      </c>
      <c r="AG1188">
        <v>0</v>
      </c>
      <c r="AH1188">
        <v>0</v>
      </c>
      <c r="AI1188" s="4">
        <v>35515</v>
      </c>
    </row>
    <row r="1189" spans="1:35">
      <c r="A1189">
        <v>1188</v>
      </c>
      <c r="B1189" t="str">
        <f>"601001"</f>
        <v>601001</v>
      </c>
      <c r="C1189" t="s">
        <v>7086</v>
      </c>
      <c r="D1189" s="4">
        <v>43190</v>
      </c>
      <c r="E1189" t="s">
        <v>1190</v>
      </c>
      <c r="F1189" t="s">
        <v>1190</v>
      </c>
      <c r="G1189" t="s">
        <v>2209</v>
      </c>
      <c r="H1189">
        <v>7.0000000000000007E-2</v>
      </c>
      <c r="I1189">
        <v>3.44</v>
      </c>
      <c r="J1189">
        <v>2.21</v>
      </c>
      <c r="K1189" t="s">
        <v>450</v>
      </c>
      <c r="L1189">
        <v>11.51</v>
      </c>
      <c r="M1189" t="s">
        <v>852</v>
      </c>
      <c r="N1189" t="s">
        <v>7087</v>
      </c>
      <c r="O1189" t="s">
        <v>1779</v>
      </c>
      <c r="P1189" t="s">
        <v>2603</v>
      </c>
      <c r="Q1189">
        <v>587.48</v>
      </c>
      <c r="R1189" t="s">
        <v>699</v>
      </c>
      <c r="S1189">
        <v>0.65</v>
      </c>
      <c r="T1189">
        <v>60.32</v>
      </c>
      <c r="U1189" t="s">
        <v>784</v>
      </c>
      <c r="V1189" t="s">
        <v>580</v>
      </c>
      <c r="W1189" t="s">
        <v>3565</v>
      </c>
      <c r="X1189">
        <v>2.21</v>
      </c>
      <c r="Y1189" t="s">
        <v>2050</v>
      </c>
      <c r="Z1189" t="s">
        <v>5259</v>
      </c>
      <c r="AA1189" t="s">
        <v>7088</v>
      </c>
      <c r="AB1189">
        <v>1.45</v>
      </c>
      <c r="AC1189" t="s">
        <v>2982</v>
      </c>
      <c r="AD1189">
        <v>20.059999999999999</v>
      </c>
      <c r="AE1189" t="s">
        <v>835</v>
      </c>
      <c r="AF1189">
        <v>0.67</v>
      </c>
      <c r="AG1189">
        <v>0</v>
      </c>
      <c r="AH1189">
        <v>0</v>
      </c>
      <c r="AI1189" s="4">
        <v>38891</v>
      </c>
    </row>
    <row r="1190" spans="1:35">
      <c r="A1190">
        <v>1189</v>
      </c>
      <c r="B1190" t="str">
        <f>"600088"</f>
        <v>600088</v>
      </c>
      <c r="C1190" t="s">
        <v>7089</v>
      </c>
      <c r="D1190" s="4">
        <v>43190</v>
      </c>
      <c r="E1190" t="s">
        <v>977</v>
      </c>
      <c r="F1190" t="s">
        <v>977</v>
      </c>
      <c r="G1190" t="s">
        <v>2985</v>
      </c>
      <c r="H1190">
        <v>7.0000000000000007E-2</v>
      </c>
      <c r="I1190">
        <v>3.36</v>
      </c>
      <c r="J1190">
        <v>2.21</v>
      </c>
      <c r="K1190" t="s">
        <v>610</v>
      </c>
      <c r="L1190">
        <v>0.25</v>
      </c>
      <c r="M1190" t="s">
        <v>5355</v>
      </c>
      <c r="N1190">
        <v>0</v>
      </c>
      <c r="O1190" t="s">
        <v>2952</v>
      </c>
      <c r="P1190" t="s">
        <v>6788</v>
      </c>
      <c r="Q1190">
        <v>-4.8099999999999996</v>
      </c>
      <c r="R1190" t="s">
        <v>301</v>
      </c>
      <c r="S1190">
        <v>0.96</v>
      </c>
      <c r="T1190">
        <v>38.99</v>
      </c>
      <c r="U1190" t="s">
        <v>1384</v>
      </c>
      <c r="V1190" t="s">
        <v>4568</v>
      </c>
      <c r="W1190" t="s">
        <v>218</v>
      </c>
      <c r="X1190">
        <v>2.21</v>
      </c>
      <c r="Y1190" t="s">
        <v>122</v>
      </c>
      <c r="Z1190" t="s">
        <v>122</v>
      </c>
      <c r="AA1190">
        <v>0</v>
      </c>
      <c r="AB1190">
        <v>3.35</v>
      </c>
      <c r="AC1190" t="s">
        <v>147</v>
      </c>
      <c r="AD1190">
        <v>78.84</v>
      </c>
      <c r="AE1190" t="s">
        <v>824</v>
      </c>
      <c r="AF1190">
        <v>0.97</v>
      </c>
      <c r="AG1190">
        <v>0</v>
      </c>
      <c r="AH1190">
        <v>0</v>
      </c>
      <c r="AI1190" s="4">
        <v>35597</v>
      </c>
    </row>
    <row r="1191" spans="1:35">
      <c r="A1191">
        <v>1190</v>
      </c>
      <c r="B1191" t="str">
        <f>"002700"</f>
        <v>002700</v>
      </c>
      <c r="C1191" t="s">
        <v>7090</v>
      </c>
      <c r="D1191" s="4">
        <v>43190</v>
      </c>
      <c r="E1191" t="s">
        <v>662</v>
      </c>
      <c r="F1191" t="s">
        <v>121</v>
      </c>
      <c r="G1191" t="s">
        <v>4495</v>
      </c>
      <c r="H1191">
        <v>0.05</v>
      </c>
      <c r="I1191">
        <v>2.2999999999999998</v>
      </c>
      <c r="J1191">
        <v>2.21</v>
      </c>
      <c r="K1191" t="s">
        <v>651</v>
      </c>
      <c r="L1191">
        <v>6.9</v>
      </c>
      <c r="M1191" t="s">
        <v>7091</v>
      </c>
      <c r="N1191">
        <v>0</v>
      </c>
      <c r="O1191" t="s">
        <v>5091</v>
      </c>
      <c r="P1191" t="s">
        <v>3253</v>
      </c>
      <c r="Q1191">
        <v>-6.55</v>
      </c>
      <c r="R1191" t="s">
        <v>364</v>
      </c>
      <c r="S1191">
        <v>1.0900000000000001</v>
      </c>
      <c r="T1191">
        <v>32.909999999999997</v>
      </c>
      <c r="U1191" t="s">
        <v>835</v>
      </c>
      <c r="V1191" t="s">
        <v>1444</v>
      </c>
      <c r="W1191" t="s">
        <v>2915</v>
      </c>
      <c r="X1191">
        <v>2.21</v>
      </c>
      <c r="Y1191" t="s">
        <v>711</v>
      </c>
      <c r="Z1191" t="s">
        <v>711</v>
      </c>
      <c r="AA1191" t="s">
        <v>7092</v>
      </c>
      <c r="AB1191">
        <v>3.13</v>
      </c>
      <c r="AC1191" t="s">
        <v>6610</v>
      </c>
      <c r="AD1191">
        <v>86.79</v>
      </c>
      <c r="AE1191" t="s">
        <v>5161</v>
      </c>
      <c r="AF1191">
        <v>0.06</v>
      </c>
      <c r="AG1191">
        <v>0</v>
      </c>
      <c r="AH1191">
        <v>0</v>
      </c>
      <c r="AI1191" s="4">
        <v>41173</v>
      </c>
    </row>
    <row r="1192" spans="1:35">
      <c r="A1192">
        <v>1191</v>
      </c>
      <c r="B1192" t="str">
        <f>"603777"</f>
        <v>603777</v>
      </c>
      <c r="C1192" t="s">
        <v>7093</v>
      </c>
      <c r="D1192" s="4">
        <v>43190</v>
      </c>
      <c r="E1192" t="s">
        <v>1074</v>
      </c>
      <c r="F1192" t="s">
        <v>600</v>
      </c>
      <c r="G1192">
        <v>2415</v>
      </c>
      <c r="H1192">
        <v>0.12</v>
      </c>
      <c r="I1192">
        <v>5.44</v>
      </c>
      <c r="J1192">
        <v>2.2000000000000002</v>
      </c>
      <c r="K1192" t="s">
        <v>1033</v>
      </c>
      <c r="L1192">
        <v>12.12</v>
      </c>
      <c r="M1192" t="s">
        <v>7094</v>
      </c>
      <c r="N1192" t="s">
        <v>7095</v>
      </c>
      <c r="O1192" t="s">
        <v>4999</v>
      </c>
      <c r="P1192" t="s">
        <v>7096</v>
      </c>
      <c r="Q1192">
        <v>-43.31</v>
      </c>
      <c r="R1192" t="s">
        <v>2921</v>
      </c>
      <c r="S1192">
        <v>1.63</v>
      </c>
      <c r="T1192">
        <v>41.66</v>
      </c>
      <c r="U1192" t="s">
        <v>2941</v>
      </c>
      <c r="V1192" t="s">
        <v>1255</v>
      </c>
      <c r="W1192" t="s">
        <v>1382</v>
      </c>
      <c r="X1192">
        <v>2.2000000000000002</v>
      </c>
      <c r="Y1192" t="s">
        <v>458</v>
      </c>
      <c r="Z1192" t="s">
        <v>3312</v>
      </c>
      <c r="AA1192" t="s">
        <v>7097</v>
      </c>
      <c r="AB1192">
        <v>3.15</v>
      </c>
      <c r="AC1192" t="s">
        <v>275</v>
      </c>
      <c r="AD1192">
        <v>68.33</v>
      </c>
      <c r="AE1192" t="s">
        <v>295</v>
      </c>
      <c r="AF1192">
        <v>2.86</v>
      </c>
      <c r="AG1192">
        <v>0</v>
      </c>
      <c r="AH1192">
        <v>0</v>
      </c>
      <c r="AI1192" s="4">
        <v>42655</v>
      </c>
    </row>
    <row r="1193" spans="1:35">
      <c r="A1193">
        <v>1192</v>
      </c>
      <c r="B1193" t="str">
        <f>"300626"</f>
        <v>300626</v>
      </c>
      <c r="C1193" t="s">
        <v>7098</v>
      </c>
      <c r="D1193" s="4">
        <v>43190</v>
      </c>
      <c r="E1193" t="s">
        <v>1839</v>
      </c>
      <c r="F1193" t="s">
        <v>7099</v>
      </c>
      <c r="G1193">
        <v>8564</v>
      </c>
      <c r="H1193">
        <v>0.06</v>
      </c>
      <c r="I1193">
        <v>2.7</v>
      </c>
      <c r="J1193">
        <v>2.2000000000000002</v>
      </c>
      <c r="K1193" t="s">
        <v>748</v>
      </c>
      <c r="L1193">
        <v>19.45</v>
      </c>
      <c r="M1193" t="s">
        <v>6517</v>
      </c>
      <c r="N1193">
        <v>0</v>
      </c>
      <c r="O1193" t="s">
        <v>7100</v>
      </c>
      <c r="P1193" t="s">
        <v>7101</v>
      </c>
      <c r="Q1193">
        <v>139.55000000000001</v>
      </c>
      <c r="R1193" t="s">
        <v>1839</v>
      </c>
      <c r="S1193">
        <v>0.94</v>
      </c>
      <c r="T1193">
        <v>18.73</v>
      </c>
      <c r="U1193" t="s">
        <v>1215</v>
      </c>
      <c r="V1193" t="s">
        <v>105</v>
      </c>
      <c r="W1193" t="s">
        <v>641</v>
      </c>
      <c r="X1193">
        <v>2.2000000000000002</v>
      </c>
      <c r="Y1193" t="s">
        <v>78</v>
      </c>
      <c r="Z1193" t="s">
        <v>375</v>
      </c>
      <c r="AA1193" t="s">
        <v>7102</v>
      </c>
      <c r="AB1193">
        <v>3.7</v>
      </c>
      <c r="AC1193" t="s">
        <v>1596</v>
      </c>
      <c r="AD1193">
        <v>55.11</v>
      </c>
      <c r="AE1193" t="s">
        <v>118</v>
      </c>
      <c r="AF1193">
        <v>0.72</v>
      </c>
      <c r="AG1193">
        <v>0</v>
      </c>
      <c r="AH1193">
        <v>0</v>
      </c>
      <c r="AI1193" s="4">
        <v>42814</v>
      </c>
    </row>
    <row r="1194" spans="1:35">
      <c r="A1194">
        <v>1193</v>
      </c>
      <c r="B1194" t="str">
        <f>"300068"</f>
        <v>300068</v>
      </c>
      <c r="C1194" t="s">
        <v>7103</v>
      </c>
      <c r="D1194" s="4">
        <v>43190</v>
      </c>
      <c r="E1194" t="s">
        <v>648</v>
      </c>
      <c r="F1194" t="s">
        <v>1056</v>
      </c>
      <c r="G1194" t="s">
        <v>630</v>
      </c>
      <c r="H1194">
        <v>0.15</v>
      </c>
      <c r="I1194">
        <v>6.91</v>
      </c>
      <c r="J1194">
        <v>2.2000000000000002</v>
      </c>
      <c r="K1194" t="s">
        <v>308</v>
      </c>
      <c r="L1194">
        <v>0.4</v>
      </c>
      <c r="M1194" t="s">
        <v>45</v>
      </c>
      <c r="N1194" t="s">
        <v>7104</v>
      </c>
      <c r="O1194" t="s">
        <v>45</v>
      </c>
      <c r="P1194" t="s">
        <v>1370</v>
      </c>
      <c r="Q1194">
        <v>104.73</v>
      </c>
      <c r="R1194" t="s">
        <v>1307</v>
      </c>
      <c r="S1194">
        <v>1.3</v>
      </c>
      <c r="T1194">
        <v>13.53</v>
      </c>
      <c r="U1194" t="s">
        <v>841</v>
      </c>
      <c r="V1194" t="s">
        <v>2395</v>
      </c>
      <c r="W1194" t="s">
        <v>114</v>
      </c>
      <c r="X1194">
        <v>2.2000000000000002</v>
      </c>
      <c r="Y1194" t="s">
        <v>1160</v>
      </c>
      <c r="Z1194" t="s">
        <v>2212</v>
      </c>
      <c r="AA1194" t="s">
        <v>1347</v>
      </c>
      <c r="AB1194">
        <v>1.84</v>
      </c>
      <c r="AC1194" t="s">
        <v>4112</v>
      </c>
      <c r="AD1194">
        <v>50.45</v>
      </c>
      <c r="AE1194" t="s">
        <v>1859</v>
      </c>
      <c r="AF1194">
        <v>4.49</v>
      </c>
      <c r="AG1194">
        <v>0</v>
      </c>
      <c r="AH1194">
        <v>0</v>
      </c>
      <c r="AI1194" s="4">
        <v>40289</v>
      </c>
    </row>
    <row r="1195" spans="1:35">
      <c r="A1195">
        <v>1194</v>
      </c>
      <c r="B1195" t="str">
        <f>"300252"</f>
        <v>300252</v>
      </c>
      <c r="C1195" t="s">
        <v>7105</v>
      </c>
      <c r="D1195" s="4">
        <v>43190</v>
      </c>
      <c r="E1195" t="s">
        <v>2056</v>
      </c>
      <c r="F1195" t="s">
        <v>184</v>
      </c>
      <c r="G1195" t="s">
        <v>5347</v>
      </c>
      <c r="H1195">
        <v>0.09</v>
      </c>
      <c r="I1195">
        <v>3.97</v>
      </c>
      <c r="J1195">
        <v>2.19</v>
      </c>
      <c r="K1195" t="s">
        <v>448</v>
      </c>
      <c r="L1195">
        <v>28.49</v>
      </c>
      <c r="M1195" t="s">
        <v>7106</v>
      </c>
      <c r="N1195" t="s">
        <v>7107</v>
      </c>
      <c r="O1195" t="s">
        <v>7108</v>
      </c>
      <c r="P1195" t="s">
        <v>7109</v>
      </c>
      <c r="Q1195">
        <v>-21.58</v>
      </c>
      <c r="R1195" t="s">
        <v>6809</v>
      </c>
      <c r="S1195">
        <v>0.97</v>
      </c>
      <c r="T1195">
        <v>26.19</v>
      </c>
      <c r="U1195" t="s">
        <v>1701</v>
      </c>
      <c r="V1195" t="s">
        <v>1258</v>
      </c>
      <c r="W1195" t="s">
        <v>2608</v>
      </c>
      <c r="X1195">
        <v>2.19</v>
      </c>
      <c r="Y1195" t="s">
        <v>1174</v>
      </c>
      <c r="Z1195" t="s">
        <v>461</v>
      </c>
      <c r="AA1195" t="s">
        <v>3768</v>
      </c>
      <c r="AB1195">
        <v>2.9</v>
      </c>
      <c r="AC1195" t="s">
        <v>276</v>
      </c>
      <c r="AD1195">
        <v>37.630000000000003</v>
      </c>
      <c r="AE1195" t="s">
        <v>1082</v>
      </c>
      <c r="AF1195">
        <v>1.97</v>
      </c>
      <c r="AG1195">
        <v>0</v>
      </c>
      <c r="AH1195">
        <v>0</v>
      </c>
      <c r="AI1195" s="4">
        <v>40773</v>
      </c>
    </row>
    <row r="1196" spans="1:35">
      <c r="A1196">
        <v>1195</v>
      </c>
      <c r="B1196" t="str">
        <f>"000821"</f>
        <v>000821</v>
      </c>
      <c r="C1196" t="s">
        <v>7110</v>
      </c>
      <c r="D1196" s="4">
        <v>43190</v>
      </c>
      <c r="E1196" t="s">
        <v>2587</v>
      </c>
      <c r="F1196" t="s">
        <v>1594</v>
      </c>
      <c r="G1196">
        <v>9339</v>
      </c>
      <c r="H1196">
        <v>0.08</v>
      </c>
      <c r="I1196">
        <v>5.09</v>
      </c>
      <c r="J1196">
        <v>2.19</v>
      </c>
      <c r="K1196" t="s">
        <v>1799</v>
      </c>
      <c r="L1196">
        <v>105.4</v>
      </c>
      <c r="M1196" t="s">
        <v>7111</v>
      </c>
      <c r="N1196" t="s">
        <v>3136</v>
      </c>
      <c r="O1196" t="s">
        <v>5112</v>
      </c>
      <c r="P1196" t="s">
        <v>7112</v>
      </c>
      <c r="Q1196">
        <v>235.42</v>
      </c>
      <c r="R1196" t="s">
        <v>349</v>
      </c>
      <c r="S1196">
        <v>0.77</v>
      </c>
      <c r="T1196">
        <v>20.69</v>
      </c>
      <c r="U1196" t="s">
        <v>408</v>
      </c>
      <c r="V1196" t="s">
        <v>789</v>
      </c>
      <c r="W1196" t="s">
        <v>2224</v>
      </c>
      <c r="X1196">
        <v>2.19</v>
      </c>
      <c r="Y1196" t="s">
        <v>263</v>
      </c>
      <c r="Z1196" t="s">
        <v>101</v>
      </c>
      <c r="AA1196" t="s">
        <v>1689</v>
      </c>
      <c r="AB1196">
        <v>1.8</v>
      </c>
      <c r="AC1196" t="s">
        <v>725</v>
      </c>
      <c r="AD1196">
        <v>64.55</v>
      </c>
      <c r="AE1196" t="s">
        <v>1062</v>
      </c>
      <c r="AF1196">
        <v>3</v>
      </c>
      <c r="AG1196">
        <v>0</v>
      </c>
      <c r="AH1196">
        <v>0</v>
      </c>
      <c r="AI1196" s="4">
        <v>35972</v>
      </c>
    </row>
    <row r="1197" spans="1:35">
      <c r="A1197">
        <v>1196</v>
      </c>
      <c r="B1197" t="str">
        <f>"603679"</f>
        <v>603679</v>
      </c>
      <c r="C1197" t="s">
        <v>7113</v>
      </c>
      <c r="D1197" s="4">
        <v>43190</v>
      </c>
      <c r="E1197" t="s">
        <v>651</v>
      </c>
      <c r="F1197" t="s">
        <v>534</v>
      </c>
      <c r="G1197">
        <v>4323</v>
      </c>
      <c r="H1197">
        <v>0.12</v>
      </c>
      <c r="I1197">
        <v>5.29</v>
      </c>
      <c r="J1197">
        <v>2.1800000000000002</v>
      </c>
      <c r="K1197" t="s">
        <v>86</v>
      </c>
      <c r="L1197">
        <v>80.069999999999993</v>
      </c>
      <c r="M1197" t="s">
        <v>5883</v>
      </c>
      <c r="N1197" t="s">
        <v>6358</v>
      </c>
      <c r="O1197" t="s">
        <v>6726</v>
      </c>
      <c r="P1197" t="s">
        <v>7114</v>
      </c>
      <c r="Q1197">
        <v>58.7</v>
      </c>
      <c r="R1197" t="s">
        <v>193</v>
      </c>
      <c r="S1197">
        <v>1.97</v>
      </c>
      <c r="T1197">
        <v>31.16</v>
      </c>
      <c r="U1197" t="s">
        <v>2149</v>
      </c>
      <c r="V1197" t="s">
        <v>494</v>
      </c>
      <c r="W1197" t="s">
        <v>7115</v>
      </c>
      <c r="X1197">
        <v>2.1800000000000002</v>
      </c>
      <c r="Y1197" t="s">
        <v>2769</v>
      </c>
      <c r="Z1197" t="s">
        <v>2769</v>
      </c>
      <c r="AA1197">
        <v>0</v>
      </c>
      <c r="AB1197">
        <v>4.08</v>
      </c>
      <c r="AC1197" t="s">
        <v>318</v>
      </c>
      <c r="AD1197">
        <v>74.31</v>
      </c>
      <c r="AE1197" t="s">
        <v>618</v>
      </c>
      <c r="AF1197">
        <v>2.0499999999999998</v>
      </c>
      <c r="AG1197">
        <v>0</v>
      </c>
      <c r="AH1197">
        <v>0</v>
      </c>
      <c r="AI1197" s="4">
        <v>42907</v>
      </c>
    </row>
    <row r="1198" spans="1:35">
      <c r="A1198">
        <v>1197</v>
      </c>
      <c r="B1198" t="str">
        <f>"300214"</f>
        <v>300214</v>
      </c>
      <c r="C1198" t="s">
        <v>7116</v>
      </c>
      <c r="D1198" s="4">
        <v>43190</v>
      </c>
      <c r="E1198" t="s">
        <v>4756</v>
      </c>
      <c r="F1198" t="s">
        <v>342</v>
      </c>
      <c r="G1198" t="s">
        <v>1763</v>
      </c>
      <c r="H1198">
        <v>0.08</v>
      </c>
      <c r="I1198">
        <v>3.66</v>
      </c>
      <c r="J1198">
        <v>2.1800000000000002</v>
      </c>
      <c r="K1198" t="s">
        <v>608</v>
      </c>
      <c r="L1198">
        <v>-52.29</v>
      </c>
      <c r="M1198" t="s">
        <v>3488</v>
      </c>
      <c r="N1198" t="s">
        <v>3615</v>
      </c>
      <c r="O1198" t="s">
        <v>3150</v>
      </c>
      <c r="P1198" t="s">
        <v>4601</v>
      </c>
      <c r="Q1198">
        <v>267.62</v>
      </c>
      <c r="R1198" t="s">
        <v>4176</v>
      </c>
      <c r="S1198">
        <v>1.1399999999999999</v>
      </c>
      <c r="T1198">
        <v>13.06</v>
      </c>
      <c r="U1198" t="s">
        <v>775</v>
      </c>
      <c r="V1198" t="s">
        <v>521</v>
      </c>
      <c r="W1198" t="s">
        <v>800</v>
      </c>
      <c r="X1198">
        <v>2.1800000000000002</v>
      </c>
      <c r="Y1198" t="s">
        <v>2306</v>
      </c>
      <c r="Z1198" t="s">
        <v>86</v>
      </c>
      <c r="AA1198" t="s">
        <v>5781</v>
      </c>
      <c r="AB1198">
        <v>1.23</v>
      </c>
      <c r="AC1198" t="s">
        <v>1062</v>
      </c>
      <c r="AD1198">
        <v>92.47</v>
      </c>
      <c r="AE1198" t="s">
        <v>2739</v>
      </c>
      <c r="AF1198">
        <v>1.37</v>
      </c>
      <c r="AG1198">
        <v>0</v>
      </c>
      <c r="AH1198">
        <v>0</v>
      </c>
      <c r="AI1198" s="4">
        <v>40674</v>
      </c>
    </row>
    <row r="1199" spans="1:35">
      <c r="A1199">
        <v>1198</v>
      </c>
      <c r="B1199" t="str">
        <f>"000739"</f>
        <v>000739</v>
      </c>
      <c r="C1199" t="s">
        <v>7117</v>
      </c>
      <c r="D1199" s="4">
        <v>43190</v>
      </c>
      <c r="E1199" t="s">
        <v>250</v>
      </c>
      <c r="F1199" t="s">
        <v>973</v>
      </c>
      <c r="G1199" t="s">
        <v>3809</v>
      </c>
      <c r="H1199">
        <v>0.06</v>
      </c>
      <c r="I1199">
        <v>2.58</v>
      </c>
      <c r="J1199">
        <v>2.1800000000000002</v>
      </c>
      <c r="K1199" t="s">
        <v>263</v>
      </c>
      <c r="L1199">
        <v>9.24</v>
      </c>
      <c r="M1199" t="s">
        <v>3840</v>
      </c>
      <c r="N1199" t="s">
        <v>3885</v>
      </c>
      <c r="O1199" t="s">
        <v>5022</v>
      </c>
      <c r="P1199" t="s">
        <v>5879</v>
      </c>
      <c r="Q1199">
        <v>38.33</v>
      </c>
      <c r="R1199" t="s">
        <v>1384</v>
      </c>
      <c r="S1199">
        <v>1.1299999999999999</v>
      </c>
      <c r="T1199">
        <v>30.7</v>
      </c>
      <c r="U1199" t="s">
        <v>2692</v>
      </c>
      <c r="V1199" t="s">
        <v>2071</v>
      </c>
      <c r="W1199" t="s">
        <v>1920</v>
      </c>
      <c r="X1199">
        <v>2.1800000000000002</v>
      </c>
      <c r="Y1199" t="s">
        <v>426</v>
      </c>
      <c r="Z1199" t="s">
        <v>1943</v>
      </c>
      <c r="AA1199" t="s">
        <v>975</v>
      </c>
      <c r="AB1199">
        <v>2.63</v>
      </c>
      <c r="AC1199" t="s">
        <v>313</v>
      </c>
      <c r="AD1199">
        <v>53.33</v>
      </c>
      <c r="AE1199" t="s">
        <v>1209</v>
      </c>
      <c r="AF1199">
        <v>0.37</v>
      </c>
      <c r="AG1199">
        <v>0</v>
      </c>
      <c r="AH1199">
        <v>0</v>
      </c>
      <c r="AI1199" s="4">
        <v>35559</v>
      </c>
    </row>
    <row r="1200" spans="1:35">
      <c r="A1200">
        <v>1199</v>
      </c>
      <c r="B1200" t="str">
        <f>"000726"</f>
        <v>000726</v>
      </c>
      <c r="C1200" t="s">
        <v>7118</v>
      </c>
      <c r="D1200" s="4">
        <v>43190</v>
      </c>
      <c r="E1200" t="s">
        <v>821</v>
      </c>
      <c r="F1200" t="s">
        <v>1685</v>
      </c>
      <c r="G1200">
        <v>0</v>
      </c>
      <c r="H1200">
        <v>0.17</v>
      </c>
      <c r="I1200">
        <v>7.99</v>
      </c>
      <c r="J1200">
        <v>2.1800000000000002</v>
      </c>
      <c r="K1200" t="s">
        <v>908</v>
      </c>
      <c r="L1200">
        <v>19.14</v>
      </c>
      <c r="M1200" t="s">
        <v>95</v>
      </c>
      <c r="N1200" t="s">
        <v>4557</v>
      </c>
      <c r="O1200" t="s">
        <v>95</v>
      </c>
      <c r="P1200" t="s">
        <v>1689</v>
      </c>
      <c r="Q1200">
        <v>0.17</v>
      </c>
      <c r="R1200" t="s">
        <v>1841</v>
      </c>
      <c r="S1200">
        <v>5.19</v>
      </c>
      <c r="T1200">
        <v>28.58</v>
      </c>
      <c r="U1200" t="s">
        <v>252</v>
      </c>
      <c r="V1200" t="s">
        <v>3160</v>
      </c>
      <c r="W1200" t="s">
        <v>1388</v>
      </c>
      <c r="X1200">
        <v>2.1800000000000002</v>
      </c>
      <c r="Y1200" t="s">
        <v>981</v>
      </c>
      <c r="Z1200" t="s">
        <v>2753</v>
      </c>
      <c r="AA1200" t="s">
        <v>976</v>
      </c>
      <c r="AB1200">
        <v>1.29</v>
      </c>
      <c r="AC1200" t="s">
        <v>438</v>
      </c>
      <c r="AD1200">
        <v>70.739999999999995</v>
      </c>
      <c r="AE1200" t="s">
        <v>2853</v>
      </c>
      <c r="AF1200">
        <v>0.76</v>
      </c>
      <c r="AG1200" t="s">
        <v>531</v>
      </c>
      <c r="AH1200">
        <v>0</v>
      </c>
      <c r="AI1200" s="4">
        <v>36885</v>
      </c>
    </row>
    <row r="1201" spans="1:35">
      <c r="A1201">
        <v>1200</v>
      </c>
      <c r="B1201" t="str">
        <f>"000426"</f>
        <v>000426</v>
      </c>
      <c r="C1201" t="s">
        <v>7119</v>
      </c>
      <c r="D1201" s="4">
        <v>43190</v>
      </c>
      <c r="E1201" t="s">
        <v>516</v>
      </c>
      <c r="F1201" t="s">
        <v>124</v>
      </c>
      <c r="G1201" t="s">
        <v>240</v>
      </c>
      <c r="H1201">
        <v>0.06</v>
      </c>
      <c r="I1201">
        <v>2.94</v>
      </c>
      <c r="J1201">
        <v>2.1800000000000002</v>
      </c>
      <c r="K1201" t="s">
        <v>662</v>
      </c>
      <c r="L1201">
        <v>28.23</v>
      </c>
      <c r="M1201" t="s">
        <v>1689</v>
      </c>
      <c r="N1201">
        <v>0</v>
      </c>
      <c r="O1201" t="s">
        <v>1203</v>
      </c>
      <c r="P1201" t="s">
        <v>677</v>
      </c>
      <c r="Q1201">
        <v>28.12</v>
      </c>
      <c r="R1201" t="s">
        <v>264</v>
      </c>
      <c r="S1201">
        <v>0.65</v>
      </c>
      <c r="T1201">
        <v>66</v>
      </c>
      <c r="U1201" t="s">
        <v>5856</v>
      </c>
      <c r="V1201" t="s">
        <v>2637</v>
      </c>
      <c r="W1201" t="s">
        <v>2238</v>
      </c>
      <c r="X1201">
        <v>2.1800000000000002</v>
      </c>
      <c r="Y1201" t="s">
        <v>2725</v>
      </c>
      <c r="Z1201" t="s">
        <v>50</v>
      </c>
      <c r="AA1201" t="s">
        <v>876</v>
      </c>
      <c r="AB1201">
        <v>2.4500000000000002</v>
      </c>
      <c r="AC1201" t="s">
        <v>2287</v>
      </c>
      <c r="AD1201">
        <v>59.8</v>
      </c>
      <c r="AE1201" t="s">
        <v>2291</v>
      </c>
      <c r="AF1201">
        <v>1.22</v>
      </c>
      <c r="AG1201">
        <v>0</v>
      </c>
      <c r="AH1201">
        <v>0</v>
      </c>
      <c r="AI1201" s="4">
        <v>35305</v>
      </c>
    </row>
    <row r="1202" spans="1:35">
      <c r="A1202">
        <v>1201</v>
      </c>
      <c r="B1202" t="str">
        <f>"603080"</f>
        <v>603080</v>
      </c>
      <c r="C1202" t="s">
        <v>7120</v>
      </c>
      <c r="D1202" s="4">
        <v>43190</v>
      </c>
      <c r="E1202" t="s">
        <v>920</v>
      </c>
      <c r="F1202" t="s">
        <v>3080</v>
      </c>
      <c r="G1202">
        <v>1452</v>
      </c>
      <c r="H1202">
        <v>0.15</v>
      </c>
      <c r="I1202">
        <v>6.74</v>
      </c>
      <c r="J1202">
        <v>2.17</v>
      </c>
      <c r="K1202" t="s">
        <v>7121</v>
      </c>
      <c r="L1202">
        <v>7.69</v>
      </c>
      <c r="M1202" t="s">
        <v>3328</v>
      </c>
      <c r="N1202">
        <v>0</v>
      </c>
      <c r="O1202" t="s">
        <v>3328</v>
      </c>
      <c r="P1202" t="s">
        <v>7122</v>
      </c>
      <c r="Q1202">
        <v>-8.77</v>
      </c>
      <c r="R1202" t="s">
        <v>2661</v>
      </c>
      <c r="S1202">
        <v>2.13</v>
      </c>
      <c r="T1202">
        <v>39.700000000000003</v>
      </c>
      <c r="U1202" t="s">
        <v>699</v>
      </c>
      <c r="V1202" t="s">
        <v>1015</v>
      </c>
      <c r="W1202" t="s">
        <v>1184</v>
      </c>
      <c r="X1202">
        <v>2.17</v>
      </c>
      <c r="Y1202" t="s">
        <v>533</v>
      </c>
      <c r="Z1202" t="s">
        <v>7123</v>
      </c>
      <c r="AA1202" t="s">
        <v>2754</v>
      </c>
      <c r="AB1202">
        <v>5.12</v>
      </c>
      <c r="AC1202" t="s">
        <v>6611</v>
      </c>
      <c r="AD1202">
        <v>90.61</v>
      </c>
      <c r="AE1202" t="s">
        <v>1436</v>
      </c>
      <c r="AF1202">
        <v>3.43</v>
      </c>
      <c r="AG1202">
        <v>0</v>
      </c>
      <c r="AH1202">
        <v>0</v>
      </c>
      <c r="AI1202" s="4">
        <v>43103</v>
      </c>
    </row>
    <row r="1203" spans="1:35">
      <c r="A1203">
        <v>1202</v>
      </c>
      <c r="B1203" t="str">
        <f>"601020"</f>
        <v>601020</v>
      </c>
      <c r="C1203" t="s">
        <v>7124</v>
      </c>
      <c r="D1203" s="4">
        <v>43190</v>
      </c>
      <c r="E1203" t="s">
        <v>666</v>
      </c>
      <c r="F1203" t="s">
        <v>1067</v>
      </c>
      <c r="G1203">
        <v>9025</v>
      </c>
      <c r="H1203">
        <v>0.08</v>
      </c>
      <c r="I1203">
        <v>3.51</v>
      </c>
      <c r="J1203">
        <v>2.17</v>
      </c>
      <c r="K1203" t="s">
        <v>470</v>
      </c>
      <c r="L1203">
        <v>257.47000000000003</v>
      </c>
      <c r="M1203" t="s">
        <v>7125</v>
      </c>
      <c r="N1203" t="s">
        <v>7126</v>
      </c>
      <c r="O1203" t="s">
        <v>7125</v>
      </c>
      <c r="P1203" t="s">
        <v>7127</v>
      </c>
      <c r="Q1203">
        <v>89.87</v>
      </c>
      <c r="R1203" t="s">
        <v>1802</v>
      </c>
      <c r="S1203">
        <v>1.6</v>
      </c>
      <c r="T1203">
        <v>35.15</v>
      </c>
      <c r="U1203" t="s">
        <v>2064</v>
      </c>
      <c r="V1203" t="s">
        <v>1436</v>
      </c>
      <c r="W1203" t="s">
        <v>869</v>
      </c>
      <c r="X1203">
        <v>2.17</v>
      </c>
      <c r="Y1203" t="s">
        <v>1033</v>
      </c>
      <c r="Z1203" t="s">
        <v>5842</v>
      </c>
      <c r="AA1203" t="s">
        <v>1730</v>
      </c>
      <c r="AB1203">
        <v>3.75</v>
      </c>
      <c r="AC1203" t="s">
        <v>510</v>
      </c>
      <c r="AD1203">
        <v>59.41</v>
      </c>
      <c r="AE1203" t="s">
        <v>3197</v>
      </c>
      <c r="AF1203">
        <v>0.71</v>
      </c>
      <c r="AG1203">
        <v>0</v>
      </c>
      <c r="AH1203">
        <v>0</v>
      </c>
      <c r="AI1203" s="4">
        <v>42445</v>
      </c>
    </row>
    <row r="1204" spans="1:35">
      <c r="A1204">
        <v>1203</v>
      </c>
      <c r="B1204" t="str">
        <f>"300436"</f>
        <v>300436</v>
      </c>
      <c r="C1204" t="s">
        <v>7128</v>
      </c>
      <c r="D1204" s="4">
        <v>43190</v>
      </c>
      <c r="E1204" t="s">
        <v>84</v>
      </c>
      <c r="F1204" t="s">
        <v>355</v>
      </c>
      <c r="G1204">
        <v>3050</v>
      </c>
      <c r="H1204">
        <v>0.09</v>
      </c>
      <c r="I1204">
        <v>3.9</v>
      </c>
      <c r="J1204">
        <v>2.17</v>
      </c>
      <c r="K1204" t="s">
        <v>7129</v>
      </c>
      <c r="L1204">
        <v>5.58</v>
      </c>
      <c r="M1204" t="s">
        <v>7130</v>
      </c>
      <c r="N1204" t="s">
        <v>7131</v>
      </c>
      <c r="O1204" t="s">
        <v>7132</v>
      </c>
      <c r="P1204" t="s">
        <v>7133</v>
      </c>
      <c r="Q1204">
        <v>-40.74</v>
      </c>
      <c r="R1204" t="s">
        <v>292</v>
      </c>
      <c r="S1204">
        <v>1.34</v>
      </c>
      <c r="T1204">
        <v>85.5</v>
      </c>
      <c r="U1204" t="s">
        <v>1042</v>
      </c>
      <c r="V1204" t="s">
        <v>1229</v>
      </c>
      <c r="W1204" t="s">
        <v>443</v>
      </c>
      <c r="X1204">
        <v>2.17</v>
      </c>
      <c r="Y1204" t="s">
        <v>603</v>
      </c>
      <c r="Z1204" t="s">
        <v>136</v>
      </c>
      <c r="AA1204" t="s">
        <v>7134</v>
      </c>
      <c r="AB1204">
        <v>6.35</v>
      </c>
      <c r="AC1204" t="s">
        <v>106</v>
      </c>
      <c r="AD1204">
        <v>76.25</v>
      </c>
      <c r="AE1204" t="s">
        <v>1999</v>
      </c>
      <c r="AF1204">
        <v>1.66</v>
      </c>
      <c r="AG1204">
        <v>0</v>
      </c>
      <c r="AH1204">
        <v>0</v>
      </c>
      <c r="AI1204" s="4">
        <v>42116</v>
      </c>
    </row>
    <row r="1205" spans="1:35">
      <c r="A1205">
        <v>1204</v>
      </c>
      <c r="B1205" t="str">
        <f>"300283"</f>
        <v>300283</v>
      </c>
      <c r="C1205" t="s">
        <v>7135</v>
      </c>
      <c r="D1205" s="4">
        <v>43190</v>
      </c>
      <c r="E1205" t="s">
        <v>3119</v>
      </c>
      <c r="F1205" t="s">
        <v>618</v>
      </c>
      <c r="G1205" t="s">
        <v>3048</v>
      </c>
      <c r="H1205">
        <v>0.03</v>
      </c>
      <c r="I1205">
        <v>1.4</v>
      </c>
      <c r="J1205">
        <v>2.17</v>
      </c>
      <c r="K1205" t="s">
        <v>998</v>
      </c>
      <c r="L1205">
        <v>33.71</v>
      </c>
      <c r="M1205" t="s">
        <v>7136</v>
      </c>
      <c r="N1205">
        <v>3692</v>
      </c>
      <c r="O1205" t="s">
        <v>7137</v>
      </c>
      <c r="P1205" t="s">
        <v>7138</v>
      </c>
      <c r="Q1205">
        <v>188.8</v>
      </c>
      <c r="R1205" t="s">
        <v>2360</v>
      </c>
      <c r="S1205">
        <v>0.3</v>
      </c>
      <c r="T1205">
        <v>12.43</v>
      </c>
      <c r="U1205" t="s">
        <v>538</v>
      </c>
      <c r="V1205" t="s">
        <v>2510</v>
      </c>
      <c r="W1205" t="s">
        <v>976</v>
      </c>
      <c r="X1205">
        <v>2.17</v>
      </c>
      <c r="Y1205" t="s">
        <v>7139</v>
      </c>
      <c r="Z1205" t="s">
        <v>1521</v>
      </c>
      <c r="AA1205" t="s">
        <v>609</v>
      </c>
      <c r="AB1205">
        <v>3.02</v>
      </c>
      <c r="AC1205" t="s">
        <v>2056</v>
      </c>
      <c r="AD1205">
        <v>41.18</v>
      </c>
      <c r="AE1205" t="s">
        <v>7140</v>
      </c>
      <c r="AF1205">
        <v>0.04</v>
      </c>
      <c r="AG1205">
        <v>0</v>
      </c>
      <c r="AH1205">
        <v>0</v>
      </c>
      <c r="AI1205" s="4">
        <v>40918</v>
      </c>
    </row>
    <row r="1206" spans="1:35">
      <c r="A1206">
        <v>1205</v>
      </c>
      <c r="B1206" t="str">
        <f>"002801"</f>
        <v>002801</v>
      </c>
      <c r="C1206" t="s">
        <v>7141</v>
      </c>
      <c r="D1206" s="4">
        <v>43190</v>
      </c>
      <c r="E1206" t="s">
        <v>1626</v>
      </c>
      <c r="F1206" t="s">
        <v>7142</v>
      </c>
      <c r="G1206">
        <v>2255</v>
      </c>
      <c r="H1206">
        <v>0.16</v>
      </c>
      <c r="I1206">
        <v>6.76</v>
      </c>
      <c r="J1206">
        <v>2.17</v>
      </c>
      <c r="K1206" t="s">
        <v>2603</v>
      </c>
      <c r="L1206">
        <v>13.48</v>
      </c>
      <c r="M1206" t="s">
        <v>5710</v>
      </c>
      <c r="N1206" t="s">
        <v>5642</v>
      </c>
      <c r="O1206" t="s">
        <v>5571</v>
      </c>
      <c r="P1206" t="s">
        <v>6477</v>
      </c>
      <c r="Q1206">
        <v>-18.420000000000002</v>
      </c>
      <c r="R1206" t="s">
        <v>1659</v>
      </c>
      <c r="S1206">
        <v>3.44</v>
      </c>
      <c r="T1206">
        <v>25.65</v>
      </c>
      <c r="U1206" t="s">
        <v>1065</v>
      </c>
      <c r="V1206" t="s">
        <v>6799</v>
      </c>
      <c r="W1206" t="s">
        <v>1627</v>
      </c>
      <c r="X1206">
        <v>2.17</v>
      </c>
      <c r="Y1206" t="s">
        <v>677</v>
      </c>
      <c r="Z1206" t="s">
        <v>1475</v>
      </c>
      <c r="AA1206" t="s">
        <v>1508</v>
      </c>
      <c r="AB1206">
        <v>4.09</v>
      </c>
      <c r="AC1206" t="s">
        <v>226</v>
      </c>
      <c r="AD1206">
        <v>87.85</v>
      </c>
      <c r="AE1206" t="s">
        <v>916</v>
      </c>
      <c r="AF1206">
        <v>2</v>
      </c>
      <c r="AG1206">
        <v>0</v>
      </c>
      <c r="AH1206">
        <v>0</v>
      </c>
      <c r="AI1206" s="4">
        <v>42543</v>
      </c>
    </row>
    <row r="1207" spans="1:35">
      <c r="A1207">
        <v>1206</v>
      </c>
      <c r="B1207" t="str">
        <f>"002139"</f>
        <v>002139</v>
      </c>
      <c r="C1207" t="s">
        <v>7143</v>
      </c>
      <c r="D1207" s="4">
        <v>43190</v>
      </c>
      <c r="E1207" t="s">
        <v>1496</v>
      </c>
      <c r="F1207" t="s">
        <v>488</v>
      </c>
      <c r="G1207" t="s">
        <v>2478</v>
      </c>
      <c r="H1207">
        <v>0.04</v>
      </c>
      <c r="I1207">
        <v>1.88</v>
      </c>
      <c r="J1207">
        <v>2.17</v>
      </c>
      <c r="K1207" t="s">
        <v>116</v>
      </c>
      <c r="L1207">
        <v>29.22</v>
      </c>
      <c r="M1207" t="s">
        <v>7144</v>
      </c>
      <c r="N1207" t="s">
        <v>7145</v>
      </c>
      <c r="O1207" t="s">
        <v>7146</v>
      </c>
      <c r="P1207" t="s">
        <v>7147</v>
      </c>
      <c r="Q1207">
        <v>20.14</v>
      </c>
      <c r="R1207" t="s">
        <v>1799</v>
      </c>
      <c r="S1207">
        <v>0.46</v>
      </c>
      <c r="T1207">
        <v>21.63</v>
      </c>
      <c r="U1207" t="s">
        <v>612</v>
      </c>
      <c r="V1207" t="s">
        <v>712</v>
      </c>
      <c r="W1207" t="s">
        <v>1565</v>
      </c>
      <c r="X1207">
        <v>2.17</v>
      </c>
      <c r="Y1207" t="s">
        <v>124</v>
      </c>
      <c r="Z1207" t="s">
        <v>840</v>
      </c>
      <c r="AA1207" t="s">
        <v>7148</v>
      </c>
      <c r="AB1207">
        <v>2.98</v>
      </c>
      <c r="AC1207" t="s">
        <v>691</v>
      </c>
      <c r="AD1207">
        <v>57.44</v>
      </c>
      <c r="AE1207" t="s">
        <v>1957</v>
      </c>
      <c r="AF1207">
        <v>0.42</v>
      </c>
      <c r="AG1207">
        <v>0</v>
      </c>
      <c r="AH1207">
        <v>0</v>
      </c>
      <c r="AI1207" s="4">
        <v>39262</v>
      </c>
    </row>
    <row r="1208" spans="1:35">
      <c r="A1208">
        <v>1207</v>
      </c>
      <c r="B1208" t="str">
        <f>"603015"</f>
        <v>603015</v>
      </c>
      <c r="C1208" t="s">
        <v>7149</v>
      </c>
      <c r="D1208" s="4">
        <v>43190</v>
      </c>
      <c r="E1208" t="s">
        <v>48</v>
      </c>
      <c r="F1208" t="s">
        <v>150</v>
      </c>
      <c r="G1208" t="s">
        <v>1763</v>
      </c>
      <c r="H1208">
        <v>0.06</v>
      </c>
      <c r="I1208">
        <v>2.83</v>
      </c>
      <c r="J1208">
        <v>2.16</v>
      </c>
      <c r="K1208" t="s">
        <v>255</v>
      </c>
      <c r="L1208">
        <v>8.6199999999999992</v>
      </c>
      <c r="M1208" t="s">
        <v>4140</v>
      </c>
      <c r="N1208" t="s">
        <v>5106</v>
      </c>
      <c r="O1208" t="s">
        <v>7150</v>
      </c>
      <c r="P1208" t="s">
        <v>7151</v>
      </c>
      <c r="Q1208">
        <v>17.260000000000002</v>
      </c>
      <c r="R1208" t="s">
        <v>1578</v>
      </c>
      <c r="S1208">
        <v>0.65</v>
      </c>
      <c r="T1208">
        <v>37.86</v>
      </c>
      <c r="U1208" t="s">
        <v>983</v>
      </c>
      <c r="V1208" t="s">
        <v>613</v>
      </c>
      <c r="W1208" t="s">
        <v>4614</v>
      </c>
      <c r="X1208">
        <v>2.16</v>
      </c>
      <c r="Y1208" t="s">
        <v>1383</v>
      </c>
      <c r="Z1208" t="s">
        <v>1672</v>
      </c>
      <c r="AA1208" t="s">
        <v>6465</v>
      </c>
      <c r="AB1208">
        <v>2.4700000000000002</v>
      </c>
      <c r="AC1208" t="s">
        <v>405</v>
      </c>
      <c r="AD1208">
        <v>76.94</v>
      </c>
      <c r="AE1208" t="s">
        <v>4613</v>
      </c>
      <c r="AF1208">
        <v>1.1399999999999999</v>
      </c>
      <c r="AG1208">
        <v>0</v>
      </c>
      <c r="AH1208">
        <v>0</v>
      </c>
      <c r="AI1208" s="4">
        <v>42066</v>
      </c>
    </row>
    <row r="1209" spans="1:35">
      <c r="A1209">
        <v>1208</v>
      </c>
      <c r="B1209" t="str">
        <f>"601688"</f>
        <v>601688</v>
      </c>
      <c r="C1209" t="s">
        <v>7152</v>
      </c>
      <c r="D1209" s="4">
        <v>43190</v>
      </c>
      <c r="E1209" t="s">
        <v>5659</v>
      </c>
      <c r="F1209" t="s">
        <v>1776</v>
      </c>
      <c r="G1209">
        <v>0</v>
      </c>
      <c r="H1209">
        <v>0.27</v>
      </c>
      <c r="I1209">
        <v>12.42</v>
      </c>
      <c r="J1209">
        <v>2.16</v>
      </c>
      <c r="K1209" t="s">
        <v>1669</v>
      </c>
      <c r="L1209">
        <v>13.35</v>
      </c>
      <c r="M1209" t="s">
        <v>1348</v>
      </c>
      <c r="N1209" t="s">
        <v>1214</v>
      </c>
      <c r="O1209" t="s">
        <v>1348</v>
      </c>
      <c r="P1209" t="s">
        <v>183</v>
      </c>
      <c r="Q1209">
        <v>43.07</v>
      </c>
      <c r="R1209" t="s">
        <v>1151</v>
      </c>
      <c r="S1209">
        <v>2.99</v>
      </c>
      <c r="T1209">
        <v>0</v>
      </c>
      <c r="U1209" t="s">
        <v>7153</v>
      </c>
      <c r="V1209">
        <v>0</v>
      </c>
      <c r="W1209" t="s">
        <v>4558</v>
      </c>
      <c r="X1209">
        <v>2.16</v>
      </c>
      <c r="Y1209" t="s">
        <v>7154</v>
      </c>
      <c r="Z1209">
        <v>0</v>
      </c>
      <c r="AA1209">
        <v>0</v>
      </c>
      <c r="AB1209">
        <v>1.23</v>
      </c>
      <c r="AC1209" t="s">
        <v>7155</v>
      </c>
      <c r="AD1209">
        <v>22.25</v>
      </c>
      <c r="AE1209" t="s">
        <v>7156</v>
      </c>
      <c r="AF1209">
        <v>6.4</v>
      </c>
      <c r="AG1209">
        <v>0</v>
      </c>
      <c r="AH1209" t="s">
        <v>304</v>
      </c>
      <c r="AI1209" s="4">
        <v>40235</v>
      </c>
    </row>
    <row r="1210" spans="1:35">
      <c r="A1210">
        <v>1209</v>
      </c>
      <c r="B1210" t="str">
        <f>"600330"</f>
        <v>600330</v>
      </c>
      <c r="C1210" t="s">
        <v>7157</v>
      </c>
      <c r="D1210" s="4">
        <v>43190</v>
      </c>
      <c r="E1210" t="s">
        <v>1415</v>
      </c>
      <c r="F1210" t="s">
        <v>1415</v>
      </c>
      <c r="G1210" t="s">
        <v>5650</v>
      </c>
      <c r="H1210">
        <v>0.1</v>
      </c>
      <c r="I1210">
        <v>4.62</v>
      </c>
      <c r="J1210">
        <v>2.16</v>
      </c>
      <c r="K1210" t="s">
        <v>2851</v>
      </c>
      <c r="L1210">
        <v>16.02</v>
      </c>
      <c r="M1210" t="s">
        <v>7158</v>
      </c>
      <c r="N1210" t="s">
        <v>7159</v>
      </c>
      <c r="O1210" t="s">
        <v>3426</v>
      </c>
      <c r="P1210" t="s">
        <v>2278</v>
      </c>
      <c r="Q1210">
        <v>51.65</v>
      </c>
      <c r="R1210" t="s">
        <v>342</v>
      </c>
      <c r="S1210">
        <v>0.37</v>
      </c>
      <c r="T1210">
        <v>27.02</v>
      </c>
      <c r="U1210" t="s">
        <v>799</v>
      </c>
      <c r="V1210" t="s">
        <v>728</v>
      </c>
      <c r="W1210" t="s">
        <v>867</v>
      </c>
      <c r="X1210">
        <v>2.16</v>
      </c>
      <c r="Y1210" t="s">
        <v>298</v>
      </c>
      <c r="Z1210" t="s">
        <v>1082</v>
      </c>
      <c r="AA1210" t="s">
        <v>1934</v>
      </c>
      <c r="AB1210">
        <v>1.62</v>
      </c>
      <c r="AC1210" t="s">
        <v>235</v>
      </c>
      <c r="AD1210">
        <v>69.459999999999994</v>
      </c>
      <c r="AE1210" t="s">
        <v>451</v>
      </c>
      <c r="AF1210">
        <v>3.16</v>
      </c>
      <c r="AG1210">
        <v>0</v>
      </c>
      <c r="AH1210">
        <v>0</v>
      </c>
      <c r="AI1210" s="4">
        <v>36909</v>
      </c>
    </row>
    <row r="1211" spans="1:35">
      <c r="A1211">
        <v>1210</v>
      </c>
      <c r="B1211" t="str">
        <f>"600136"</f>
        <v>600136</v>
      </c>
      <c r="C1211" t="s">
        <v>7160</v>
      </c>
      <c r="D1211" s="4">
        <v>43190</v>
      </c>
      <c r="E1211" t="s">
        <v>1703</v>
      </c>
      <c r="F1211" t="s">
        <v>2041</v>
      </c>
      <c r="G1211" t="s">
        <v>1763</v>
      </c>
      <c r="H1211">
        <v>0.11</v>
      </c>
      <c r="I1211">
        <v>5.27</v>
      </c>
      <c r="J1211">
        <v>2.16</v>
      </c>
      <c r="K1211" t="s">
        <v>486</v>
      </c>
      <c r="L1211">
        <v>265</v>
      </c>
      <c r="M1211" t="s">
        <v>7161</v>
      </c>
      <c r="N1211">
        <v>0</v>
      </c>
      <c r="O1211" t="s">
        <v>7162</v>
      </c>
      <c r="P1211" t="s">
        <v>3454</v>
      </c>
      <c r="Q1211">
        <v>21197.040000000001</v>
      </c>
      <c r="R1211" t="s">
        <v>138</v>
      </c>
      <c r="S1211">
        <v>0.77</v>
      </c>
      <c r="T1211">
        <v>47.61</v>
      </c>
      <c r="U1211" t="s">
        <v>1103</v>
      </c>
      <c r="V1211" t="s">
        <v>763</v>
      </c>
      <c r="W1211" t="s">
        <v>7163</v>
      </c>
      <c r="X1211">
        <v>2.16</v>
      </c>
      <c r="Y1211" t="s">
        <v>236</v>
      </c>
      <c r="Z1211" t="s">
        <v>1569</v>
      </c>
      <c r="AA1211" t="s">
        <v>747</v>
      </c>
      <c r="AB1211">
        <v>2.39</v>
      </c>
      <c r="AC1211" t="s">
        <v>710</v>
      </c>
      <c r="AD1211">
        <v>42.58</v>
      </c>
      <c r="AE1211" t="s">
        <v>115</v>
      </c>
      <c r="AF1211">
        <v>3.47</v>
      </c>
      <c r="AG1211">
        <v>0</v>
      </c>
      <c r="AH1211">
        <v>0</v>
      </c>
      <c r="AI1211" s="4">
        <v>35857</v>
      </c>
    </row>
    <row r="1212" spans="1:35">
      <c r="A1212">
        <v>1211</v>
      </c>
      <c r="B1212" t="str">
        <f>"002859"</f>
        <v>002859</v>
      </c>
      <c r="C1212" t="s">
        <v>7164</v>
      </c>
      <c r="D1212" s="4">
        <v>43190</v>
      </c>
      <c r="E1212" t="s">
        <v>134</v>
      </c>
      <c r="F1212" t="s">
        <v>71</v>
      </c>
      <c r="G1212">
        <v>2981</v>
      </c>
      <c r="H1212">
        <v>0.12</v>
      </c>
      <c r="I1212">
        <v>5.22</v>
      </c>
      <c r="J1212">
        <v>2.16</v>
      </c>
      <c r="K1212" t="s">
        <v>1049</v>
      </c>
      <c r="L1212">
        <v>39.229999999999997</v>
      </c>
      <c r="M1212" t="s">
        <v>7165</v>
      </c>
      <c r="N1212" t="s">
        <v>7166</v>
      </c>
      <c r="O1212" t="s">
        <v>7167</v>
      </c>
      <c r="P1212" t="s">
        <v>7168</v>
      </c>
      <c r="Q1212">
        <v>15.46</v>
      </c>
      <c r="R1212" t="s">
        <v>914</v>
      </c>
      <c r="S1212">
        <v>1.52</v>
      </c>
      <c r="T1212">
        <v>34.99</v>
      </c>
      <c r="U1212" t="s">
        <v>820</v>
      </c>
      <c r="V1212" t="s">
        <v>3546</v>
      </c>
      <c r="W1212" t="s">
        <v>1730</v>
      </c>
      <c r="X1212">
        <v>2.16</v>
      </c>
      <c r="Y1212" t="s">
        <v>559</v>
      </c>
      <c r="Z1212" t="s">
        <v>507</v>
      </c>
      <c r="AA1212" t="s">
        <v>7169</v>
      </c>
      <c r="AB1212">
        <v>6.51</v>
      </c>
      <c r="AC1212" t="s">
        <v>176</v>
      </c>
      <c r="AD1212">
        <v>81.099999999999994</v>
      </c>
      <c r="AE1212" t="s">
        <v>359</v>
      </c>
      <c r="AF1212">
        <v>2.5299999999999998</v>
      </c>
      <c r="AG1212">
        <v>0</v>
      </c>
      <c r="AH1212">
        <v>0</v>
      </c>
      <c r="AI1212" s="4">
        <v>42832</v>
      </c>
    </row>
    <row r="1213" spans="1:35">
      <c r="A1213">
        <v>1212</v>
      </c>
      <c r="B1213" t="str">
        <f>"002788"</f>
        <v>002788</v>
      </c>
      <c r="C1213" t="s">
        <v>7170</v>
      </c>
      <c r="D1213" s="4">
        <v>43190</v>
      </c>
      <c r="E1213" t="s">
        <v>255</v>
      </c>
      <c r="F1213" t="s">
        <v>1475</v>
      </c>
      <c r="G1213">
        <v>2846</v>
      </c>
      <c r="H1213">
        <v>0.17</v>
      </c>
      <c r="I1213">
        <v>7.7</v>
      </c>
      <c r="J1213">
        <v>2.16</v>
      </c>
      <c r="K1213" t="s">
        <v>370</v>
      </c>
      <c r="L1213">
        <v>60.33</v>
      </c>
      <c r="M1213" t="s">
        <v>2785</v>
      </c>
      <c r="N1213">
        <v>0</v>
      </c>
      <c r="O1213" t="s">
        <v>7171</v>
      </c>
      <c r="P1213" t="s">
        <v>6955</v>
      </c>
      <c r="Q1213">
        <v>39.520000000000003</v>
      </c>
      <c r="R1213" t="s">
        <v>1847</v>
      </c>
      <c r="S1213">
        <v>3.32</v>
      </c>
      <c r="T1213">
        <v>7.5</v>
      </c>
      <c r="U1213" t="s">
        <v>1110</v>
      </c>
      <c r="V1213" t="s">
        <v>3886</v>
      </c>
      <c r="W1213" t="s">
        <v>381</v>
      </c>
      <c r="X1213">
        <v>2.16</v>
      </c>
      <c r="Y1213" t="s">
        <v>2301</v>
      </c>
      <c r="Z1213" t="s">
        <v>949</v>
      </c>
      <c r="AA1213" t="s">
        <v>1457</v>
      </c>
      <c r="AB1213">
        <v>1.99</v>
      </c>
      <c r="AC1213" t="s">
        <v>547</v>
      </c>
      <c r="AD1213">
        <v>26.99</v>
      </c>
      <c r="AE1213" t="s">
        <v>1044</v>
      </c>
      <c r="AF1213">
        <v>3.38</v>
      </c>
      <c r="AG1213">
        <v>0</v>
      </c>
      <c r="AH1213">
        <v>0</v>
      </c>
      <c r="AI1213" s="4">
        <v>42418</v>
      </c>
    </row>
    <row r="1214" spans="1:35">
      <c r="A1214">
        <v>1213</v>
      </c>
      <c r="B1214" t="str">
        <f>"002391"</f>
        <v>002391</v>
      </c>
      <c r="C1214" t="s">
        <v>7172</v>
      </c>
      <c r="D1214" s="4">
        <v>43190</v>
      </c>
      <c r="E1214" t="s">
        <v>1359</v>
      </c>
      <c r="F1214" t="s">
        <v>676</v>
      </c>
      <c r="G1214" t="s">
        <v>1862</v>
      </c>
      <c r="H1214">
        <v>0.18</v>
      </c>
      <c r="I1214">
        <v>8.36</v>
      </c>
      <c r="J1214">
        <v>2.16</v>
      </c>
      <c r="K1214" t="s">
        <v>4002</v>
      </c>
      <c r="L1214">
        <v>45.77</v>
      </c>
      <c r="M1214" t="s">
        <v>2378</v>
      </c>
      <c r="N1214" t="s">
        <v>3885</v>
      </c>
      <c r="O1214" t="s">
        <v>7173</v>
      </c>
      <c r="P1214" t="s">
        <v>7174</v>
      </c>
      <c r="Q1214">
        <v>48.78</v>
      </c>
      <c r="R1214" t="s">
        <v>59</v>
      </c>
      <c r="S1214">
        <v>2.4</v>
      </c>
      <c r="T1214">
        <v>28.1</v>
      </c>
      <c r="U1214" t="s">
        <v>1517</v>
      </c>
      <c r="V1214" t="s">
        <v>980</v>
      </c>
      <c r="W1214" t="s">
        <v>1752</v>
      </c>
      <c r="X1214">
        <v>2.16</v>
      </c>
      <c r="Y1214" t="s">
        <v>2959</v>
      </c>
      <c r="Z1214" t="s">
        <v>2000</v>
      </c>
      <c r="AA1214" t="s">
        <v>55</v>
      </c>
      <c r="AB1214">
        <v>1.5</v>
      </c>
      <c r="AC1214" t="s">
        <v>2064</v>
      </c>
      <c r="AD1214">
        <v>76.38</v>
      </c>
      <c r="AE1214" t="s">
        <v>1244</v>
      </c>
      <c r="AF1214">
        <v>4.53</v>
      </c>
      <c r="AG1214">
        <v>0</v>
      </c>
      <c r="AH1214">
        <v>0</v>
      </c>
      <c r="AI1214" s="4">
        <v>40284</v>
      </c>
    </row>
    <row r="1215" spans="1:35">
      <c r="A1215">
        <v>1214</v>
      </c>
      <c r="B1215" t="str">
        <f>"002146"</f>
        <v>002146</v>
      </c>
      <c r="C1215" t="s">
        <v>7175</v>
      </c>
      <c r="D1215" s="4">
        <v>43190</v>
      </c>
      <c r="E1215" t="s">
        <v>527</v>
      </c>
      <c r="F1215" t="s">
        <v>1803</v>
      </c>
      <c r="G1215" t="s">
        <v>3279</v>
      </c>
      <c r="H1215">
        <v>0.14000000000000001</v>
      </c>
      <c r="I1215">
        <v>6.47</v>
      </c>
      <c r="J1215">
        <v>2.16</v>
      </c>
      <c r="K1215" t="s">
        <v>3015</v>
      </c>
      <c r="L1215">
        <v>36.67</v>
      </c>
      <c r="M1215" t="s">
        <v>1496</v>
      </c>
      <c r="N1215" t="s">
        <v>7176</v>
      </c>
      <c r="O1215" t="s">
        <v>1094</v>
      </c>
      <c r="P1215" t="s">
        <v>3368</v>
      </c>
      <c r="Q1215">
        <v>31.13</v>
      </c>
      <c r="R1215" t="s">
        <v>764</v>
      </c>
      <c r="S1215">
        <v>3.53</v>
      </c>
      <c r="T1215">
        <v>34.6</v>
      </c>
      <c r="U1215" t="s">
        <v>7177</v>
      </c>
      <c r="V1215" t="s">
        <v>7178</v>
      </c>
      <c r="W1215" t="s">
        <v>158</v>
      </c>
      <c r="X1215">
        <v>2.16</v>
      </c>
      <c r="Y1215" t="s">
        <v>7179</v>
      </c>
      <c r="Z1215" t="s">
        <v>7180</v>
      </c>
      <c r="AA1215" t="s">
        <v>3591</v>
      </c>
      <c r="AB1215">
        <v>1.43</v>
      </c>
      <c r="AC1215" t="s">
        <v>4409</v>
      </c>
      <c r="AD1215">
        <v>14.23</v>
      </c>
      <c r="AE1215" t="s">
        <v>773</v>
      </c>
      <c r="AF1215">
        <v>1.01</v>
      </c>
      <c r="AG1215">
        <v>0</v>
      </c>
      <c r="AH1215">
        <v>0</v>
      </c>
      <c r="AI1215" s="4">
        <v>39302</v>
      </c>
    </row>
    <row r="1216" spans="1:35">
      <c r="A1216">
        <v>1215</v>
      </c>
      <c r="B1216" t="str">
        <f>"603976"</f>
        <v>603976</v>
      </c>
      <c r="C1216" t="s">
        <v>7181</v>
      </c>
      <c r="D1216" s="4">
        <v>43190</v>
      </c>
      <c r="E1216" t="s">
        <v>2034</v>
      </c>
      <c r="F1216" t="s">
        <v>7182</v>
      </c>
      <c r="G1216">
        <v>1757</v>
      </c>
      <c r="H1216">
        <v>0.14000000000000001</v>
      </c>
      <c r="I1216">
        <v>6.12</v>
      </c>
      <c r="J1216">
        <v>2.15</v>
      </c>
      <c r="K1216" t="s">
        <v>610</v>
      </c>
      <c r="L1216">
        <v>17.489999999999998</v>
      </c>
      <c r="M1216" t="s">
        <v>7183</v>
      </c>
      <c r="N1216">
        <v>0</v>
      </c>
      <c r="O1216" t="s">
        <v>4482</v>
      </c>
      <c r="P1216" t="s">
        <v>7184</v>
      </c>
      <c r="Q1216">
        <v>0.62</v>
      </c>
      <c r="R1216" t="s">
        <v>1999</v>
      </c>
      <c r="S1216">
        <v>1.22</v>
      </c>
      <c r="T1216">
        <v>28.47</v>
      </c>
      <c r="U1216" t="s">
        <v>699</v>
      </c>
      <c r="V1216" t="s">
        <v>201</v>
      </c>
      <c r="W1216" t="s">
        <v>478</v>
      </c>
      <c r="X1216">
        <v>2.15</v>
      </c>
      <c r="Y1216" t="s">
        <v>2307</v>
      </c>
      <c r="Z1216" t="s">
        <v>7185</v>
      </c>
      <c r="AA1216" t="s">
        <v>7186</v>
      </c>
      <c r="AB1216">
        <v>2.52</v>
      </c>
      <c r="AC1216" t="s">
        <v>4345</v>
      </c>
      <c r="AD1216">
        <v>90.66</v>
      </c>
      <c r="AE1216" t="s">
        <v>2580</v>
      </c>
      <c r="AF1216">
        <v>3.67</v>
      </c>
      <c r="AG1216">
        <v>0</v>
      </c>
      <c r="AH1216">
        <v>0</v>
      </c>
      <c r="AI1216" s="4">
        <v>42969</v>
      </c>
    </row>
    <row r="1217" spans="1:35">
      <c r="A1217">
        <v>1216</v>
      </c>
      <c r="B1217" t="str">
        <f>"603887"</f>
        <v>603887</v>
      </c>
      <c r="C1217" t="s">
        <v>7187</v>
      </c>
      <c r="D1217" s="4">
        <v>43190</v>
      </c>
      <c r="E1217" t="s">
        <v>1016</v>
      </c>
      <c r="F1217" t="s">
        <v>7188</v>
      </c>
      <c r="G1217">
        <v>4870</v>
      </c>
      <c r="H1217">
        <v>0.11</v>
      </c>
      <c r="I1217">
        <v>5.25</v>
      </c>
      <c r="J1217">
        <v>2.15</v>
      </c>
      <c r="K1217" t="s">
        <v>1245</v>
      </c>
      <c r="L1217">
        <v>37.11</v>
      </c>
      <c r="M1217" t="s">
        <v>146</v>
      </c>
      <c r="N1217">
        <v>0</v>
      </c>
      <c r="O1217" t="s">
        <v>7189</v>
      </c>
      <c r="P1217" t="s">
        <v>5463</v>
      </c>
      <c r="Q1217">
        <v>6.94</v>
      </c>
      <c r="R1217" t="s">
        <v>1664</v>
      </c>
      <c r="S1217">
        <v>1.8</v>
      </c>
      <c r="T1217">
        <v>15.65</v>
      </c>
      <c r="U1217" t="s">
        <v>548</v>
      </c>
      <c r="V1217" t="s">
        <v>602</v>
      </c>
      <c r="W1217" t="s">
        <v>7190</v>
      </c>
      <c r="X1217">
        <v>2.15</v>
      </c>
      <c r="Y1217" t="s">
        <v>2112</v>
      </c>
      <c r="Z1217" t="s">
        <v>645</v>
      </c>
      <c r="AA1217" t="s">
        <v>6824</v>
      </c>
      <c r="AB1217">
        <v>2.96</v>
      </c>
      <c r="AC1217" t="s">
        <v>515</v>
      </c>
      <c r="AD1217">
        <v>62.74</v>
      </c>
      <c r="AE1217" t="s">
        <v>545</v>
      </c>
      <c r="AF1217">
        <v>2.82</v>
      </c>
      <c r="AG1217">
        <v>0</v>
      </c>
      <c r="AH1217">
        <v>0</v>
      </c>
      <c r="AI1217" s="4">
        <v>42653</v>
      </c>
    </row>
    <row r="1218" spans="1:35">
      <c r="A1218">
        <v>1217</v>
      </c>
      <c r="B1218" t="str">
        <f>"603678"</f>
        <v>603678</v>
      </c>
      <c r="C1218" t="s">
        <v>7191</v>
      </c>
      <c r="D1218" s="4">
        <v>43190</v>
      </c>
      <c r="E1218" t="s">
        <v>645</v>
      </c>
      <c r="F1218" t="s">
        <v>4185</v>
      </c>
      <c r="G1218" t="s">
        <v>2385</v>
      </c>
      <c r="H1218">
        <v>0.12</v>
      </c>
      <c r="I1218">
        <v>5.54</v>
      </c>
      <c r="J1218">
        <v>2.15</v>
      </c>
      <c r="K1218" t="s">
        <v>156</v>
      </c>
      <c r="L1218">
        <v>18.7</v>
      </c>
      <c r="M1218" t="s">
        <v>7192</v>
      </c>
      <c r="N1218" t="s">
        <v>7193</v>
      </c>
      <c r="O1218" t="s">
        <v>7194</v>
      </c>
      <c r="P1218" t="s">
        <v>4069</v>
      </c>
      <c r="Q1218">
        <v>51.82</v>
      </c>
      <c r="R1218" t="s">
        <v>1817</v>
      </c>
      <c r="S1218">
        <v>1.93</v>
      </c>
      <c r="T1218">
        <v>32.99</v>
      </c>
      <c r="U1218" t="s">
        <v>1391</v>
      </c>
      <c r="V1218" t="s">
        <v>1039</v>
      </c>
      <c r="W1218" t="s">
        <v>1618</v>
      </c>
      <c r="X1218">
        <v>2.15</v>
      </c>
      <c r="Y1218" t="s">
        <v>515</v>
      </c>
      <c r="Z1218" t="s">
        <v>175</v>
      </c>
      <c r="AA1218" t="s">
        <v>6220</v>
      </c>
      <c r="AB1218">
        <v>4</v>
      </c>
      <c r="AC1218" t="s">
        <v>1504</v>
      </c>
      <c r="AD1218">
        <v>76.150000000000006</v>
      </c>
      <c r="AE1218" t="s">
        <v>602</v>
      </c>
      <c r="AF1218">
        <v>2.42</v>
      </c>
      <c r="AG1218">
        <v>0</v>
      </c>
      <c r="AH1218">
        <v>0</v>
      </c>
      <c r="AI1218" s="4">
        <v>42030</v>
      </c>
    </row>
    <row r="1219" spans="1:35">
      <c r="A1219">
        <v>1218</v>
      </c>
      <c r="B1219" t="str">
        <f>"601231"</f>
        <v>601231</v>
      </c>
      <c r="C1219" t="s">
        <v>7195</v>
      </c>
      <c r="D1219" s="4">
        <v>43190</v>
      </c>
      <c r="E1219" t="s">
        <v>789</v>
      </c>
      <c r="F1219" t="s">
        <v>789</v>
      </c>
      <c r="G1219" t="s">
        <v>7196</v>
      </c>
      <c r="H1219">
        <v>0.09</v>
      </c>
      <c r="I1219">
        <v>3.86</v>
      </c>
      <c r="J1219">
        <v>2.15</v>
      </c>
      <c r="K1219" t="s">
        <v>6291</v>
      </c>
      <c r="L1219">
        <v>-3.77</v>
      </c>
      <c r="M1219" t="s">
        <v>509</v>
      </c>
      <c r="N1219" t="s">
        <v>382</v>
      </c>
      <c r="O1219" t="s">
        <v>1004</v>
      </c>
      <c r="P1219" t="s">
        <v>698</v>
      </c>
      <c r="Q1219">
        <v>-34.72</v>
      </c>
      <c r="R1219" t="s">
        <v>811</v>
      </c>
      <c r="S1219">
        <v>1.97</v>
      </c>
      <c r="T1219">
        <v>10.31</v>
      </c>
      <c r="U1219" t="s">
        <v>310</v>
      </c>
      <c r="V1219" t="s">
        <v>246</v>
      </c>
      <c r="W1219" t="s">
        <v>263</v>
      </c>
      <c r="X1219">
        <v>2.15</v>
      </c>
      <c r="Y1219" t="s">
        <v>7055</v>
      </c>
      <c r="Z1219" t="s">
        <v>5269</v>
      </c>
      <c r="AA1219" t="s">
        <v>1626</v>
      </c>
      <c r="AB1219">
        <v>2.4300000000000002</v>
      </c>
      <c r="AC1219" t="s">
        <v>7197</v>
      </c>
      <c r="AD1219">
        <v>55.57</v>
      </c>
      <c r="AE1219" t="s">
        <v>76</v>
      </c>
      <c r="AF1219">
        <v>0.75</v>
      </c>
      <c r="AG1219">
        <v>0</v>
      </c>
      <c r="AH1219">
        <v>0</v>
      </c>
      <c r="AI1219" s="4">
        <v>40959</v>
      </c>
    </row>
    <row r="1220" spans="1:35">
      <c r="A1220">
        <v>1219</v>
      </c>
      <c r="B1220" t="str">
        <f>"300733"</f>
        <v>300733</v>
      </c>
      <c r="C1220" t="s">
        <v>7198</v>
      </c>
      <c r="D1220" s="4">
        <v>43190</v>
      </c>
      <c r="E1220" t="s">
        <v>1203</v>
      </c>
      <c r="F1220" t="s">
        <v>4429</v>
      </c>
      <c r="G1220">
        <v>1323</v>
      </c>
      <c r="H1220">
        <v>0.13</v>
      </c>
      <c r="I1220">
        <v>6.97</v>
      </c>
      <c r="J1220">
        <v>2.15</v>
      </c>
      <c r="K1220" t="s">
        <v>1936</v>
      </c>
      <c r="L1220">
        <v>-0.04</v>
      </c>
      <c r="M1220" t="s">
        <v>2666</v>
      </c>
      <c r="N1220" t="s">
        <v>7199</v>
      </c>
      <c r="O1220" t="s">
        <v>7200</v>
      </c>
      <c r="P1220" t="s">
        <v>6953</v>
      </c>
      <c r="Q1220">
        <v>-10.16</v>
      </c>
      <c r="R1220" t="s">
        <v>977</v>
      </c>
      <c r="S1220">
        <v>2.0699999999999998</v>
      </c>
      <c r="T1220">
        <v>30.82</v>
      </c>
      <c r="U1220" t="s">
        <v>1792</v>
      </c>
      <c r="V1220" t="s">
        <v>2032</v>
      </c>
      <c r="W1220" t="s">
        <v>375</v>
      </c>
      <c r="X1220">
        <v>2.15</v>
      </c>
      <c r="Y1220" t="s">
        <v>922</v>
      </c>
      <c r="Z1220" t="s">
        <v>1317</v>
      </c>
      <c r="AA1220" t="s">
        <v>7201</v>
      </c>
      <c r="AB1220">
        <v>2.68</v>
      </c>
      <c r="AC1220" t="s">
        <v>147</v>
      </c>
      <c r="AD1220">
        <v>71.39</v>
      </c>
      <c r="AE1220" t="s">
        <v>1168</v>
      </c>
      <c r="AF1220">
        <v>3.77</v>
      </c>
      <c r="AG1220">
        <v>0</v>
      </c>
      <c r="AH1220">
        <v>0</v>
      </c>
      <c r="AI1220" s="4">
        <v>43116</v>
      </c>
    </row>
    <row r="1221" spans="1:35">
      <c r="A1221">
        <v>1220</v>
      </c>
      <c r="B1221" t="str">
        <f>"002565"</f>
        <v>002565</v>
      </c>
      <c r="C1221" t="s">
        <v>7202</v>
      </c>
      <c r="D1221" s="4">
        <v>43190</v>
      </c>
      <c r="E1221" t="s">
        <v>1787</v>
      </c>
      <c r="F1221" t="s">
        <v>2394</v>
      </c>
      <c r="G1221" t="s">
        <v>7203</v>
      </c>
      <c r="H1221">
        <v>7.0000000000000007E-2</v>
      </c>
      <c r="I1221">
        <v>3.55</v>
      </c>
      <c r="J1221">
        <v>2.15</v>
      </c>
      <c r="K1221" t="s">
        <v>476</v>
      </c>
      <c r="L1221">
        <v>22.33</v>
      </c>
      <c r="M1221" t="s">
        <v>7204</v>
      </c>
      <c r="N1221" t="s">
        <v>2839</v>
      </c>
      <c r="O1221" t="s">
        <v>7205</v>
      </c>
      <c r="P1221" t="s">
        <v>7206</v>
      </c>
      <c r="Q1221">
        <v>156.16</v>
      </c>
      <c r="R1221" t="s">
        <v>2429</v>
      </c>
      <c r="S1221">
        <v>0.83</v>
      </c>
      <c r="T1221">
        <v>24.6</v>
      </c>
      <c r="U1221" t="s">
        <v>2301</v>
      </c>
      <c r="V1221" t="s">
        <v>757</v>
      </c>
      <c r="W1221" t="s">
        <v>569</v>
      </c>
      <c r="X1221">
        <v>2.15</v>
      </c>
      <c r="Y1221" t="s">
        <v>584</v>
      </c>
      <c r="Z1221" t="s">
        <v>521</v>
      </c>
      <c r="AA1221" t="s">
        <v>241</v>
      </c>
      <c r="AB1221">
        <v>1.27</v>
      </c>
      <c r="AC1221" t="s">
        <v>826</v>
      </c>
      <c r="AD1221">
        <v>59.59</v>
      </c>
      <c r="AE1221" t="s">
        <v>1872</v>
      </c>
      <c r="AF1221">
        <v>1.22</v>
      </c>
      <c r="AG1221">
        <v>0</v>
      </c>
      <c r="AH1221">
        <v>0</v>
      </c>
      <c r="AI1221" s="4">
        <v>40620</v>
      </c>
    </row>
    <row r="1222" spans="1:35">
      <c r="A1222">
        <v>1221</v>
      </c>
      <c r="B1222" t="str">
        <f>"002556"</f>
        <v>002556</v>
      </c>
      <c r="C1222" t="s">
        <v>7207</v>
      </c>
      <c r="D1222" s="4">
        <v>43190</v>
      </c>
      <c r="E1222" t="s">
        <v>2061</v>
      </c>
      <c r="F1222" t="s">
        <v>5415</v>
      </c>
      <c r="G1222" t="s">
        <v>4495</v>
      </c>
      <c r="H1222">
        <v>7.0000000000000007E-2</v>
      </c>
      <c r="I1222">
        <v>3.23</v>
      </c>
      <c r="J1222">
        <v>2.15</v>
      </c>
      <c r="K1222" t="s">
        <v>638</v>
      </c>
      <c r="L1222">
        <v>16.18</v>
      </c>
      <c r="M1222" t="s">
        <v>7208</v>
      </c>
      <c r="N1222" t="s">
        <v>7209</v>
      </c>
      <c r="O1222" t="s">
        <v>7210</v>
      </c>
      <c r="P1222" t="s">
        <v>6482</v>
      </c>
      <c r="Q1222">
        <v>18.5</v>
      </c>
      <c r="R1222" t="s">
        <v>201</v>
      </c>
      <c r="S1222">
        <v>1.01</v>
      </c>
      <c r="T1222">
        <v>5.21</v>
      </c>
      <c r="U1222" t="s">
        <v>825</v>
      </c>
      <c r="V1222" t="s">
        <v>3982</v>
      </c>
      <c r="W1222" t="s">
        <v>106</v>
      </c>
      <c r="X1222">
        <v>2.15</v>
      </c>
      <c r="Y1222" t="s">
        <v>2167</v>
      </c>
      <c r="Z1222" t="s">
        <v>2211</v>
      </c>
      <c r="AA1222" t="s">
        <v>7211</v>
      </c>
      <c r="AB1222">
        <v>1.51</v>
      </c>
      <c r="AC1222" t="s">
        <v>276</v>
      </c>
      <c r="AD1222">
        <v>29.33</v>
      </c>
      <c r="AE1222" t="s">
        <v>4599</v>
      </c>
      <c r="AF1222">
        <v>1.1100000000000001</v>
      </c>
      <c r="AG1222">
        <v>0</v>
      </c>
      <c r="AH1222">
        <v>0</v>
      </c>
      <c r="AI1222" s="4">
        <v>40604</v>
      </c>
    </row>
    <row r="1223" spans="1:35">
      <c r="A1223">
        <v>1222</v>
      </c>
      <c r="B1223" t="str">
        <f>"600858"</f>
        <v>600858</v>
      </c>
      <c r="C1223" t="s">
        <v>7212</v>
      </c>
      <c r="D1223" s="4">
        <v>43190</v>
      </c>
      <c r="E1223" t="s">
        <v>2479</v>
      </c>
      <c r="F1223" t="s">
        <v>2230</v>
      </c>
      <c r="G1223" t="s">
        <v>2747</v>
      </c>
      <c r="H1223">
        <v>0.13</v>
      </c>
      <c r="I1223">
        <v>5.93</v>
      </c>
      <c r="J1223">
        <v>2.14</v>
      </c>
      <c r="K1223" t="s">
        <v>3160</v>
      </c>
      <c r="L1223">
        <v>3.07</v>
      </c>
      <c r="M1223" t="s">
        <v>3252</v>
      </c>
      <c r="N1223" t="s">
        <v>7213</v>
      </c>
      <c r="O1223" t="s">
        <v>7214</v>
      </c>
      <c r="P1223" t="s">
        <v>7215</v>
      </c>
      <c r="Q1223">
        <v>75.05</v>
      </c>
      <c r="R1223" t="s">
        <v>855</v>
      </c>
      <c r="S1223">
        <v>2.88</v>
      </c>
      <c r="T1223">
        <v>17.71</v>
      </c>
      <c r="U1223" t="s">
        <v>315</v>
      </c>
      <c r="V1223" t="s">
        <v>236</v>
      </c>
      <c r="W1223" t="s">
        <v>949</v>
      </c>
      <c r="X1223">
        <v>2.14</v>
      </c>
      <c r="Y1223" t="s">
        <v>3775</v>
      </c>
      <c r="Z1223" t="s">
        <v>1280</v>
      </c>
      <c r="AA1223" t="s">
        <v>2580</v>
      </c>
      <c r="AB1223">
        <v>1.06</v>
      </c>
      <c r="AC1223" t="s">
        <v>946</v>
      </c>
      <c r="AD1223">
        <v>26.27</v>
      </c>
      <c r="AE1223" t="s">
        <v>2032</v>
      </c>
      <c r="AF1223">
        <v>1.86</v>
      </c>
      <c r="AG1223">
        <v>0</v>
      </c>
      <c r="AH1223">
        <v>0</v>
      </c>
      <c r="AI1223" s="4">
        <v>34460</v>
      </c>
    </row>
    <row r="1224" spans="1:35">
      <c r="A1224">
        <v>1223</v>
      </c>
      <c r="B1224" t="str">
        <f>"601811"</f>
        <v>601811</v>
      </c>
      <c r="C1224" t="s">
        <v>7216</v>
      </c>
      <c r="D1224" s="4">
        <v>43190</v>
      </c>
      <c r="E1224" t="s">
        <v>405</v>
      </c>
      <c r="F1224" t="s">
        <v>1264</v>
      </c>
      <c r="G1224">
        <v>0</v>
      </c>
      <c r="H1224">
        <v>0.14000000000000001</v>
      </c>
      <c r="I1224">
        <v>6.73</v>
      </c>
      <c r="J1224">
        <v>2.14</v>
      </c>
      <c r="K1224" t="s">
        <v>1367</v>
      </c>
      <c r="L1224">
        <v>2.46</v>
      </c>
      <c r="M1224" t="s">
        <v>1200</v>
      </c>
      <c r="N1224" t="s">
        <v>6729</v>
      </c>
      <c r="O1224" t="s">
        <v>1855</v>
      </c>
      <c r="P1224" t="s">
        <v>1202</v>
      </c>
      <c r="Q1224">
        <v>-4.41</v>
      </c>
      <c r="R1224" t="s">
        <v>2542</v>
      </c>
      <c r="S1224">
        <v>1.76</v>
      </c>
      <c r="T1224">
        <v>37.57</v>
      </c>
      <c r="U1224" t="s">
        <v>2504</v>
      </c>
      <c r="V1224" t="s">
        <v>2237</v>
      </c>
      <c r="W1224" t="s">
        <v>1025</v>
      </c>
      <c r="X1224">
        <v>2.14</v>
      </c>
      <c r="Y1224" t="s">
        <v>2005</v>
      </c>
      <c r="Z1224" t="s">
        <v>5300</v>
      </c>
      <c r="AA1224" t="s">
        <v>2360</v>
      </c>
      <c r="AB1224">
        <v>1.39</v>
      </c>
      <c r="AC1224" t="s">
        <v>7217</v>
      </c>
      <c r="AD1224">
        <v>65.760000000000005</v>
      </c>
      <c r="AE1224" t="s">
        <v>710</v>
      </c>
      <c r="AF1224">
        <v>2.09</v>
      </c>
      <c r="AG1224">
        <v>0</v>
      </c>
      <c r="AH1224" t="s">
        <v>540</v>
      </c>
      <c r="AI1224" s="4">
        <v>42590</v>
      </c>
    </row>
    <row r="1225" spans="1:35">
      <c r="A1225">
        <v>1224</v>
      </c>
      <c r="B1225" t="str">
        <f>"600643"</f>
        <v>600643</v>
      </c>
      <c r="C1225" t="s">
        <v>7218</v>
      </c>
      <c r="D1225" s="4">
        <v>43190</v>
      </c>
      <c r="E1225" t="s">
        <v>1062</v>
      </c>
      <c r="F1225" t="s">
        <v>162</v>
      </c>
      <c r="G1225" t="s">
        <v>1788</v>
      </c>
      <c r="H1225">
        <v>0.11</v>
      </c>
      <c r="I1225">
        <v>5.39</v>
      </c>
      <c r="J1225">
        <v>2.14</v>
      </c>
      <c r="K1225" t="s">
        <v>348</v>
      </c>
      <c r="L1225">
        <v>16.149999999999999</v>
      </c>
      <c r="M1225" t="s">
        <v>641</v>
      </c>
      <c r="N1225" t="s">
        <v>7219</v>
      </c>
      <c r="O1225" t="s">
        <v>641</v>
      </c>
      <c r="P1225" t="s">
        <v>1597</v>
      </c>
      <c r="Q1225">
        <v>38.130000000000003</v>
      </c>
      <c r="R1225" t="s">
        <v>158</v>
      </c>
      <c r="S1225">
        <v>1.54</v>
      </c>
      <c r="T1225">
        <v>34.159999999999997</v>
      </c>
      <c r="U1225" t="s">
        <v>1292</v>
      </c>
      <c r="V1225" t="s">
        <v>6062</v>
      </c>
      <c r="W1225" t="s">
        <v>2686</v>
      </c>
      <c r="X1225">
        <v>2.14</v>
      </c>
      <c r="Y1225" t="s">
        <v>1282</v>
      </c>
      <c r="Z1225" t="s">
        <v>956</v>
      </c>
      <c r="AA1225" t="s">
        <v>1133</v>
      </c>
      <c r="AB1225">
        <v>1.77</v>
      </c>
      <c r="AC1225" t="s">
        <v>7220</v>
      </c>
      <c r="AD1225">
        <v>49.56</v>
      </c>
      <c r="AE1225" t="s">
        <v>1545</v>
      </c>
      <c r="AF1225">
        <v>2.5</v>
      </c>
      <c r="AG1225">
        <v>0</v>
      </c>
      <c r="AH1225">
        <v>0</v>
      </c>
      <c r="AI1225" s="4">
        <v>34085</v>
      </c>
    </row>
    <row r="1226" spans="1:35">
      <c r="A1226">
        <v>1225</v>
      </c>
      <c r="B1226" t="str">
        <f>"300451"</f>
        <v>300451</v>
      </c>
      <c r="C1226" t="s">
        <v>7221</v>
      </c>
      <c r="D1226" s="4">
        <v>43190</v>
      </c>
      <c r="E1226" t="s">
        <v>1436</v>
      </c>
      <c r="F1226" t="s">
        <v>976</v>
      </c>
      <c r="G1226">
        <v>5140</v>
      </c>
      <c r="H1226">
        <v>0.09</v>
      </c>
      <c r="I1226">
        <v>4.34</v>
      </c>
      <c r="J1226">
        <v>2.14</v>
      </c>
      <c r="K1226" t="s">
        <v>1180</v>
      </c>
      <c r="L1226">
        <v>6.08</v>
      </c>
      <c r="M1226" t="s">
        <v>2698</v>
      </c>
      <c r="N1226" t="s">
        <v>2787</v>
      </c>
      <c r="O1226" t="s">
        <v>7222</v>
      </c>
      <c r="P1226" t="s">
        <v>7223</v>
      </c>
      <c r="Q1226">
        <v>112.88</v>
      </c>
      <c r="R1226" t="s">
        <v>988</v>
      </c>
      <c r="S1226">
        <v>0.94</v>
      </c>
      <c r="T1226">
        <v>52.75</v>
      </c>
      <c r="U1226" t="s">
        <v>2523</v>
      </c>
      <c r="V1226" t="s">
        <v>392</v>
      </c>
      <c r="W1226" t="s">
        <v>3297</v>
      </c>
      <c r="X1226">
        <v>2.14</v>
      </c>
      <c r="Y1226" t="s">
        <v>1056</v>
      </c>
      <c r="Z1226" t="s">
        <v>6809</v>
      </c>
      <c r="AA1226" t="s">
        <v>7224</v>
      </c>
      <c r="AB1226">
        <v>2.96</v>
      </c>
      <c r="AC1226" t="s">
        <v>514</v>
      </c>
      <c r="AD1226">
        <v>77.349999999999994</v>
      </c>
      <c r="AE1226" t="s">
        <v>162</v>
      </c>
      <c r="AF1226">
        <v>2.4500000000000002</v>
      </c>
      <c r="AG1226">
        <v>0</v>
      </c>
      <c r="AH1226">
        <v>0</v>
      </c>
      <c r="AI1226" s="4">
        <v>42138</v>
      </c>
    </row>
    <row r="1227" spans="1:35">
      <c r="A1227">
        <v>1226</v>
      </c>
      <c r="B1227" t="str">
        <f>"002782"</f>
        <v>002782</v>
      </c>
      <c r="C1227" t="s">
        <v>7225</v>
      </c>
      <c r="D1227" s="4">
        <v>43190</v>
      </c>
      <c r="E1227" t="s">
        <v>4756</v>
      </c>
      <c r="F1227" t="s">
        <v>1475</v>
      </c>
      <c r="G1227">
        <v>2106</v>
      </c>
      <c r="H1227">
        <v>0.04</v>
      </c>
      <c r="I1227">
        <v>1.8</v>
      </c>
      <c r="J1227">
        <v>2.14</v>
      </c>
      <c r="K1227" t="s">
        <v>134</v>
      </c>
      <c r="L1227">
        <v>36.590000000000003</v>
      </c>
      <c r="M1227" t="s">
        <v>7226</v>
      </c>
      <c r="N1227" t="s">
        <v>631</v>
      </c>
      <c r="O1227" t="s">
        <v>7227</v>
      </c>
      <c r="P1227" t="s">
        <v>7228</v>
      </c>
      <c r="Q1227">
        <v>18</v>
      </c>
      <c r="R1227" t="s">
        <v>90</v>
      </c>
      <c r="S1227">
        <v>0.56000000000000005</v>
      </c>
      <c r="T1227">
        <v>21.38</v>
      </c>
      <c r="U1227" t="s">
        <v>192</v>
      </c>
      <c r="V1227" t="s">
        <v>1047</v>
      </c>
      <c r="W1227" t="s">
        <v>905</v>
      </c>
      <c r="X1227">
        <v>2.14</v>
      </c>
      <c r="Y1227" t="s">
        <v>824</v>
      </c>
      <c r="Z1227" t="s">
        <v>186</v>
      </c>
      <c r="AA1227" t="s">
        <v>7229</v>
      </c>
      <c r="AB1227">
        <v>8.82</v>
      </c>
      <c r="AC1227" t="s">
        <v>3557</v>
      </c>
      <c r="AD1227">
        <v>72.67</v>
      </c>
      <c r="AE1227" t="s">
        <v>7230</v>
      </c>
      <c r="AF1227">
        <v>0.14000000000000001</v>
      </c>
      <c r="AG1227">
        <v>0</v>
      </c>
      <c r="AH1227">
        <v>0</v>
      </c>
      <c r="AI1227" s="4">
        <v>42360</v>
      </c>
    </row>
    <row r="1228" spans="1:35">
      <c r="A1228">
        <v>1227</v>
      </c>
      <c r="B1228" t="str">
        <f>"002283"</f>
        <v>002283</v>
      </c>
      <c r="C1228" t="s">
        <v>7231</v>
      </c>
      <c r="D1228" s="4">
        <v>43190</v>
      </c>
      <c r="E1228" t="s">
        <v>835</v>
      </c>
      <c r="F1228" t="s">
        <v>835</v>
      </c>
      <c r="G1228" t="s">
        <v>2312</v>
      </c>
      <c r="H1228">
        <v>7.0000000000000007E-2</v>
      </c>
      <c r="I1228">
        <v>3.53</v>
      </c>
      <c r="J1228">
        <v>2.14</v>
      </c>
      <c r="K1228" t="s">
        <v>4194</v>
      </c>
      <c r="L1228">
        <v>69.790000000000006</v>
      </c>
      <c r="M1228" t="s">
        <v>651</v>
      </c>
      <c r="N1228" t="s">
        <v>7232</v>
      </c>
      <c r="O1228" t="s">
        <v>2307</v>
      </c>
      <c r="P1228" t="s">
        <v>7233</v>
      </c>
      <c r="Q1228">
        <v>46.05</v>
      </c>
      <c r="R1228" t="s">
        <v>971</v>
      </c>
      <c r="S1228">
        <v>1.22</v>
      </c>
      <c r="T1228">
        <v>23.67</v>
      </c>
      <c r="U1228" t="s">
        <v>7234</v>
      </c>
      <c r="V1228" t="s">
        <v>946</v>
      </c>
      <c r="W1228" t="s">
        <v>1308</v>
      </c>
      <c r="X1228">
        <v>2.14</v>
      </c>
      <c r="Y1228" t="s">
        <v>2280</v>
      </c>
      <c r="Z1228" t="s">
        <v>2273</v>
      </c>
      <c r="AA1228" t="s">
        <v>993</v>
      </c>
      <c r="AB1228">
        <v>1.1299999999999999</v>
      </c>
      <c r="AC1228" t="s">
        <v>1258</v>
      </c>
      <c r="AD1228">
        <v>60.66</v>
      </c>
      <c r="AE1228" t="s">
        <v>924</v>
      </c>
      <c r="AF1228">
        <v>1.19</v>
      </c>
      <c r="AG1228">
        <v>0</v>
      </c>
      <c r="AH1228">
        <v>0</v>
      </c>
      <c r="AI1228" s="4">
        <v>40046</v>
      </c>
    </row>
    <row r="1229" spans="1:35">
      <c r="A1229">
        <v>1228</v>
      </c>
      <c r="B1229" t="str">
        <f>"002228"</f>
        <v>002228</v>
      </c>
      <c r="C1229" t="s">
        <v>7235</v>
      </c>
      <c r="D1229" s="4">
        <v>43190</v>
      </c>
      <c r="E1229" t="s">
        <v>192</v>
      </c>
      <c r="F1229" t="s">
        <v>919</v>
      </c>
      <c r="G1229" t="s">
        <v>6568</v>
      </c>
      <c r="H1229">
        <v>0.04</v>
      </c>
      <c r="I1229">
        <v>1.93</v>
      </c>
      <c r="J1229">
        <v>2.14</v>
      </c>
      <c r="K1229" t="s">
        <v>418</v>
      </c>
      <c r="L1229">
        <v>76.099999999999994</v>
      </c>
      <c r="M1229" t="s">
        <v>4190</v>
      </c>
      <c r="N1229" t="s">
        <v>7236</v>
      </c>
      <c r="O1229" t="s">
        <v>7237</v>
      </c>
      <c r="P1229" t="s">
        <v>278</v>
      </c>
      <c r="Q1229">
        <v>60.58</v>
      </c>
      <c r="R1229" t="s">
        <v>1238</v>
      </c>
      <c r="S1229">
        <v>0.53</v>
      </c>
      <c r="T1229">
        <v>11.75</v>
      </c>
      <c r="U1229" t="s">
        <v>1387</v>
      </c>
      <c r="V1229" t="s">
        <v>1175</v>
      </c>
      <c r="W1229" t="s">
        <v>4384</v>
      </c>
      <c r="X1229">
        <v>2.14</v>
      </c>
      <c r="Y1229" t="s">
        <v>223</v>
      </c>
      <c r="Z1229" t="s">
        <v>223</v>
      </c>
      <c r="AA1229" t="s">
        <v>7238</v>
      </c>
      <c r="AB1229">
        <v>2.38</v>
      </c>
      <c r="AC1229" t="s">
        <v>276</v>
      </c>
      <c r="AD1229">
        <v>46.76</v>
      </c>
      <c r="AE1229" t="s">
        <v>324</v>
      </c>
      <c r="AF1229">
        <v>0.36</v>
      </c>
      <c r="AG1229">
        <v>0</v>
      </c>
      <c r="AH1229">
        <v>0</v>
      </c>
      <c r="AI1229" s="4">
        <v>39576</v>
      </c>
    </row>
    <row r="1230" spans="1:35">
      <c r="A1230">
        <v>1229</v>
      </c>
      <c r="B1230" t="str">
        <f>"000757"</f>
        <v>000757</v>
      </c>
      <c r="C1230" t="s">
        <v>7239</v>
      </c>
      <c r="D1230" s="4">
        <v>43190</v>
      </c>
      <c r="E1230" t="s">
        <v>153</v>
      </c>
      <c r="F1230" t="s">
        <v>153</v>
      </c>
      <c r="G1230" t="s">
        <v>5347</v>
      </c>
      <c r="H1230">
        <v>0.03</v>
      </c>
      <c r="I1230">
        <v>1.4</v>
      </c>
      <c r="J1230">
        <v>2.14</v>
      </c>
      <c r="K1230" t="s">
        <v>3332</v>
      </c>
      <c r="L1230">
        <v>15.69</v>
      </c>
      <c r="M1230" t="s">
        <v>7240</v>
      </c>
      <c r="N1230" t="s">
        <v>7241</v>
      </c>
      <c r="O1230" t="s">
        <v>2231</v>
      </c>
      <c r="P1230" t="s">
        <v>7242</v>
      </c>
      <c r="Q1230">
        <v>3.86</v>
      </c>
      <c r="R1230" t="s">
        <v>7243</v>
      </c>
      <c r="S1230">
        <v>-1.6</v>
      </c>
      <c r="T1230">
        <v>26.46</v>
      </c>
      <c r="U1230" t="s">
        <v>973</v>
      </c>
      <c r="V1230" t="s">
        <v>92</v>
      </c>
      <c r="W1230" t="s">
        <v>4871</v>
      </c>
      <c r="X1230">
        <v>2.14</v>
      </c>
      <c r="Y1230" t="s">
        <v>1243</v>
      </c>
      <c r="Z1230" t="s">
        <v>3011</v>
      </c>
      <c r="AA1230" t="s">
        <v>2889</v>
      </c>
      <c r="AB1230">
        <v>3.99</v>
      </c>
      <c r="AC1230" t="s">
        <v>1779</v>
      </c>
      <c r="AD1230">
        <v>55.07</v>
      </c>
      <c r="AE1230" t="s">
        <v>2035</v>
      </c>
      <c r="AF1230">
        <v>1.85</v>
      </c>
      <c r="AG1230">
        <v>0</v>
      </c>
      <c r="AH1230">
        <v>0</v>
      </c>
      <c r="AI1230" s="4">
        <v>35608</v>
      </c>
    </row>
    <row r="1231" spans="1:35">
      <c r="A1231">
        <v>1230</v>
      </c>
      <c r="B1231" t="str">
        <f>"000419"</f>
        <v>000419</v>
      </c>
      <c r="C1231" t="s">
        <v>7244</v>
      </c>
      <c r="D1231" s="4">
        <v>43190</v>
      </c>
      <c r="E1231" t="s">
        <v>318</v>
      </c>
      <c r="F1231" t="s">
        <v>3471</v>
      </c>
      <c r="G1231" t="s">
        <v>3475</v>
      </c>
      <c r="H1231">
        <v>0.08</v>
      </c>
      <c r="I1231">
        <v>3.77</v>
      </c>
      <c r="J1231">
        <v>2.14</v>
      </c>
      <c r="K1231" t="s">
        <v>295</v>
      </c>
      <c r="L1231">
        <v>2.2400000000000002</v>
      </c>
      <c r="M1231" t="s">
        <v>7245</v>
      </c>
      <c r="N1231" t="s">
        <v>7246</v>
      </c>
      <c r="O1231" t="s">
        <v>7247</v>
      </c>
      <c r="P1231" t="s">
        <v>7248</v>
      </c>
      <c r="Q1231">
        <v>33.15</v>
      </c>
      <c r="R1231" t="s">
        <v>1676</v>
      </c>
      <c r="S1231">
        <v>1.74</v>
      </c>
      <c r="T1231">
        <v>21.1</v>
      </c>
      <c r="U1231" t="s">
        <v>763</v>
      </c>
      <c r="V1231" t="s">
        <v>2568</v>
      </c>
      <c r="W1231" t="s">
        <v>973</v>
      </c>
      <c r="X1231">
        <v>2.14</v>
      </c>
      <c r="Y1231" t="s">
        <v>980</v>
      </c>
      <c r="Z1231" t="s">
        <v>1126</v>
      </c>
      <c r="AA1231" t="s">
        <v>7249</v>
      </c>
      <c r="AB1231">
        <v>1.24</v>
      </c>
      <c r="AC1231" t="s">
        <v>1920</v>
      </c>
      <c r="AD1231">
        <v>50.1</v>
      </c>
      <c r="AE1231" t="s">
        <v>2284</v>
      </c>
      <c r="AF1231">
        <v>0.77</v>
      </c>
      <c r="AG1231">
        <v>0</v>
      </c>
      <c r="AH1231">
        <v>0</v>
      </c>
      <c r="AI1231" s="4">
        <v>35293</v>
      </c>
    </row>
    <row r="1232" spans="1:35">
      <c r="A1232">
        <v>1231</v>
      </c>
      <c r="B1232" t="str">
        <f>"603598"</f>
        <v>603598</v>
      </c>
      <c r="C1232" t="s">
        <v>7250</v>
      </c>
      <c r="D1232" s="4">
        <v>43190</v>
      </c>
      <c r="E1232" t="s">
        <v>798</v>
      </c>
      <c r="F1232" t="s">
        <v>122</v>
      </c>
      <c r="G1232">
        <v>3955</v>
      </c>
      <c r="H1232">
        <v>0.05</v>
      </c>
      <c r="I1232">
        <v>2.5</v>
      </c>
      <c r="J1232">
        <v>2.13</v>
      </c>
      <c r="K1232" t="s">
        <v>1589</v>
      </c>
      <c r="L1232">
        <v>45.13</v>
      </c>
      <c r="M1232" t="s">
        <v>7251</v>
      </c>
      <c r="N1232" t="s">
        <v>6177</v>
      </c>
      <c r="O1232" t="s">
        <v>7251</v>
      </c>
      <c r="P1232" t="s">
        <v>4243</v>
      </c>
      <c r="Q1232">
        <v>13.16</v>
      </c>
      <c r="R1232" t="s">
        <v>824</v>
      </c>
      <c r="S1232">
        <v>1.18</v>
      </c>
      <c r="T1232">
        <v>8.42</v>
      </c>
      <c r="U1232" t="s">
        <v>876</v>
      </c>
      <c r="V1232" t="s">
        <v>1384</v>
      </c>
      <c r="W1232" t="s">
        <v>7252</v>
      </c>
      <c r="X1232">
        <v>2.13</v>
      </c>
      <c r="Y1232" t="s">
        <v>176</v>
      </c>
      <c r="Z1232" t="s">
        <v>978</v>
      </c>
      <c r="AA1232" t="s">
        <v>1712</v>
      </c>
      <c r="AB1232">
        <v>4.7699999999999996</v>
      </c>
      <c r="AC1232" t="s">
        <v>491</v>
      </c>
      <c r="AD1232">
        <v>32.32</v>
      </c>
      <c r="AE1232" t="s">
        <v>209</v>
      </c>
      <c r="AF1232">
        <v>0.45</v>
      </c>
      <c r="AG1232">
        <v>0</v>
      </c>
      <c r="AH1232">
        <v>0</v>
      </c>
      <c r="AI1232" s="4">
        <v>42151</v>
      </c>
    </row>
    <row r="1233" spans="1:35">
      <c r="A1233">
        <v>1232</v>
      </c>
      <c r="B1233" t="str">
        <f>"601928"</f>
        <v>601928</v>
      </c>
      <c r="C1233" t="s">
        <v>7253</v>
      </c>
      <c r="D1233" s="4">
        <v>43190</v>
      </c>
      <c r="E1233" t="s">
        <v>2542</v>
      </c>
      <c r="F1233" t="s">
        <v>2542</v>
      </c>
      <c r="G1233" t="s">
        <v>7254</v>
      </c>
      <c r="H1233">
        <v>0.1</v>
      </c>
      <c r="I1233">
        <v>4.95</v>
      </c>
      <c r="J1233">
        <v>2.13</v>
      </c>
      <c r="K1233" t="s">
        <v>1920</v>
      </c>
      <c r="L1233">
        <v>-16.36</v>
      </c>
      <c r="M1233" t="s">
        <v>2387</v>
      </c>
      <c r="N1233" t="s">
        <v>7255</v>
      </c>
      <c r="O1233" t="s">
        <v>81</v>
      </c>
      <c r="P1233" t="s">
        <v>122</v>
      </c>
      <c r="Q1233">
        <v>-8.75</v>
      </c>
      <c r="R1233" t="s">
        <v>4799</v>
      </c>
      <c r="S1233">
        <v>2.16</v>
      </c>
      <c r="T1233">
        <v>40.68</v>
      </c>
      <c r="U1233" t="s">
        <v>2522</v>
      </c>
      <c r="V1233" t="s">
        <v>815</v>
      </c>
      <c r="W1233" t="s">
        <v>1581</v>
      </c>
      <c r="X1233">
        <v>2.13</v>
      </c>
      <c r="Y1233" t="s">
        <v>7088</v>
      </c>
      <c r="Z1233" t="s">
        <v>3565</v>
      </c>
      <c r="AA1233" t="s">
        <v>147</v>
      </c>
      <c r="AB1233">
        <v>1.18</v>
      </c>
      <c r="AC1233" t="s">
        <v>932</v>
      </c>
      <c r="AD1233">
        <v>61.14</v>
      </c>
      <c r="AE1233" t="s">
        <v>685</v>
      </c>
      <c r="AF1233">
        <v>1.1200000000000001</v>
      </c>
      <c r="AG1233">
        <v>0</v>
      </c>
      <c r="AH1233">
        <v>0</v>
      </c>
      <c r="AI1233" s="4">
        <v>40877</v>
      </c>
    </row>
    <row r="1234" spans="1:35">
      <c r="A1234">
        <v>1233</v>
      </c>
      <c r="B1234" t="str">
        <f>"601228"</f>
        <v>601228</v>
      </c>
      <c r="C1234" t="s">
        <v>7256</v>
      </c>
      <c r="D1234" s="4">
        <v>43190</v>
      </c>
      <c r="E1234" t="s">
        <v>2400</v>
      </c>
      <c r="F1234" t="s">
        <v>161</v>
      </c>
      <c r="G1234">
        <v>9566</v>
      </c>
      <c r="H1234">
        <v>0.04</v>
      </c>
      <c r="I1234">
        <v>1.99</v>
      </c>
      <c r="J1234">
        <v>2.13</v>
      </c>
      <c r="K1234" t="s">
        <v>2568</v>
      </c>
      <c r="L1234">
        <v>19.46</v>
      </c>
      <c r="M1234" t="s">
        <v>2224</v>
      </c>
      <c r="N1234" t="s">
        <v>7257</v>
      </c>
      <c r="O1234" t="s">
        <v>2665</v>
      </c>
      <c r="P1234" t="s">
        <v>1049</v>
      </c>
      <c r="Q1234">
        <v>59.43</v>
      </c>
      <c r="R1234" t="s">
        <v>4052</v>
      </c>
      <c r="S1234">
        <v>0.63</v>
      </c>
      <c r="T1234">
        <v>25.03</v>
      </c>
      <c r="U1234" t="s">
        <v>2799</v>
      </c>
      <c r="V1234" t="s">
        <v>570</v>
      </c>
      <c r="W1234" t="s">
        <v>410</v>
      </c>
      <c r="X1234">
        <v>2.13</v>
      </c>
      <c r="Y1234" t="s">
        <v>825</v>
      </c>
      <c r="Z1234" t="s">
        <v>5270</v>
      </c>
      <c r="AA1234" t="s">
        <v>2499</v>
      </c>
      <c r="AB1234">
        <v>2.72</v>
      </c>
      <c r="AC1234" t="s">
        <v>841</v>
      </c>
      <c r="AD1234">
        <v>56.4</v>
      </c>
      <c r="AE1234" t="s">
        <v>891</v>
      </c>
      <c r="AF1234">
        <v>0.3</v>
      </c>
      <c r="AG1234">
        <v>0</v>
      </c>
      <c r="AH1234">
        <v>0</v>
      </c>
      <c r="AI1234" s="4">
        <v>42823</v>
      </c>
    </row>
    <row r="1235" spans="1:35">
      <c r="A1235">
        <v>1234</v>
      </c>
      <c r="B1235" t="str">
        <f>"600727"</f>
        <v>600727</v>
      </c>
      <c r="C1235" t="s">
        <v>7258</v>
      </c>
      <c r="D1235" s="4">
        <v>43190</v>
      </c>
      <c r="E1235" t="s">
        <v>1712</v>
      </c>
      <c r="F1235" t="s">
        <v>1712</v>
      </c>
      <c r="G1235">
        <v>9697</v>
      </c>
      <c r="H1235">
        <v>7.0000000000000007E-2</v>
      </c>
      <c r="I1235">
        <v>3.38</v>
      </c>
      <c r="J1235">
        <v>2.13</v>
      </c>
      <c r="K1235" t="s">
        <v>1627</v>
      </c>
      <c r="L1235">
        <v>-13.05</v>
      </c>
      <c r="M1235" t="s">
        <v>7259</v>
      </c>
      <c r="N1235">
        <v>0</v>
      </c>
      <c r="O1235" t="s">
        <v>3975</v>
      </c>
      <c r="P1235" t="s">
        <v>3975</v>
      </c>
      <c r="Q1235">
        <v>377.03</v>
      </c>
      <c r="R1235" t="s">
        <v>7260</v>
      </c>
      <c r="S1235">
        <v>-0.61</v>
      </c>
      <c r="T1235">
        <v>35.22</v>
      </c>
      <c r="U1235" t="s">
        <v>141</v>
      </c>
      <c r="V1235" t="s">
        <v>675</v>
      </c>
      <c r="W1235" t="s">
        <v>489</v>
      </c>
      <c r="X1235">
        <v>2.13</v>
      </c>
      <c r="Y1235" t="s">
        <v>1699</v>
      </c>
      <c r="Z1235" t="s">
        <v>1699</v>
      </c>
      <c r="AA1235">
        <v>0</v>
      </c>
      <c r="AB1235">
        <v>2.11</v>
      </c>
      <c r="AC1235" t="s">
        <v>1033</v>
      </c>
      <c r="AD1235">
        <v>80.27</v>
      </c>
      <c r="AE1235" t="s">
        <v>2131</v>
      </c>
      <c r="AF1235">
        <v>2.4900000000000002</v>
      </c>
      <c r="AG1235">
        <v>0</v>
      </c>
      <c r="AH1235">
        <v>0</v>
      </c>
      <c r="AI1235" s="4">
        <v>35248</v>
      </c>
    </row>
    <row r="1236" spans="1:35">
      <c r="A1236">
        <v>1235</v>
      </c>
      <c r="B1236" t="str">
        <f>"002921"</f>
        <v>002921</v>
      </c>
      <c r="C1236" t="s">
        <v>7261</v>
      </c>
      <c r="D1236" s="4">
        <v>43190</v>
      </c>
      <c r="E1236" t="s">
        <v>2575</v>
      </c>
      <c r="F1236" t="s">
        <v>2576</v>
      </c>
      <c r="G1236">
        <v>1212</v>
      </c>
      <c r="H1236">
        <v>0.18</v>
      </c>
      <c r="I1236">
        <v>8.26</v>
      </c>
      <c r="J1236">
        <v>2.13</v>
      </c>
      <c r="K1236" t="s">
        <v>1936</v>
      </c>
      <c r="L1236">
        <v>3.24</v>
      </c>
      <c r="M1236" t="s">
        <v>7262</v>
      </c>
      <c r="N1236" t="s">
        <v>7263</v>
      </c>
      <c r="O1236" t="s">
        <v>4518</v>
      </c>
      <c r="P1236" t="s">
        <v>7264</v>
      </c>
      <c r="Q1236">
        <v>-0.23</v>
      </c>
      <c r="R1236" t="s">
        <v>382</v>
      </c>
      <c r="S1236">
        <v>1.96</v>
      </c>
      <c r="T1236">
        <v>25.86</v>
      </c>
      <c r="U1236" t="s">
        <v>354</v>
      </c>
      <c r="V1236" t="s">
        <v>2996</v>
      </c>
      <c r="W1236" t="s">
        <v>1229</v>
      </c>
      <c r="X1236">
        <v>2.13</v>
      </c>
      <c r="Y1236" t="s">
        <v>216</v>
      </c>
      <c r="Z1236" t="s">
        <v>143</v>
      </c>
      <c r="AA1236" t="s">
        <v>657</v>
      </c>
      <c r="AB1236">
        <v>3.73</v>
      </c>
      <c r="AC1236" t="s">
        <v>2110</v>
      </c>
      <c r="AD1236">
        <v>57.76</v>
      </c>
      <c r="AE1236" t="s">
        <v>324</v>
      </c>
      <c r="AF1236">
        <v>5.25</v>
      </c>
      <c r="AG1236">
        <v>0</v>
      </c>
      <c r="AH1236">
        <v>0</v>
      </c>
      <c r="AI1236" s="4">
        <v>43096</v>
      </c>
    </row>
    <row r="1237" spans="1:35">
      <c r="A1237">
        <v>1236</v>
      </c>
      <c r="B1237" t="str">
        <f>"002798"</f>
        <v>002798</v>
      </c>
      <c r="C1237" t="s">
        <v>7265</v>
      </c>
      <c r="D1237" s="4">
        <v>43190</v>
      </c>
      <c r="E1237" t="s">
        <v>935</v>
      </c>
      <c r="F1237" t="s">
        <v>7266</v>
      </c>
      <c r="G1237">
        <v>3949</v>
      </c>
      <c r="H1237">
        <v>0.19</v>
      </c>
      <c r="I1237">
        <v>12.55</v>
      </c>
      <c r="J1237">
        <v>2.13</v>
      </c>
      <c r="K1237" t="s">
        <v>1938</v>
      </c>
      <c r="L1237">
        <v>935.55</v>
      </c>
      <c r="M1237" t="s">
        <v>7267</v>
      </c>
      <c r="N1237" t="s">
        <v>7268</v>
      </c>
      <c r="O1237" t="s">
        <v>7269</v>
      </c>
      <c r="P1237" t="s">
        <v>7223</v>
      </c>
      <c r="Q1237">
        <v>2214.83</v>
      </c>
      <c r="R1237" t="s">
        <v>1791</v>
      </c>
      <c r="S1237">
        <v>1.22</v>
      </c>
      <c r="T1237">
        <v>33.01</v>
      </c>
      <c r="U1237" t="s">
        <v>1090</v>
      </c>
      <c r="V1237" t="s">
        <v>1504</v>
      </c>
      <c r="W1237" t="s">
        <v>3632</v>
      </c>
      <c r="X1237">
        <v>2.13</v>
      </c>
      <c r="Y1237" t="s">
        <v>820</v>
      </c>
      <c r="Z1237" t="s">
        <v>1792</v>
      </c>
      <c r="AA1237" t="s">
        <v>84</v>
      </c>
      <c r="AB1237">
        <v>2.4700000000000002</v>
      </c>
      <c r="AC1237" t="s">
        <v>1542</v>
      </c>
      <c r="AD1237">
        <v>62.78</v>
      </c>
      <c r="AE1237" t="s">
        <v>253</v>
      </c>
      <c r="AF1237">
        <v>10.52</v>
      </c>
      <c r="AG1237">
        <v>0</v>
      </c>
      <c r="AH1237">
        <v>0</v>
      </c>
      <c r="AI1237" s="4">
        <v>42515</v>
      </c>
    </row>
    <row r="1238" spans="1:35">
      <c r="A1238">
        <v>1237</v>
      </c>
      <c r="B1238" t="str">
        <f>"002549"</f>
        <v>002549</v>
      </c>
      <c r="C1238" t="s">
        <v>7270</v>
      </c>
      <c r="D1238" s="4">
        <v>43190</v>
      </c>
      <c r="E1238" t="s">
        <v>857</v>
      </c>
      <c r="F1238" t="s">
        <v>3587</v>
      </c>
      <c r="G1238" t="s">
        <v>7203</v>
      </c>
      <c r="H1238">
        <v>0.03</v>
      </c>
      <c r="I1238">
        <v>1.38</v>
      </c>
      <c r="J1238">
        <v>2.13</v>
      </c>
      <c r="K1238" t="s">
        <v>1627</v>
      </c>
      <c r="L1238">
        <v>52.42</v>
      </c>
      <c r="M1238" t="s">
        <v>5094</v>
      </c>
      <c r="N1238" t="s">
        <v>7271</v>
      </c>
      <c r="O1238" t="s">
        <v>3990</v>
      </c>
      <c r="P1238" t="s">
        <v>7272</v>
      </c>
      <c r="Q1238">
        <v>259.47000000000003</v>
      </c>
      <c r="R1238" t="s">
        <v>905</v>
      </c>
      <c r="S1238">
        <v>0.25</v>
      </c>
      <c r="T1238">
        <v>41.84</v>
      </c>
      <c r="U1238" t="s">
        <v>982</v>
      </c>
      <c r="V1238" t="s">
        <v>501</v>
      </c>
      <c r="W1238" t="s">
        <v>359</v>
      </c>
      <c r="X1238">
        <v>2.13</v>
      </c>
      <c r="Y1238" t="s">
        <v>1810</v>
      </c>
      <c r="Z1238" t="s">
        <v>1004</v>
      </c>
      <c r="AA1238" t="s">
        <v>7273</v>
      </c>
      <c r="AB1238">
        <v>3.63</v>
      </c>
      <c r="AC1238" t="s">
        <v>2593</v>
      </c>
      <c r="AD1238">
        <v>73.59</v>
      </c>
      <c r="AE1238" t="s">
        <v>7274</v>
      </c>
      <c r="AF1238">
        <v>7.0000000000000007E-2</v>
      </c>
      <c r="AG1238">
        <v>0</v>
      </c>
      <c r="AH1238">
        <v>0</v>
      </c>
      <c r="AI1238" s="4">
        <v>40592</v>
      </c>
    </row>
    <row r="1239" spans="1:35">
      <c r="A1239">
        <v>1238</v>
      </c>
      <c r="B1239" t="str">
        <f>"000761"</f>
        <v>000761</v>
      </c>
      <c r="C1239" t="s">
        <v>7275</v>
      </c>
      <c r="D1239" s="4">
        <v>43190</v>
      </c>
      <c r="E1239" t="s">
        <v>948</v>
      </c>
      <c r="F1239" t="s">
        <v>725</v>
      </c>
      <c r="G1239">
        <v>0</v>
      </c>
      <c r="H1239">
        <v>0.09</v>
      </c>
      <c r="I1239">
        <v>4.8099999999999996</v>
      </c>
      <c r="J1239">
        <v>2.13</v>
      </c>
      <c r="K1239" t="s">
        <v>590</v>
      </c>
      <c r="L1239">
        <v>4.57</v>
      </c>
      <c r="M1239" t="s">
        <v>1359</v>
      </c>
      <c r="N1239" t="s">
        <v>7276</v>
      </c>
      <c r="O1239" t="s">
        <v>265</v>
      </c>
      <c r="P1239" t="s">
        <v>1712</v>
      </c>
      <c r="Q1239">
        <v>15.85</v>
      </c>
      <c r="R1239" t="s">
        <v>263</v>
      </c>
      <c r="S1239">
        <v>0.38</v>
      </c>
      <c r="T1239">
        <v>7.44</v>
      </c>
      <c r="U1239" t="s">
        <v>7277</v>
      </c>
      <c r="V1239" t="s">
        <v>967</v>
      </c>
      <c r="W1239" t="s">
        <v>4816</v>
      </c>
      <c r="X1239">
        <v>2.13</v>
      </c>
      <c r="Y1239" t="s">
        <v>2002</v>
      </c>
      <c r="Z1239" t="s">
        <v>7278</v>
      </c>
      <c r="AA1239" t="s">
        <v>1687</v>
      </c>
      <c r="AB1239">
        <v>0.83</v>
      </c>
      <c r="AC1239" t="s">
        <v>4910</v>
      </c>
      <c r="AD1239">
        <v>32.840000000000003</v>
      </c>
      <c r="AE1239" t="s">
        <v>841</v>
      </c>
      <c r="AF1239">
        <v>3.19</v>
      </c>
      <c r="AG1239" t="s">
        <v>150</v>
      </c>
      <c r="AH1239">
        <v>0</v>
      </c>
      <c r="AI1239" s="4">
        <v>35810</v>
      </c>
    </row>
    <row r="1240" spans="1:35">
      <c r="A1240">
        <v>1239</v>
      </c>
      <c r="B1240" t="str">
        <f>"603180"</f>
        <v>603180</v>
      </c>
      <c r="C1240" t="s">
        <v>7279</v>
      </c>
      <c r="D1240" s="4">
        <v>43190</v>
      </c>
      <c r="E1240" t="s">
        <v>7280</v>
      </c>
      <c r="F1240" t="s">
        <v>1579</v>
      </c>
      <c r="G1240">
        <v>1452</v>
      </c>
      <c r="H1240">
        <v>0.28000000000000003</v>
      </c>
      <c r="I1240">
        <v>12.16</v>
      </c>
      <c r="J1240">
        <v>2.12</v>
      </c>
      <c r="K1240" t="s">
        <v>1995</v>
      </c>
      <c r="L1240">
        <v>26.19</v>
      </c>
      <c r="M1240" t="s">
        <v>7281</v>
      </c>
      <c r="N1240" t="s">
        <v>7282</v>
      </c>
      <c r="O1240" t="s">
        <v>3253</v>
      </c>
      <c r="P1240" t="s">
        <v>7283</v>
      </c>
      <c r="Q1240">
        <v>84.33</v>
      </c>
      <c r="R1240" t="s">
        <v>593</v>
      </c>
      <c r="S1240">
        <v>4.05</v>
      </c>
      <c r="T1240">
        <v>39.58</v>
      </c>
      <c r="U1240" t="s">
        <v>855</v>
      </c>
      <c r="V1240" t="s">
        <v>3643</v>
      </c>
      <c r="W1240" t="s">
        <v>1209</v>
      </c>
      <c r="X1240">
        <v>2.12</v>
      </c>
      <c r="Y1240" t="s">
        <v>2532</v>
      </c>
      <c r="Z1240" t="s">
        <v>1874</v>
      </c>
      <c r="AA1240" t="s">
        <v>307</v>
      </c>
      <c r="AB1240">
        <v>8.51</v>
      </c>
      <c r="AC1240" t="s">
        <v>4936</v>
      </c>
      <c r="AD1240">
        <v>58.23</v>
      </c>
      <c r="AE1240" t="s">
        <v>2685</v>
      </c>
      <c r="AF1240">
        <v>7.05</v>
      </c>
      <c r="AG1240">
        <v>0</v>
      </c>
      <c r="AH1240">
        <v>0</v>
      </c>
      <c r="AI1240" s="4">
        <v>42867</v>
      </c>
    </row>
    <row r="1241" spans="1:35">
      <c r="A1241">
        <v>1240</v>
      </c>
      <c r="B1241" t="str">
        <f>"601086"</f>
        <v>601086</v>
      </c>
      <c r="C1241" t="s">
        <v>7284</v>
      </c>
      <c r="D1241" s="4">
        <v>43190</v>
      </c>
      <c r="E1241" t="s">
        <v>43</v>
      </c>
      <c r="F1241" t="s">
        <v>1203</v>
      </c>
      <c r="G1241">
        <v>2689</v>
      </c>
      <c r="H1241">
        <v>0.06</v>
      </c>
      <c r="I1241">
        <v>2.58</v>
      </c>
      <c r="J1241">
        <v>2.12</v>
      </c>
      <c r="K1241" t="s">
        <v>1414</v>
      </c>
      <c r="L1241">
        <v>3.09</v>
      </c>
      <c r="M1241" t="s">
        <v>4638</v>
      </c>
      <c r="N1241">
        <v>0</v>
      </c>
      <c r="O1241" t="s">
        <v>1901</v>
      </c>
      <c r="P1241" t="s">
        <v>7285</v>
      </c>
      <c r="Q1241">
        <v>-15.74</v>
      </c>
      <c r="R1241" t="s">
        <v>140</v>
      </c>
      <c r="S1241">
        <v>0.6</v>
      </c>
      <c r="T1241">
        <v>16.68</v>
      </c>
      <c r="U1241" t="s">
        <v>1386</v>
      </c>
      <c r="V1241" t="s">
        <v>602</v>
      </c>
      <c r="W1241" t="s">
        <v>5543</v>
      </c>
      <c r="X1241">
        <v>2.12</v>
      </c>
      <c r="Y1241" t="s">
        <v>4097</v>
      </c>
      <c r="Z1241" t="s">
        <v>2693</v>
      </c>
      <c r="AA1241" t="s">
        <v>319</v>
      </c>
      <c r="AB1241">
        <v>3.2</v>
      </c>
      <c r="AC1241" t="s">
        <v>1678</v>
      </c>
      <c r="AD1241">
        <v>65.75</v>
      </c>
      <c r="AE1241" t="s">
        <v>90</v>
      </c>
      <c r="AF1241">
        <v>0.49</v>
      </c>
      <c r="AG1241">
        <v>0</v>
      </c>
      <c r="AH1241">
        <v>0</v>
      </c>
      <c r="AI1241" s="4">
        <v>43007</v>
      </c>
    </row>
    <row r="1242" spans="1:35">
      <c r="A1242">
        <v>1241</v>
      </c>
      <c r="B1242" t="str">
        <f>"600769"</f>
        <v>600769</v>
      </c>
      <c r="C1242" t="s">
        <v>7286</v>
      </c>
      <c r="D1242" s="4">
        <v>43190</v>
      </c>
      <c r="E1242" t="s">
        <v>138</v>
      </c>
      <c r="F1242" t="s">
        <v>138</v>
      </c>
      <c r="G1242" t="s">
        <v>3773</v>
      </c>
      <c r="H1242">
        <v>0</v>
      </c>
      <c r="I1242">
        <v>0.13</v>
      </c>
      <c r="J1242">
        <v>2.12</v>
      </c>
      <c r="K1242" t="s">
        <v>7287</v>
      </c>
      <c r="L1242">
        <v>-59.4</v>
      </c>
      <c r="M1242" t="s">
        <v>7288</v>
      </c>
      <c r="N1242">
        <v>9334</v>
      </c>
      <c r="O1242" t="s">
        <v>7288</v>
      </c>
      <c r="P1242" t="s">
        <v>7289</v>
      </c>
      <c r="Q1242">
        <v>-1.58</v>
      </c>
      <c r="R1242" t="s">
        <v>7290</v>
      </c>
      <c r="S1242">
        <v>-1.96</v>
      </c>
      <c r="T1242">
        <v>3.8</v>
      </c>
      <c r="U1242" t="s">
        <v>595</v>
      </c>
      <c r="V1242" t="s">
        <v>3778</v>
      </c>
      <c r="W1242" t="s">
        <v>7291</v>
      </c>
      <c r="X1242">
        <v>2.12</v>
      </c>
      <c r="Y1242" t="s">
        <v>7292</v>
      </c>
      <c r="Z1242" t="s">
        <v>7292</v>
      </c>
      <c r="AA1242">
        <v>0</v>
      </c>
      <c r="AB1242">
        <v>38.29</v>
      </c>
      <c r="AC1242" t="s">
        <v>7293</v>
      </c>
      <c r="AD1242">
        <v>36.9</v>
      </c>
      <c r="AE1242" t="s">
        <v>1461</v>
      </c>
      <c r="AF1242">
        <v>0.98</v>
      </c>
      <c r="AG1242">
        <v>0</v>
      </c>
      <c r="AH1242">
        <v>0</v>
      </c>
      <c r="AI1242" s="4">
        <v>35370</v>
      </c>
    </row>
    <row r="1243" spans="1:35">
      <c r="A1243">
        <v>1242</v>
      </c>
      <c r="B1243" t="str">
        <f>"600351"</f>
        <v>600351</v>
      </c>
      <c r="C1243" t="s">
        <v>7294</v>
      </c>
      <c r="D1243" s="4">
        <v>43190</v>
      </c>
      <c r="E1243" t="s">
        <v>130</v>
      </c>
      <c r="F1243" t="s">
        <v>741</v>
      </c>
      <c r="G1243" t="s">
        <v>2589</v>
      </c>
      <c r="H1243">
        <v>0.08</v>
      </c>
      <c r="I1243">
        <v>3.55</v>
      </c>
      <c r="J1243">
        <v>2.12</v>
      </c>
      <c r="K1243" t="s">
        <v>1204</v>
      </c>
      <c r="L1243">
        <v>37.29</v>
      </c>
      <c r="M1243" t="s">
        <v>7295</v>
      </c>
      <c r="N1243" t="s">
        <v>7296</v>
      </c>
      <c r="O1243" t="s">
        <v>4309</v>
      </c>
      <c r="P1243" t="s">
        <v>6157</v>
      </c>
      <c r="Q1243">
        <v>47.81</v>
      </c>
      <c r="R1243" t="s">
        <v>7297</v>
      </c>
      <c r="S1243">
        <v>0.96</v>
      </c>
      <c r="T1243">
        <v>61</v>
      </c>
      <c r="U1243" t="s">
        <v>773</v>
      </c>
      <c r="V1243" t="s">
        <v>510</v>
      </c>
      <c r="W1243" t="s">
        <v>1343</v>
      </c>
      <c r="X1243">
        <v>2.12</v>
      </c>
      <c r="Y1243" t="s">
        <v>162</v>
      </c>
      <c r="Z1243" t="s">
        <v>1307</v>
      </c>
      <c r="AA1243" t="s">
        <v>1349</v>
      </c>
      <c r="AB1243">
        <v>2</v>
      </c>
      <c r="AC1243" t="s">
        <v>1542</v>
      </c>
      <c r="AD1243">
        <v>65.22</v>
      </c>
      <c r="AE1243" t="s">
        <v>699</v>
      </c>
      <c r="AF1243">
        <v>1.37</v>
      </c>
      <c r="AG1243">
        <v>0</v>
      </c>
      <c r="AH1243">
        <v>0</v>
      </c>
      <c r="AI1243" s="4">
        <v>37525</v>
      </c>
    </row>
    <row r="1244" spans="1:35">
      <c r="A1244">
        <v>1243</v>
      </c>
      <c r="B1244" t="str">
        <f>"600280"</f>
        <v>600280</v>
      </c>
      <c r="C1244" t="s">
        <v>7298</v>
      </c>
      <c r="D1244" s="4">
        <v>43190</v>
      </c>
      <c r="E1244" t="s">
        <v>973</v>
      </c>
      <c r="F1244" t="s">
        <v>973</v>
      </c>
      <c r="G1244" t="s">
        <v>2511</v>
      </c>
      <c r="H1244">
        <v>0.03</v>
      </c>
      <c r="I1244">
        <v>1.63</v>
      </c>
      <c r="J1244">
        <v>2.12</v>
      </c>
      <c r="K1244" t="s">
        <v>1693</v>
      </c>
      <c r="L1244">
        <v>9.1</v>
      </c>
      <c r="M1244" t="s">
        <v>7299</v>
      </c>
      <c r="N1244" t="s">
        <v>7300</v>
      </c>
      <c r="O1244" t="s">
        <v>5075</v>
      </c>
      <c r="P1244" t="s">
        <v>7301</v>
      </c>
      <c r="Q1244">
        <v>-14.42</v>
      </c>
      <c r="R1244" t="s">
        <v>1672</v>
      </c>
      <c r="S1244">
        <v>0.28999999999999998</v>
      </c>
      <c r="T1244">
        <v>23.11</v>
      </c>
      <c r="U1244" t="s">
        <v>928</v>
      </c>
      <c r="V1244" t="s">
        <v>794</v>
      </c>
      <c r="W1244" t="s">
        <v>1205</v>
      </c>
      <c r="X1244">
        <v>2.12</v>
      </c>
      <c r="Y1244" t="s">
        <v>3912</v>
      </c>
      <c r="Z1244" t="s">
        <v>412</v>
      </c>
      <c r="AA1244" t="s">
        <v>908</v>
      </c>
      <c r="AB1244">
        <v>6.01</v>
      </c>
      <c r="AC1244" t="s">
        <v>187</v>
      </c>
      <c r="AD1244">
        <v>10.57</v>
      </c>
      <c r="AE1244" t="s">
        <v>7302</v>
      </c>
      <c r="AF1244">
        <v>0.01</v>
      </c>
      <c r="AG1244">
        <v>0</v>
      </c>
      <c r="AH1244">
        <v>0</v>
      </c>
      <c r="AI1244" s="4">
        <v>36795</v>
      </c>
    </row>
    <row r="1245" spans="1:35">
      <c r="A1245">
        <v>1244</v>
      </c>
      <c r="B1245" t="str">
        <f>"300383"</f>
        <v>300383</v>
      </c>
      <c r="C1245" t="s">
        <v>7303</v>
      </c>
      <c r="D1245" s="4">
        <v>43190</v>
      </c>
      <c r="E1245" t="s">
        <v>263</v>
      </c>
      <c r="F1245" t="s">
        <v>624</v>
      </c>
      <c r="G1245" t="s">
        <v>5811</v>
      </c>
      <c r="H1245">
        <v>0.1</v>
      </c>
      <c r="I1245">
        <v>4.5199999999999996</v>
      </c>
      <c r="J1245">
        <v>2.12</v>
      </c>
      <c r="K1245" t="s">
        <v>924</v>
      </c>
      <c r="L1245">
        <v>54.33</v>
      </c>
      <c r="M1245" t="s">
        <v>284</v>
      </c>
      <c r="N1245" t="s">
        <v>7304</v>
      </c>
      <c r="O1245" t="s">
        <v>284</v>
      </c>
      <c r="P1245" t="s">
        <v>711</v>
      </c>
      <c r="Q1245">
        <v>60.8</v>
      </c>
      <c r="R1245" t="s">
        <v>2421</v>
      </c>
      <c r="S1245">
        <v>0.65</v>
      </c>
      <c r="T1245">
        <v>20.02</v>
      </c>
      <c r="U1245" t="s">
        <v>1159</v>
      </c>
      <c r="V1245" t="s">
        <v>1161</v>
      </c>
      <c r="W1245" t="s">
        <v>3160</v>
      </c>
      <c r="X1245">
        <v>2.12</v>
      </c>
      <c r="Y1245" t="s">
        <v>949</v>
      </c>
      <c r="Z1245" t="s">
        <v>173</v>
      </c>
      <c r="AA1245" t="s">
        <v>1704</v>
      </c>
      <c r="AB1245">
        <v>2.66</v>
      </c>
      <c r="AC1245" t="s">
        <v>7234</v>
      </c>
      <c r="AD1245">
        <v>60.96</v>
      </c>
      <c r="AE1245" t="s">
        <v>763</v>
      </c>
      <c r="AF1245">
        <v>2.83</v>
      </c>
      <c r="AG1245">
        <v>0</v>
      </c>
      <c r="AH1245">
        <v>0</v>
      </c>
      <c r="AI1245" s="4">
        <v>41668</v>
      </c>
    </row>
    <row r="1246" spans="1:35">
      <c r="A1246">
        <v>1245</v>
      </c>
      <c r="B1246" t="str">
        <f>"002434"</f>
        <v>002434</v>
      </c>
      <c r="C1246" t="s">
        <v>7305</v>
      </c>
      <c r="D1246" s="4">
        <v>43190</v>
      </c>
      <c r="E1246" t="s">
        <v>1214</v>
      </c>
      <c r="F1246" t="s">
        <v>1496</v>
      </c>
      <c r="G1246" t="s">
        <v>7306</v>
      </c>
      <c r="H1246">
        <v>0.1</v>
      </c>
      <c r="I1246">
        <v>4.46</v>
      </c>
      <c r="J1246">
        <v>2.12</v>
      </c>
      <c r="K1246" t="s">
        <v>1496</v>
      </c>
      <c r="L1246">
        <v>-35.79</v>
      </c>
      <c r="M1246" t="s">
        <v>93</v>
      </c>
      <c r="N1246" t="s">
        <v>7307</v>
      </c>
      <c r="O1246" t="s">
        <v>93</v>
      </c>
      <c r="P1246" t="s">
        <v>1376</v>
      </c>
      <c r="Q1246">
        <v>-44.96</v>
      </c>
      <c r="R1246" t="s">
        <v>847</v>
      </c>
      <c r="S1246">
        <v>1.04</v>
      </c>
      <c r="T1246">
        <v>27.69</v>
      </c>
      <c r="U1246" t="s">
        <v>2713</v>
      </c>
      <c r="V1246" t="s">
        <v>2667</v>
      </c>
      <c r="W1246" t="s">
        <v>141</v>
      </c>
      <c r="X1246">
        <v>2.12</v>
      </c>
      <c r="Y1246" t="s">
        <v>1329</v>
      </c>
      <c r="Z1246" t="s">
        <v>418</v>
      </c>
      <c r="AA1246" t="s">
        <v>1477</v>
      </c>
      <c r="AB1246">
        <v>1.9</v>
      </c>
      <c r="AC1246" t="s">
        <v>5199</v>
      </c>
      <c r="AD1246">
        <v>68.08</v>
      </c>
      <c r="AE1246" t="s">
        <v>2057</v>
      </c>
      <c r="AF1246">
        <v>2.2999999999999998</v>
      </c>
      <c r="AG1246">
        <v>0</v>
      </c>
      <c r="AH1246">
        <v>0</v>
      </c>
      <c r="AI1246" s="4">
        <v>40347</v>
      </c>
    </row>
    <row r="1247" spans="1:35">
      <c r="A1247">
        <v>1246</v>
      </c>
      <c r="B1247" t="str">
        <f>"002404"</f>
        <v>002404</v>
      </c>
      <c r="C1247" t="s">
        <v>7308</v>
      </c>
      <c r="D1247" s="4">
        <v>43190</v>
      </c>
      <c r="E1247" t="s">
        <v>2056</v>
      </c>
      <c r="F1247" t="s">
        <v>267</v>
      </c>
      <c r="G1247">
        <v>9343</v>
      </c>
      <c r="H1247">
        <v>0.05</v>
      </c>
      <c r="I1247">
        <v>2.86</v>
      </c>
      <c r="J1247">
        <v>2.12</v>
      </c>
      <c r="K1247" t="s">
        <v>2264</v>
      </c>
      <c r="L1247">
        <v>33.61</v>
      </c>
      <c r="M1247" t="s">
        <v>5812</v>
      </c>
      <c r="N1247" t="s">
        <v>7309</v>
      </c>
      <c r="O1247" t="s">
        <v>7310</v>
      </c>
      <c r="P1247" t="s">
        <v>7311</v>
      </c>
      <c r="Q1247">
        <v>52.2</v>
      </c>
      <c r="R1247" t="s">
        <v>2284</v>
      </c>
      <c r="S1247">
        <v>0.54</v>
      </c>
      <c r="T1247">
        <v>15.07</v>
      </c>
      <c r="U1247" t="s">
        <v>2100</v>
      </c>
      <c r="V1247" t="s">
        <v>510</v>
      </c>
      <c r="W1247" t="s">
        <v>325</v>
      </c>
      <c r="X1247">
        <v>2.12</v>
      </c>
      <c r="Y1247" t="s">
        <v>2131</v>
      </c>
      <c r="Z1247" t="s">
        <v>767</v>
      </c>
      <c r="AA1247" t="s">
        <v>7312</v>
      </c>
      <c r="AB1247">
        <v>1.96</v>
      </c>
      <c r="AC1247" t="s">
        <v>1343</v>
      </c>
      <c r="AD1247">
        <v>65.36</v>
      </c>
      <c r="AE1247" t="s">
        <v>846</v>
      </c>
      <c r="AF1247">
        <v>1.1299999999999999</v>
      </c>
      <c r="AG1247">
        <v>0</v>
      </c>
      <c r="AH1247">
        <v>0</v>
      </c>
      <c r="AI1247" s="4">
        <v>40309</v>
      </c>
    </row>
    <row r="1248" spans="1:35">
      <c r="A1248">
        <v>1247</v>
      </c>
      <c r="B1248" t="str">
        <f>"000597"</f>
        <v>000597</v>
      </c>
      <c r="C1248" t="s">
        <v>7313</v>
      </c>
      <c r="D1248" s="4">
        <v>43190</v>
      </c>
      <c r="E1248" t="s">
        <v>3324</v>
      </c>
      <c r="F1248" t="s">
        <v>476</v>
      </c>
      <c r="G1248" t="s">
        <v>2554</v>
      </c>
      <c r="H1248">
        <v>0.09</v>
      </c>
      <c r="I1248">
        <v>5.81</v>
      </c>
      <c r="J1248">
        <v>2.12</v>
      </c>
      <c r="K1248" t="s">
        <v>691</v>
      </c>
      <c r="L1248">
        <v>36.39</v>
      </c>
      <c r="M1248" t="s">
        <v>6803</v>
      </c>
      <c r="N1248">
        <v>0</v>
      </c>
      <c r="O1248" t="s">
        <v>3675</v>
      </c>
      <c r="P1248" t="s">
        <v>7314</v>
      </c>
      <c r="Q1248">
        <v>380.21</v>
      </c>
      <c r="R1248" t="s">
        <v>2306</v>
      </c>
      <c r="S1248">
        <v>0.23</v>
      </c>
      <c r="T1248">
        <v>40.51</v>
      </c>
      <c r="U1248" t="s">
        <v>466</v>
      </c>
      <c r="V1248" t="s">
        <v>1442</v>
      </c>
      <c r="W1248" t="s">
        <v>1515</v>
      </c>
      <c r="X1248">
        <v>2.12</v>
      </c>
      <c r="Y1248" t="s">
        <v>3069</v>
      </c>
      <c r="Z1248" t="s">
        <v>3243</v>
      </c>
      <c r="AA1248" t="s">
        <v>1062</v>
      </c>
      <c r="AB1248">
        <v>2.04</v>
      </c>
      <c r="AC1248" t="s">
        <v>1294</v>
      </c>
      <c r="AD1248">
        <v>21.94</v>
      </c>
      <c r="AE1248" t="s">
        <v>1678</v>
      </c>
      <c r="AF1248">
        <v>4.41</v>
      </c>
      <c r="AG1248">
        <v>0</v>
      </c>
      <c r="AH1248">
        <v>0</v>
      </c>
      <c r="AI1248" s="4">
        <v>35208</v>
      </c>
    </row>
    <row r="1249" spans="1:35">
      <c r="A1249">
        <v>1248</v>
      </c>
      <c r="B1249" t="str">
        <f>"600766"</f>
        <v>600766</v>
      </c>
      <c r="C1249" t="s">
        <v>7315</v>
      </c>
      <c r="D1249" s="4">
        <v>43190</v>
      </c>
      <c r="E1249" t="s">
        <v>509</v>
      </c>
      <c r="F1249" t="s">
        <v>509</v>
      </c>
      <c r="G1249" t="s">
        <v>2125</v>
      </c>
      <c r="H1249">
        <v>0</v>
      </c>
      <c r="I1249">
        <v>0.25</v>
      </c>
      <c r="J1249">
        <v>2.11</v>
      </c>
      <c r="K1249" t="s">
        <v>6058</v>
      </c>
      <c r="L1249">
        <v>4.2</v>
      </c>
      <c r="M1249" t="s">
        <v>4977</v>
      </c>
      <c r="N1249">
        <v>-317</v>
      </c>
      <c r="O1249" t="s">
        <v>4977</v>
      </c>
      <c r="P1249" t="s">
        <v>7316</v>
      </c>
      <c r="Q1249">
        <v>-14.35</v>
      </c>
      <c r="R1249" t="s">
        <v>7317</v>
      </c>
      <c r="S1249">
        <v>-1.77</v>
      </c>
      <c r="T1249">
        <v>95.98</v>
      </c>
      <c r="U1249" t="s">
        <v>1203</v>
      </c>
      <c r="V1249" t="s">
        <v>198</v>
      </c>
      <c r="W1249" t="s">
        <v>5217</v>
      </c>
      <c r="X1249">
        <v>2.11</v>
      </c>
      <c r="Y1249" t="s">
        <v>198</v>
      </c>
      <c r="Z1249" t="s">
        <v>198</v>
      </c>
      <c r="AA1249">
        <v>0</v>
      </c>
      <c r="AB1249">
        <v>27.28</v>
      </c>
      <c r="AC1249" t="s">
        <v>7318</v>
      </c>
      <c r="AD1249">
        <v>34.42</v>
      </c>
      <c r="AE1249" t="s">
        <v>669</v>
      </c>
      <c r="AF1249">
        <v>1.06</v>
      </c>
      <c r="AG1249">
        <v>0</v>
      </c>
      <c r="AH1249">
        <v>0</v>
      </c>
      <c r="AI1249" s="4">
        <v>35366</v>
      </c>
    </row>
    <row r="1250" spans="1:35">
      <c r="A1250">
        <v>1249</v>
      </c>
      <c r="B1250" t="str">
        <f>"600261"</f>
        <v>600261</v>
      </c>
      <c r="C1250" t="s">
        <v>7319</v>
      </c>
      <c r="D1250" s="4">
        <v>43190</v>
      </c>
      <c r="E1250" t="s">
        <v>263</v>
      </c>
      <c r="F1250" t="s">
        <v>263</v>
      </c>
      <c r="G1250" t="s">
        <v>7320</v>
      </c>
      <c r="H1250">
        <v>0.05</v>
      </c>
      <c r="I1250">
        <v>2.19</v>
      </c>
      <c r="J1250">
        <v>2.11</v>
      </c>
      <c r="K1250" t="s">
        <v>173</v>
      </c>
      <c r="L1250">
        <v>24.06</v>
      </c>
      <c r="M1250" t="s">
        <v>7321</v>
      </c>
      <c r="N1250" t="s">
        <v>5483</v>
      </c>
      <c r="O1250" t="s">
        <v>7322</v>
      </c>
      <c r="P1250" t="s">
        <v>3812</v>
      </c>
      <c r="Q1250">
        <v>-39.01</v>
      </c>
      <c r="R1250" t="s">
        <v>971</v>
      </c>
      <c r="S1250">
        <v>0.79</v>
      </c>
      <c r="T1250">
        <v>21.68</v>
      </c>
      <c r="U1250" t="s">
        <v>3565</v>
      </c>
      <c r="V1250" t="s">
        <v>2642</v>
      </c>
      <c r="W1250" t="s">
        <v>192</v>
      </c>
      <c r="X1250">
        <v>2.11</v>
      </c>
      <c r="Y1250" t="s">
        <v>1832</v>
      </c>
      <c r="Z1250" t="s">
        <v>159</v>
      </c>
      <c r="AA1250" t="s">
        <v>944</v>
      </c>
      <c r="AB1250">
        <v>1.65</v>
      </c>
      <c r="AC1250" t="s">
        <v>884</v>
      </c>
      <c r="AD1250">
        <v>55.02</v>
      </c>
      <c r="AE1250" t="s">
        <v>2387</v>
      </c>
      <c r="AF1250">
        <v>0.18</v>
      </c>
      <c r="AG1250">
        <v>0</v>
      </c>
      <c r="AH1250">
        <v>0</v>
      </c>
      <c r="AI1250" s="4">
        <v>36727</v>
      </c>
    </row>
    <row r="1251" spans="1:35">
      <c r="A1251">
        <v>1250</v>
      </c>
      <c r="B1251" t="str">
        <f>"300693"</f>
        <v>300693</v>
      </c>
      <c r="C1251" t="s">
        <v>7323</v>
      </c>
      <c r="D1251" s="4">
        <v>43190</v>
      </c>
      <c r="E1251" t="s">
        <v>993</v>
      </c>
      <c r="F1251" t="s">
        <v>7324</v>
      </c>
      <c r="G1251">
        <v>1719</v>
      </c>
      <c r="H1251">
        <v>0.09</v>
      </c>
      <c r="I1251">
        <v>4.17</v>
      </c>
      <c r="J1251">
        <v>2.11</v>
      </c>
      <c r="K1251" t="s">
        <v>355</v>
      </c>
      <c r="L1251">
        <v>-15.02</v>
      </c>
      <c r="M1251" t="s">
        <v>7325</v>
      </c>
      <c r="N1251" t="s">
        <v>7326</v>
      </c>
      <c r="O1251" t="s">
        <v>7327</v>
      </c>
      <c r="P1251" t="s">
        <v>7328</v>
      </c>
      <c r="Q1251">
        <v>-36.840000000000003</v>
      </c>
      <c r="R1251" t="s">
        <v>657</v>
      </c>
      <c r="S1251">
        <v>0.82</v>
      </c>
      <c r="T1251">
        <v>45.3</v>
      </c>
      <c r="U1251" t="s">
        <v>3712</v>
      </c>
      <c r="V1251" t="s">
        <v>2010</v>
      </c>
      <c r="W1251" t="s">
        <v>7329</v>
      </c>
      <c r="X1251">
        <v>2.11</v>
      </c>
      <c r="Y1251" t="s">
        <v>321</v>
      </c>
      <c r="Z1251" t="s">
        <v>2031</v>
      </c>
      <c r="AA1251" t="s">
        <v>3151</v>
      </c>
      <c r="AB1251">
        <v>5.14</v>
      </c>
      <c r="AC1251" t="s">
        <v>2938</v>
      </c>
      <c r="AD1251">
        <v>78.16</v>
      </c>
      <c r="AE1251" t="s">
        <v>2807</v>
      </c>
      <c r="AF1251">
        <v>2.2400000000000002</v>
      </c>
      <c r="AG1251">
        <v>0</v>
      </c>
      <c r="AH1251">
        <v>0</v>
      </c>
      <c r="AI1251" s="4">
        <v>42969</v>
      </c>
    </row>
    <row r="1252" spans="1:35">
      <c r="A1252">
        <v>1251</v>
      </c>
      <c r="B1252" t="str">
        <f>"300576"</f>
        <v>300576</v>
      </c>
      <c r="C1252" t="s">
        <v>7330</v>
      </c>
      <c r="D1252" s="4">
        <v>43190</v>
      </c>
      <c r="E1252" t="s">
        <v>280</v>
      </c>
      <c r="F1252" t="s">
        <v>7331</v>
      </c>
      <c r="G1252">
        <v>4414</v>
      </c>
      <c r="H1252">
        <v>7.0000000000000007E-2</v>
      </c>
      <c r="I1252">
        <v>3.37</v>
      </c>
      <c r="J1252">
        <v>2.11</v>
      </c>
      <c r="K1252" t="s">
        <v>7332</v>
      </c>
      <c r="L1252">
        <v>23.73</v>
      </c>
      <c r="M1252" t="s">
        <v>7333</v>
      </c>
      <c r="N1252" t="s">
        <v>3109</v>
      </c>
      <c r="O1252" t="s">
        <v>7064</v>
      </c>
      <c r="P1252" t="s">
        <v>7334</v>
      </c>
      <c r="Q1252">
        <v>-7.88</v>
      </c>
      <c r="R1252" t="s">
        <v>745</v>
      </c>
      <c r="S1252">
        <v>1.1200000000000001</v>
      </c>
      <c r="T1252">
        <v>27.65</v>
      </c>
      <c r="U1252" t="s">
        <v>1611</v>
      </c>
      <c r="V1252" t="s">
        <v>1939</v>
      </c>
      <c r="W1252" t="s">
        <v>3522</v>
      </c>
      <c r="X1252">
        <v>2.11</v>
      </c>
      <c r="Y1252" t="s">
        <v>198</v>
      </c>
      <c r="Z1252" t="s">
        <v>7335</v>
      </c>
      <c r="AA1252" t="s">
        <v>7336</v>
      </c>
      <c r="AB1252">
        <v>4.24</v>
      </c>
      <c r="AC1252" t="s">
        <v>104</v>
      </c>
      <c r="AD1252">
        <v>79.849999999999994</v>
      </c>
      <c r="AE1252" t="s">
        <v>372</v>
      </c>
      <c r="AF1252">
        <v>1.1299999999999999</v>
      </c>
      <c r="AG1252">
        <v>0</v>
      </c>
      <c r="AH1252">
        <v>0</v>
      </c>
      <c r="AI1252" s="4">
        <v>42724</v>
      </c>
    </row>
    <row r="1253" spans="1:35">
      <c r="A1253">
        <v>1252</v>
      </c>
      <c r="B1253" t="str">
        <f>"002765"</f>
        <v>002765</v>
      </c>
      <c r="C1253" t="s">
        <v>7337</v>
      </c>
      <c r="D1253" s="4">
        <v>43190</v>
      </c>
      <c r="E1253" t="s">
        <v>1706</v>
      </c>
      <c r="F1253" t="s">
        <v>258</v>
      </c>
      <c r="G1253">
        <v>7607</v>
      </c>
      <c r="H1253">
        <v>0.06</v>
      </c>
      <c r="I1253">
        <v>2.95</v>
      </c>
      <c r="J1253">
        <v>2.11</v>
      </c>
      <c r="K1253" t="s">
        <v>486</v>
      </c>
      <c r="L1253">
        <v>-1.47</v>
      </c>
      <c r="M1253" t="s">
        <v>7338</v>
      </c>
      <c r="N1253" t="s">
        <v>7339</v>
      </c>
      <c r="O1253" t="s">
        <v>7340</v>
      </c>
      <c r="P1253" t="s">
        <v>6396</v>
      </c>
      <c r="Q1253">
        <v>-3.66</v>
      </c>
      <c r="R1253" t="s">
        <v>1918</v>
      </c>
      <c r="S1253">
        <v>0.83</v>
      </c>
      <c r="T1253">
        <v>23.47</v>
      </c>
      <c r="U1253" t="s">
        <v>1943</v>
      </c>
      <c r="V1253" t="s">
        <v>1214</v>
      </c>
      <c r="W1253" t="s">
        <v>2853</v>
      </c>
      <c r="X1253">
        <v>2.11</v>
      </c>
      <c r="Y1253" t="s">
        <v>164</v>
      </c>
      <c r="Z1253" t="s">
        <v>3802</v>
      </c>
      <c r="AA1253" t="s">
        <v>701</v>
      </c>
      <c r="AB1253">
        <v>2.2799999999999998</v>
      </c>
      <c r="AC1253" t="s">
        <v>164</v>
      </c>
      <c r="AD1253">
        <v>49.92</v>
      </c>
      <c r="AE1253" t="s">
        <v>1481</v>
      </c>
      <c r="AF1253">
        <v>1.1499999999999999</v>
      </c>
      <c r="AG1253">
        <v>0</v>
      </c>
      <c r="AH1253">
        <v>0</v>
      </c>
      <c r="AI1253" s="4">
        <v>42167</v>
      </c>
    </row>
    <row r="1254" spans="1:35">
      <c r="A1254">
        <v>1253</v>
      </c>
      <c r="B1254" t="str">
        <f>"002152"</f>
        <v>002152</v>
      </c>
      <c r="C1254" t="s">
        <v>7341</v>
      </c>
      <c r="D1254" s="4">
        <v>43190</v>
      </c>
      <c r="E1254" t="s">
        <v>306</v>
      </c>
      <c r="F1254" t="s">
        <v>1284</v>
      </c>
      <c r="G1254" t="s">
        <v>7342</v>
      </c>
      <c r="H1254">
        <v>0.08</v>
      </c>
      <c r="I1254">
        <v>3.45</v>
      </c>
      <c r="J1254">
        <v>2.11</v>
      </c>
      <c r="K1254" t="s">
        <v>978</v>
      </c>
      <c r="L1254">
        <v>22.15</v>
      </c>
      <c r="M1254" t="s">
        <v>916</v>
      </c>
      <c r="N1254" t="s">
        <v>5740</v>
      </c>
      <c r="O1254" t="s">
        <v>916</v>
      </c>
      <c r="P1254" t="s">
        <v>905</v>
      </c>
      <c r="Q1254">
        <v>-28.39</v>
      </c>
      <c r="R1254" t="s">
        <v>235</v>
      </c>
      <c r="S1254">
        <v>1.38</v>
      </c>
      <c r="T1254">
        <v>42.23</v>
      </c>
      <c r="U1254" t="s">
        <v>410</v>
      </c>
      <c r="V1254" t="s">
        <v>2677</v>
      </c>
      <c r="W1254" t="s">
        <v>4514</v>
      </c>
      <c r="X1254">
        <v>2.11</v>
      </c>
      <c r="Y1254" t="s">
        <v>1158</v>
      </c>
      <c r="Z1254" t="s">
        <v>700</v>
      </c>
      <c r="AA1254" t="s">
        <v>209</v>
      </c>
      <c r="AB1254">
        <v>1.8</v>
      </c>
      <c r="AC1254" t="s">
        <v>933</v>
      </c>
      <c r="AD1254">
        <v>71.5</v>
      </c>
      <c r="AE1254" t="s">
        <v>316</v>
      </c>
      <c r="AF1254">
        <v>0.95</v>
      </c>
      <c r="AG1254">
        <v>0</v>
      </c>
      <c r="AH1254">
        <v>0</v>
      </c>
      <c r="AI1254" s="4">
        <v>39307</v>
      </c>
    </row>
    <row r="1255" spans="1:35">
      <c r="A1255">
        <v>1254</v>
      </c>
      <c r="B1255" t="str">
        <f>"002093"</f>
        <v>002093</v>
      </c>
      <c r="C1255" t="s">
        <v>7343</v>
      </c>
      <c r="D1255" s="4">
        <v>43190</v>
      </c>
      <c r="E1255" t="s">
        <v>1094</v>
      </c>
      <c r="F1255" t="s">
        <v>3124</v>
      </c>
      <c r="G1255" t="s">
        <v>53</v>
      </c>
      <c r="H1255">
        <v>0.06</v>
      </c>
      <c r="I1255">
        <v>3.04</v>
      </c>
      <c r="J1255">
        <v>2.11</v>
      </c>
      <c r="K1255" t="s">
        <v>1682</v>
      </c>
      <c r="L1255">
        <v>31.99</v>
      </c>
      <c r="M1255" t="s">
        <v>7344</v>
      </c>
      <c r="N1255" t="s">
        <v>3051</v>
      </c>
      <c r="O1255" t="s">
        <v>7345</v>
      </c>
      <c r="P1255" t="s">
        <v>7346</v>
      </c>
      <c r="Q1255">
        <v>34.39</v>
      </c>
      <c r="R1255" t="s">
        <v>4552</v>
      </c>
      <c r="S1255">
        <v>0.67</v>
      </c>
      <c r="T1255">
        <v>38.1</v>
      </c>
      <c r="U1255" t="s">
        <v>1616</v>
      </c>
      <c r="V1255" t="s">
        <v>313</v>
      </c>
      <c r="W1255" t="s">
        <v>1018</v>
      </c>
      <c r="X1255">
        <v>2.11</v>
      </c>
      <c r="Y1255" t="s">
        <v>1190</v>
      </c>
      <c r="Z1255" t="s">
        <v>547</v>
      </c>
      <c r="AA1255" t="s">
        <v>1203</v>
      </c>
      <c r="AB1255">
        <v>2.4700000000000002</v>
      </c>
      <c r="AC1255" t="s">
        <v>1515</v>
      </c>
      <c r="AD1255">
        <v>64.64</v>
      </c>
      <c r="AE1255" t="s">
        <v>1384</v>
      </c>
      <c r="AF1255">
        <v>1.4</v>
      </c>
      <c r="AG1255">
        <v>0</v>
      </c>
      <c r="AH1255">
        <v>0</v>
      </c>
      <c r="AI1255" s="4">
        <v>39066</v>
      </c>
    </row>
    <row r="1256" spans="1:35">
      <c r="A1256">
        <v>1255</v>
      </c>
      <c r="B1256" t="str">
        <f>"002047"</f>
        <v>002047</v>
      </c>
      <c r="C1256" t="s">
        <v>7347</v>
      </c>
      <c r="D1256" s="4">
        <v>43190</v>
      </c>
      <c r="E1256" t="s">
        <v>924</v>
      </c>
      <c r="F1256" t="s">
        <v>164</v>
      </c>
      <c r="G1256" t="s">
        <v>7320</v>
      </c>
      <c r="H1256">
        <v>0.06</v>
      </c>
      <c r="I1256">
        <v>2.85</v>
      </c>
      <c r="J1256">
        <v>2.11</v>
      </c>
      <c r="K1256" t="s">
        <v>1033</v>
      </c>
      <c r="L1256">
        <v>-8.27</v>
      </c>
      <c r="M1256" t="s">
        <v>7348</v>
      </c>
      <c r="N1256" t="s">
        <v>7349</v>
      </c>
      <c r="O1256" t="s">
        <v>7350</v>
      </c>
      <c r="P1256" t="s">
        <v>7351</v>
      </c>
      <c r="Q1256">
        <v>26.53</v>
      </c>
      <c r="R1256" t="s">
        <v>908</v>
      </c>
      <c r="S1256">
        <v>1.1299999999999999</v>
      </c>
      <c r="T1256">
        <v>16.89</v>
      </c>
      <c r="U1256" t="s">
        <v>4179</v>
      </c>
      <c r="V1256" t="s">
        <v>3468</v>
      </c>
      <c r="W1256" t="s">
        <v>6623</v>
      </c>
      <c r="X1256">
        <v>2.11</v>
      </c>
      <c r="Y1256" t="s">
        <v>4889</v>
      </c>
      <c r="Z1256" t="s">
        <v>1391</v>
      </c>
      <c r="AA1256" t="s">
        <v>613</v>
      </c>
      <c r="AB1256">
        <v>1.95</v>
      </c>
      <c r="AC1256" t="s">
        <v>3160</v>
      </c>
      <c r="AD1256">
        <v>45.09</v>
      </c>
      <c r="AE1256" t="s">
        <v>820</v>
      </c>
      <c r="AF1256">
        <v>1.27</v>
      </c>
      <c r="AG1256">
        <v>0</v>
      </c>
      <c r="AH1256">
        <v>0</v>
      </c>
      <c r="AI1256" s="4">
        <v>38503</v>
      </c>
    </row>
    <row r="1257" spans="1:35">
      <c r="A1257">
        <v>1256</v>
      </c>
      <c r="B1257" t="str">
        <f>"000850"</f>
        <v>000850</v>
      </c>
      <c r="C1257" t="s">
        <v>7352</v>
      </c>
      <c r="D1257" s="4">
        <v>43190</v>
      </c>
      <c r="E1257" t="s">
        <v>3184</v>
      </c>
      <c r="F1257" t="s">
        <v>2870</v>
      </c>
      <c r="G1257" t="s">
        <v>427</v>
      </c>
      <c r="H1257">
        <v>0.1</v>
      </c>
      <c r="I1257">
        <v>4.53</v>
      </c>
      <c r="J1257">
        <v>2.11</v>
      </c>
      <c r="K1257" t="s">
        <v>318</v>
      </c>
      <c r="L1257">
        <v>19.97</v>
      </c>
      <c r="M1257" t="s">
        <v>71</v>
      </c>
      <c r="N1257" t="s">
        <v>1370</v>
      </c>
      <c r="O1257" t="s">
        <v>71</v>
      </c>
      <c r="P1257" t="s">
        <v>4605</v>
      </c>
      <c r="Q1257">
        <v>743.71</v>
      </c>
      <c r="R1257" t="s">
        <v>1367</v>
      </c>
      <c r="S1257">
        <v>1.68</v>
      </c>
      <c r="T1257">
        <v>6.69</v>
      </c>
      <c r="U1257" t="s">
        <v>1498</v>
      </c>
      <c r="V1257" t="s">
        <v>547</v>
      </c>
      <c r="W1257" t="s">
        <v>757</v>
      </c>
      <c r="X1257">
        <v>2.11</v>
      </c>
      <c r="Y1257" t="s">
        <v>1285</v>
      </c>
      <c r="Z1257" t="s">
        <v>308</v>
      </c>
      <c r="AA1257" t="s">
        <v>548</v>
      </c>
      <c r="AB1257">
        <v>0.81</v>
      </c>
      <c r="AC1257" t="s">
        <v>1291</v>
      </c>
      <c r="AD1257">
        <v>56.43</v>
      </c>
      <c r="AE1257" t="s">
        <v>1828</v>
      </c>
      <c r="AF1257">
        <v>0.02</v>
      </c>
      <c r="AG1257">
        <v>0</v>
      </c>
      <c r="AH1257">
        <v>0</v>
      </c>
      <c r="AI1257" s="4">
        <v>36075</v>
      </c>
    </row>
    <row r="1258" spans="1:35">
      <c r="A1258">
        <v>1257</v>
      </c>
      <c r="B1258" t="str">
        <f>"603329"</f>
        <v>603329</v>
      </c>
      <c r="C1258" t="s">
        <v>7353</v>
      </c>
      <c r="D1258" s="4">
        <v>43190</v>
      </c>
      <c r="E1258" t="s">
        <v>2306</v>
      </c>
      <c r="F1258" t="s">
        <v>7354</v>
      </c>
      <c r="G1258">
        <v>1544</v>
      </c>
      <c r="H1258">
        <v>0.12</v>
      </c>
      <c r="I1258">
        <v>5.62</v>
      </c>
      <c r="J1258">
        <v>2.1</v>
      </c>
      <c r="K1258" t="s">
        <v>501</v>
      </c>
      <c r="L1258">
        <v>-0.03</v>
      </c>
      <c r="M1258" t="s">
        <v>5423</v>
      </c>
      <c r="N1258" t="s">
        <v>7355</v>
      </c>
      <c r="O1258" t="s">
        <v>7356</v>
      </c>
      <c r="P1258" t="s">
        <v>7226</v>
      </c>
      <c r="Q1258">
        <v>-4.96</v>
      </c>
      <c r="R1258" t="s">
        <v>668</v>
      </c>
      <c r="S1258">
        <v>1.81</v>
      </c>
      <c r="T1258">
        <v>11.61</v>
      </c>
      <c r="U1258" t="s">
        <v>1094</v>
      </c>
      <c r="V1258" t="s">
        <v>2930</v>
      </c>
      <c r="W1258" t="s">
        <v>7357</v>
      </c>
      <c r="X1258">
        <v>2.1</v>
      </c>
      <c r="Y1258" t="s">
        <v>1853</v>
      </c>
      <c r="Z1258" t="s">
        <v>1853</v>
      </c>
      <c r="AA1258">
        <v>0</v>
      </c>
      <c r="AB1258">
        <v>5.24</v>
      </c>
      <c r="AC1258" t="s">
        <v>561</v>
      </c>
      <c r="AD1258">
        <v>73.400000000000006</v>
      </c>
      <c r="AE1258" t="s">
        <v>139</v>
      </c>
      <c r="AF1258">
        <v>2.69</v>
      </c>
      <c r="AG1258">
        <v>0</v>
      </c>
      <c r="AH1258">
        <v>0</v>
      </c>
      <c r="AI1258" s="4">
        <v>43098</v>
      </c>
    </row>
    <row r="1259" spans="1:35">
      <c r="A1259">
        <v>1258</v>
      </c>
      <c r="B1259" t="str">
        <f>"600547"</f>
        <v>600547</v>
      </c>
      <c r="C1259" t="s">
        <v>7358</v>
      </c>
      <c r="D1259" s="4">
        <v>43190</v>
      </c>
      <c r="E1259" t="s">
        <v>891</v>
      </c>
      <c r="F1259" t="s">
        <v>263</v>
      </c>
      <c r="G1259">
        <v>8180</v>
      </c>
      <c r="H1259">
        <v>0.19</v>
      </c>
      <c r="I1259">
        <v>8.93</v>
      </c>
      <c r="J1259">
        <v>2.1</v>
      </c>
      <c r="K1259" t="s">
        <v>1753</v>
      </c>
      <c r="L1259">
        <v>41.58</v>
      </c>
      <c r="M1259" t="s">
        <v>2230</v>
      </c>
      <c r="N1259" t="s">
        <v>7359</v>
      </c>
      <c r="O1259" t="s">
        <v>1243</v>
      </c>
      <c r="P1259" t="s">
        <v>597</v>
      </c>
      <c r="Q1259">
        <v>5.92</v>
      </c>
      <c r="R1259" t="s">
        <v>232</v>
      </c>
      <c r="S1259">
        <v>5.37</v>
      </c>
      <c r="T1259">
        <v>8.5399999999999991</v>
      </c>
      <c r="U1259" t="s">
        <v>7360</v>
      </c>
      <c r="V1259" t="s">
        <v>5268</v>
      </c>
      <c r="W1259" t="s">
        <v>1550</v>
      </c>
      <c r="X1259">
        <v>2.1</v>
      </c>
      <c r="Y1259" t="s">
        <v>3748</v>
      </c>
      <c r="Z1259" t="s">
        <v>315</v>
      </c>
      <c r="AA1259" t="s">
        <v>311</v>
      </c>
      <c r="AB1259">
        <v>2.81</v>
      </c>
      <c r="AC1259" t="s">
        <v>2050</v>
      </c>
      <c r="AD1259">
        <v>39.6</v>
      </c>
      <c r="AE1259" t="s">
        <v>2694</v>
      </c>
      <c r="AF1259">
        <v>2.27</v>
      </c>
      <c r="AG1259">
        <v>0</v>
      </c>
      <c r="AH1259">
        <v>0</v>
      </c>
      <c r="AI1259" s="4">
        <v>37861</v>
      </c>
    </row>
    <row r="1260" spans="1:35">
      <c r="A1260">
        <v>1259</v>
      </c>
      <c r="B1260" t="str">
        <f>"600466"</f>
        <v>600466</v>
      </c>
      <c r="C1260" t="s">
        <v>7361</v>
      </c>
      <c r="D1260" s="4">
        <v>43190</v>
      </c>
      <c r="E1260" t="s">
        <v>1205</v>
      </c>
      <c r="F1260" t="s">
        <v>1350</v>
      </c>
      <c r="G1260" t="s">
        <v>3746</v>
      </c>
      <c r="H1260">
        <v>0.1</v>
      </c>
      <c r="I1260">
        <v>3.34</v>
      </c>
      <c r="J1260">
        <v>2.1</v>
      </c>
      <c r="K1260" t="s">
        <v>1488</v>
      </c>
      <c r="L1260">
        <v>0.62</v>
      </c>
      <c r="M1260" t="s">
        <v>2224</v>
      </c>
      <c r="N1260" t="s">
        <v>7362</v>
      </c>
      <c r="O1260" t="s">
        <v>2665</v>
      </c>
      <c r="P1260" t="s">
        <v>1206</v>
      </c>
      <c r="Q1260">
        <v>152.79</v>
      </c>
      <c r="R1260" t="s">
        <v>5646</v>
      </c>
      <c r="S1260">
        <v>1.91</v>
      </c>
      <c r="T1260">
        <v>32.159999999999997</v>
      </c>
      <c r="U1260" t="s">
        <v>7363</v>
      </c>
      <c r="V1260" t="s">
        <v>4625</v>
      </c>
      <c r="W1260" t="s">
        <v>521</v>
      </c>
      <c r="X1260">
        <v>2.1</v>
      </c>
      <c r="Y1260" t="s">
        <v>7364</v>
      </c>
      <c r="Z1260" t="s">
        <v>3413</v>
      </c>
      <c r="AA1260" t="s">
        <v>1811</v>
      </c>
      <c r="AB1260">
        <v>2.06</v>
      </c>
      <c r="AC1260" t="s">
        <v>587</v>
      </c>
      <c r="AD1260">
        <v>15.41</v>
      </c>
      <c r="AE1260" t="s">
        <v>624</v>
      </c>
      <c r="AF1260">
        <v>0.18</v>
      </c>
      <c r="AG1260">
        <v>0</v>
      </c>
      <c r="AH1260">
        <v>0</v>
      </c>
      <c r="AI1260" s="4">
        <v>36934</v>
      </c>
    </row>
    <row r="1261" spans="1:35">
      <c r="A1261">
        <v>1260</v>
      </c>
      <c r="B1261" t="str">
        <f>"300389"</f>
        <v>300389</v>
      </c>
      <c r="C1261" t="s">
        <v>7365</v>
      </c>
      <c r="D1261" s="4">
        <v>43190</v>
      </c>
      <c r="E1261" t="s">
        <v>824</v>
      </c>
      <c r="F1261" t="s">
        <v>2031</v>
      </c>
      <c r="G1261" t="s">
        <v>950</v>
      </c>
      <c r="H1261">
        <v>7.0000000000000007E-2</v>
      </c>
      <c r="I1261">
        <v>3.25</v>
      </c>
      <c r="J1261">
        <v>2.1</v>
      </c>
      <c r="K1261" t="s">
        <v>1967</v>
      </c>
      <c r="L1261">
        <v>69.37</v>
      </c>
      <c r="M1261" t="s">
        <v>7366</v>
      </c>
      <c r="N1261" t="s">
        <v>7367</v>
      </c>
      <c r="O1261" t="s">
        <v>7368</v>
      </c>
      <c r="P1261" t="s">
        <v>6116</v>
      </c>
      <c r="Q1261">
        <v>72.37</v>
      </c>
      <c r="R1261" t="s">
        <v>2580</v>
      </c>
      <c r="S1261">
        <v>1.79</v>
      </c>
      <c r="T1261">
        <v>36.409999999999997</v>
      </c>
      <c r="U1261" t="s">
        <v>775</v>
      </c>
      <c r="V1261" t="s">
        <v>973</v>
      </c>
      <c r="W1261" t="s">
        <v>344</v>
      </c>
      <c r="X1261">
        <v>2.1</v>
      </c>
      <c r="Y1261" t="s">
        <v>5203</v>
      </c>
      <c r="Z1261" t="s">
        <v>1319</v>
      </c>
      <c r="AA1261" t="s">
        <v>7369</v>
      </c>
      <c r="AB1261">
        <v>4.9400000000000004</v>
      </c>
      <c r="AC1261" t="s">
        <v>521</v>
      </c>
      <c r="AD1261">
        <v>60.53</v>
      </c>
      <c r="AE1261" t="s">
        <v>7370</v>
      </c>
      <c r="AF1261">
        <v>0.28000000000000003</v>
      </c>
      <c r="AG1261">
        <v>0</v>
      </c>
      <c r="AH1261">
        <v>0</v>
      </c>
      <c r="AI1261" s="4">
        <v>41852</v>
      </c>
    </row>
    <row r="1262" spans="1:35">
      <c r="A1262">
        <v>1261</v>
      </c>
      <c r="B1262" t="str">
        <f>"300194"</f>
        <v>300194</v>
      </c>
      <c r="C1262" t="s">
        <v>7371</v>
      </c>
      <c r="D1262" s="4">
        <v>43190</v>
      </c>
      <c r="E1262" t="s">
        <v>1033</v>
      </c>
      <c r="F1262" t="s">
        <v>2647</v>
      </c>
      <c r="G1262" t="s">
        <v>755</v>
      </c>
      <c r="H1262">
        <v>7.0000000000000007E-2</v>
      </c>
      <c r="I1262">
        <v>3.48</v>
      </c>
      <c r="J1262">
        <v>2.1</v>
      </c>
      <c r="K1262" t="s">
        <v>1608</v>
      </c>
      <c r="L1262">
        <v>69.48</v>
      </c>
      <c r="M1262" t="s">
        <v>1119</v>
      </c>
      <c r="N1262" t="s">
        <v>7372</v>
      </c>
      <c r="O1262" t="s">
        <v>198</v>
      </c>
      <c r="P1262" t="s">
        <v>7373</v>
      </c>
      <c r="Q1262">
        <v>-1.49</v>
      </c>
      <c r="R1262" t="s">
        <v>805</v>
      </c>
      <c r="S1262">
        <v>0.56000000000000005</v>
      </c>
      <c r="T1262">
        <v>64.290000000000006</v>
      </c>
      <c r="U1262" t="s">
        <v>1715</v>
      </c>
      <c r="V1262" t="s">
        <v>1062</v>
      </c>
      <c r="W1262" t="s">
        <v>2414</v>
      </c>
      <c r="X1262">
        <v>2.1</v>
      </c>
      <c r="Y1262" t="s">
        <v>633</v>
      </c>
      <c r="Z1262" t="s">
        <v>1483</v>
      </c>
      <c r="AA1262" t="s">
        <v>7374</v>
      </c>
      <c r="AB1262">
        <v>1.37</v>
      </c>
      <c r="AC1262" t="s">
        <v>2105</v>
      </c>
      <c r="AD1262">
        <v>88.44</v>
      </c>
      <c r="AE1262" t="s">
        <v>261</v>
      </c>
      <c r="AF1262">
        <v>1.88</v>
      </c>
      <c r="AG1262">
        <v>0</v>
      </c>
      <c r="AH1262">
        <v>0</v>
      </c>
      <c r="AI1262" s="4">
        <v>40624</v>
      </c>
    </row>
    <row r="1263" spans="1:35">
      <c r="A1263">
        <v>1262</v>
      </c>
      <c r="B1263" t="str">
        <f>"002180"</f>
        <v>002180</v>
      </c>
      <c r="C1263" t="s">
        <v>7375</v>
      </c>
      <c r="D1263" s="4">
        <v>43190</v>
      </c>
      <c r="E1263" t="s">
        <v>521</v>
      </c>
      <c r="F1263" t="s">
        <v>116</v>
      </c>
      <c r="G1263" t="s">
        <v>7376</v>
      </c>
      <c r="H1263">
        <v>0.08</v>
      </c>
      <c r="I1263">
        <v>3.8</v>
      </c>
      <c r="J1263">
        <v>2.1</v>
      </c>
      <c r="K1263" t="s">
        <v>1923</v>
      </c>
      <c r="L1263">
        <v>-3.51</v>
      </c>
      <c r="M1263" t="s">
        <v>7377</v>
      </c>
      <c r="N1263" t="s">
        <v>5948</v>
      </c>
      <c r="O1263" t="s">
        <v>7378</v>
      </c>
      <c r="P1263" t="s">
        <v>7379</v>
      </c>
      <c r="Q1263">
        <v>109.92</v>
      </c>
      <c r="R1263" t="s">
        <v>820</v>
      </c>
      <c r="S1263">
        <v>1.6</v>
      </c>
      <c r="T1263">
        <v>36.58</v>
      </c>
      <c r="U1263" t="s">
        <v>7380</v>
      </c>
      <c r="V1263" t="s">
        <v>3265</v>
      </c>
      <c r="W1263" t="s">
        <v>1158</v>
      </c>
      <c r="X1263">
        <v>2.1</v>
      </c>
      <c r="Y1263" t="s">
        <v>439</v>
      </c>
      <c r="Z1263" t="s">
        <v>525</v>
      </c>
      <c r="AA1263" t="s">
        <v>1146</v>
      </c>
      <c r="AB1263">
        <v>7.46</v>
      </c>
      <c r="AC1263" t="s">
        <v>1305</v>
      </c>
      <c r="AD1263">
        <v>11.98</v>
      </c>
      <c r="AE1263" t="s">
        <v>298</v>
      </c>
      <c r="AF1263">
        <v>1.56</v>
      </c>
      <c r="AG1263">
        <v>0</v>
      </c>
      <c r="AH1263">
        <v>0</v>
      </c>
      <c r="AI1263" s="4">
        <v>39399</v>
      </c>
    </row>
    <row r="1264" spans="1:35">
      <c r="A1264">
        <v>1263</v>
      </c>
      <c r="B1264" t="str">
        <f>"600843"</f>
        <v>600843</v>
      </c>
      <c r="C1264" t="s">
        <v>7381</v>
      </c>
      <c r="D1264" s="4">
        <v>43190</v>
      </c>
      <c r="E1264" t="s">
        <v>2413</v>
      </c>
      <c r="F1264" t="s">
        <v>342</v>
      </c>
      <c r="G1264">
        <v>9155</v>
      </c>
      <c r="H1264">
        <v>0.08</v>
      </c>
      <c r="I1264">
        <v>3.97</v>
      </c>
      <c r="J1264">
        <v>2.1</v>
      </c>
      <c r="K1264" t="s">
        <v>5415</v>
      </c>
      <c r="L1264">
        <v>-3.38</v>
      </c>
      <c r="M1264" t="s">
        <v>7382</v>
      </c>
      <c r="N1264" t="s">
        <v>7383</v>
      </c>
      <c r="O1264" t="s">
        <v>7384</v>
      </c>
      <c r="P1264" t="s">
        <v>6622</v>
      </c>
      <c r="Q1264">
        <v>-24.65</v>
      </c>
      <c r="R1264" t="s">
        <v>3234</v>
      </c>
      <c r="S1264">
        <v>1.34</v>
      </c>
      <c r="T1264">
        <v>31.49</v>
      </c>
      <c r="U1264" t="s">
        <v>2871</v>
      </c>
      <c r="V1264" t="s">
        <v>306</v>
      </c>
      <c r="W1264" t="s">
        <v>750</v>
      </c>
      <c r="X1264">
        <v>2.1</v>
      </c>
      <c r="Y1264" t="s">
        <v>264</v>
      </c>
      <c r="Z1264" t="s">
        <v>3757</v>
      </c>
      <c r="AA1264" t="s">
        <v>707</v>
      </c>
      <c r="AB1264">
        <v>2.08</v>
      </c>
      <c r="AC1264" t="s">
        <v>789</v>
      </c>
      <c r="AD1264">
        <v>58.86</v>
      </c>
      <c r="AE1264" t="s">
        <v>77</v>
      </c>
      <c r="AF1264">
        <v>1.76</v>
      </c>
      <c r="AG1264" t="s">
        <v>474</v>
      </c>
      <c r="AH1264">
        <v>0</v>
      </c>
      <c r="AI1264" s="4">
        <v>34404</v>
      </c>
    </row>
    <row r="1265" spans="1:35">
      <c r="A1265">
        <v>1264</v>
      </c>
      <c r="B1265" t="str">
        <f>"600252"</f>
        <v>600252</v>
      </c>
      <c r="C1265" t="s">
        <v>7385</v>
      </c>
      <c r="D1265" s="4">
        <v>43190</v>
      </c>
      <c r="E1265" t="s">
        <v>312</v>
      </c>
      <c r="F1265" t="s">
        <v>312</v>
      </c>
      <c r="G1265" t="s">
        <v>2775</v>
      </c>
      <c r="H1265">
        <v>0.03</v>
      </c>
      <c r="I1265">
        <v>1.57</v>
      </c>
      <c r="J1265">
        <v>2.09</v>
      </c>
      <c r="K1265" t="s">
        <v>1117</v>
      </c>
      <c r="L1265">
        <v>62.75</v>
      </c>
      <c r="M1265" t="s">
        <v>2306</v>
      </c>
      <c r="N1265" t="s">
        <v>7386</v>
      </c>
      <c r="O1265" t="s">
        <v>2306</v>
      </c>
      <c r="P1265" t="s">
        <v>1626</v>
      </c>
      <c r="Q1265">
        <v>-19.309999999999999</v>
      </c>
      <c r="R1265" t="s">
        <v>833</v>
      </c>
      <c r="S1265">
        <v>0.38</v>
      </c>
      <c r="T1265">
        <v>88.08</v>
      </c>
      <c r="U1265" t="s">
        <v>575</v>
      </c>
      <c r="V1265" t="s">
        <v>1225</v>
      </c>
      <c r="W1265" t="s">
        <v>1033</v>
      </c>
      <c r="X1265">
        <v>2.09</v>
      </c>
      <c r="Y1265" t="s">
        <v>1082</v>
      </c>
      <c r="Z1265" t="s">
        <v>1223</v>
      </c>
      <c r="AA1265" t="s">
        <v>1202</v>
      </c>
      <c r="AB1265">
        <v>1.86</v>
      </c>
      <c r="AC1265" t="s">
        <v>6982</v>
      </c>
      <c r="AD1265">
        <v>81.58</v>
      </c>
      <c r="AE1265" t="s">
        <v>7387</v>
      </c>
      <c r="AF1265">
        <v>0.02</v>
      </c>
      <c r="AG1265">
        <v>0</v>
      </c>
      <c r="AH1265">
        <v>0</v>
      </c>
      <c r="AI1265" s="4">
        <v>36860</v>
      </c>
    </row>
    <row r="1266" spans="1:35">
      <c r="A1266">
        <v>1265</v>
      </c>
      <c r="B1266" t="str">
        <f>"600033"</f>
        <v>600033</v>
      </c>
      <c r="C1266" t="s">
        <v>7388</v>
      </c>
      <c r="D1266" s="4">
        <v>43190</v>
      </c>
      <c r="E1266" t="s">
        <v>725</v>
      </c>
      <c r="F1266" t="s">
        <v>725</v>
      </c>
      <c r="G1266" t="s">
        <v>1179</v>
      </c>
      <c r="H1266">
        <v>7.0000000000000007E-2</v>
      </c>
      <c r="I1266">
        <v>3.11</v>
      </c>
      <c r="J1266">
        <v>2.09</v>
      </c>
      <c r="K1266" t="s">
        <v>857</v>
      </c>
      <c r="L1266">
        <v>4.43</v>
      </c>
      <c r="M1266" t="s">
        <v>144</v>
      </c>
      <c r="N1266" t="s">
        <v>7389</v>
      </c>
      <c r="O1266" t="s">
        <v>47</v>
      </c>
      <c r="P1266" t="s">
        <v>37</v>
      </c>
      <c r="Q1266">
        <v>-14.56</v>
      </c>
      <c r="R1266" t="s">
        <v>816</v>
      </c>
      <c r="S1266">
        <v>1.17</v>
      </c>
      <c r="T1266">
        <v>67.19</v>
      </c>
      <c r="U1266" t="s">
        <v>928</v>
      </c>
      <c r="V1266" t="s">
        <v>391</v>
      </c>
      <c r="W1266" t="s">
        <v>1741</v>
      </c>
      <c r="X1266">
        <v>2.09</v>
      </c>
      <c r="Y1266" t="s">
        <v>400</v>
      </c>
      <c r="Z1266" t="s">
        <v>1593</v>
      </c>
      <c r="AA1266" t="s">
        <v>1248</v>
      </c>
      <c r="AB1266">
        <v>1</v>
      </c>
      <c r="AC1266" t="s">
        <v>933</v>
      </c>
      <c r="AD1266">
        <v>49.8</v>
      </c>
      <c r="AE1266" t="s">
        <v>298</v>
      </c>
      <c r="AF1266">
        <v>0.61</v>
      </c>
      <c r="AG1266">
        <v>0</v>
      </c>
      <c r="AH1266">
        <v>0</v>
      </c>
      <c r="AI1266" s="4">
        <v>36931</v>
      </c>
    </row>
    <row r="1267" spans="1:35">
      <c r="A1267">
        <v>1266</v>
      </c>
      <c r="B1267" t="str">
        <f>"002881"</f>
        <v>002881</v>
      </c>
      <c r="C1267" t="s">
        <v>7390</v>
      </c>
      <c r="D1267" s="4">
        <v>43190</v>
      </c>
      <c r="E1267" t="s">
        <v>1288</v>
      </c>
      <c r="F1267" t="s">
        <v>2157</v>
      </c>
      <c r="G1267">
        <v>1672</v>
      </c>
      <c r="H1267">
        <v>0.06</v>
      </c>
      <c r="I1267">
        <v>2.72</v>
      </c>
      <c r="J1267">
        <v>2.09</v>
      </c>
      <c r="K1267" t="s">
        <v>1525</v>
      </c>
      <c r="L1267">
        <v>16.18</v>
      </c>
      <c r="M1267" t="s">
        <v>6697</v>
      </c>
      <c r="N1267" t="s">
        <v>5044</v>
      </c>
      <c r="O1267" t="s">
        <v>6948</v>
      </c>
      <c r="P1267" t="s">
        <v>7064</v>
      </c>
      <c r="Q1267">
        <v>45.25</v>
      </c>
      <c r="R1267" t="s">
        <v>711</v>
      </c>
      <c r="S1267">
        <v>0.7</v>
      </c>
      <c r="T1267">
        <v>24.68</v>
      </c>
      <c r="U1267" t="s">
        <v>1978</v>
      </c>
      <c r="V1267" t="s">
        <v>1872</v>
      </c>
      <c r="W1267" t="s">
        <v>7391</v>
      </c>
      <c r="X1267">
        <v>2.09</v>
      </c>
      <c r="Y1267" t="s">
        <v>325</v>
      </c>
      <c r="Z1267" t="s">
        <v>342</v>
      </c>
      <c r="AA1267" t="s">
        <v>7392</v>
      </c>
      <c r="AB1267">
        <v>6.98</v>
      </c>
      <c r="AC1267" t="s">
        <v>1018</v>
      </c>
      <c r="AD1267">
        <v>62.02</v>
      </c>
      <c r="AE1267" t="s">
        <v>219</v>
      </c>
      <c r="AF1267">
        <v>0.95</v>
      </c>
      <c r="AG1267">
        <v>0</v>
      </c>
      <c r="AH1267">
        <v>0</v>
      </c>
      <c r="AI1267" s="4">
        <v>42908</v>
      </c>
    </row>
    <row r="1268" spans="1:35">
      <c r="A1268">
        <v>1267</v>
      </c>
      <c r="B1268" t="str">
        <f>"002872"</f>
        <v>002872</v>
      </c>
      <c r="C1268" t="s">
        <v>7393</v>
      </c>
      <c r="D1268" s="4">
        <v>43190</v>
      </c>
      <c r="E1268" t="s">
        <v>1011</v>
      </c>
      <c r="F1268" t="s">
        <v>326</v>
      </c>
      <c r="G1268">
        <v>1950</v>
      </c>
      <c r="H1268">
        <v>0.31</v>
      </c>
      <c r="I1268">
        <v>15.08</v>
      </c>
      <c r="J1268">
        <v>2.09</v>
      </c>
      <c r="K1268" t="s">
        <v>661</v>
      </c>
      <c r="L1268">
        <v>16.29</v>
      </c>
      <c r="M1268" t="s">
        <v>7394</v>
      </c>
      <c r="N1268" t="s">
        <v>6599</v>
      </c>
      <c r="O1268" t="s">
        <v>7395</v>
      </c>
      <c r="P1268" t="s">
        <v>7245</v>
      </c>
      <c r="Q1268">
        <v>18.670000000000002</v>
      </c>
      <c r="R1268" t="s">
        <v>924</v>
      </c>
      <c r="S1268">
        <v>6.34</v>
      </c>
      <c r="T1268">
        <v>26.28</v>
      </c>
      <c r="U1268" t="s">
        <v>2447</v>
      </c>
      <c r="V1268" t="s">
        <v>159</v>
      </c>
      <c r="W1268" t="s">
        <v>300</v>
      </c>
      <c r="X1268">
        <v>2.09</v>
      </c>
      <c r="Y1268" t="s">
        <v>754</v>
      </c>
      <c r="Z1268" t="s">
        <v>1792</v>
      </c>
      <c r="AA1268" t="s">
        <v>122</v>
      </c>
      <c r="AB1268">
        <v>2.06</v>
      </c>
      <c r="AC1268" t="s">
        <v>1054</v>
      </c>
      <c r="AD1268">
        <v>62.97</v>
      </c>
      <c r="AE1268" t="s">
        <v>833</v>
      </c>
      <c r="AF1268">
        <v>7.26</v>
      </c>
      <c r="AG1268">
        <v>0</v>
      </c>
      <c r="AH1268">
        <v>0</v>
      </c>
      <c r="AI1268" s="4">
        <v>42874</v>
      </c>
    </row>
    <row r="1269" spans="1:35">
      <c r="A1269">
        <v>1268</v>
      </c>
      <c r="B1269" t="str">
        <f>"002619"</f>
        <v>002619</v>
      </c>
      <c r="C1269" t="s">
        <v>7396</v>
      </c>
      <c r="D1269" s="4">
        <v>43190</v>
      </c>
      <c r="E1269" t="s">
        <v>980</v>
      </c>
      <c r="F1269" t="s">
        <v>538</v>
      </c>
      <c r="G1269" t="s">
        <v>6102</v>
      </c>
      <c r="H1269">
        <v>7.0000000000000007E-2</v>
      </c>
      <c r="I1269">
        <v>3.22</v>
      </c>
      <c r="J1269">
        <v>2.09</v>
      </c>
      <c r="K1269" t="s">
        <v>1597</v>
      </c>
      <c r="L1269">
        <v>40.869999999999997</v>
      </c>
      <c r="M1269" t="s">
        <v>1365</v>
      </c>
      <c r="N1269" t="s">
        <v>7397</v>
      </c>
      <c r="O1269" t="s">
        <v>1365</v>
      </c>
      <c r="P1269" t="s">
        <v>2360</v>
      </c>
      <c r="Q1269">
        <v>122.55</v>
      </c>
      <c r="R1269" t="s">
        <v>1065</v>
      </c>
      <c r="S1269">
        <v>0.53</v>
      </c>
      <c r="T1269">
        <v>85.07</v>
      </c>
      <c r="U1269" t="s">
        <v>797</v>
      </c>
      <c r="V1269" t="s">
        <v>1704</v>
      </c>
      <c r="W1269" t="s">
        <v>7398</v>
      </c>
      <c r="X1269">
        <v>2.09</v>
      </c>
      <c r="Y1269" t="s">
        <v>759</v>
      </c>
      <c r="Z1269" t="s">
        <v>141</v>
      </c>
      <c r="AA1269" t="s">
        <v>7399</v>
      </c>
      <c r="AB1269">
        <v>1.19</v>
      </c>
      <c r="AC1269" t="s">
        <v>3982</v>
      </c>
      <c r="AD1269">
        <v>79.959999999999994</v>
      </c>
      <c r="AE1269" t="s">
        <v>2071</v>
      </c>
      <c r="AF1269">
        <v>1.68</v>
      </c>
      <c r="AG1269">
        <v>0</v>
      </c>
      <c r="AH1269">
        <v>0</v>
      </c>
      <c r="AI1269" s="4">
        <v>40815</v>
      </c>
    </row>
    <row r="1270" spans="1:35">
      <c r="A1270">
        <v>1269</v>
      </c>
      <c r="B1270" t="str">
        <f>"600900"</f>
        <v>600900</v>
      </c>
      <c r="C1270" t="s">
        <v>7400</v>
      </c>
      <c r="D1270" s="4">
        <v>43190</v>
      </c>
      <c r="E1270" t="s">
        <v>5503</v>
      </c>
      <c r="F1270" t="s">
        <v>689</v>
      </c>
      <c r="G1270" t="s">
        <v>7401</v>
      </c>
      <c r="H1270">
        <v>0.13</v>
      </c>
      <c r="I1270">
        <v>6.26</v>
      </c>
      <c r="J1270">
        <v>2.08</v>
      </c>
      <c r="K1270" t="s">
        <v>557</v>
      </c>
      <c r="L1270">
        <v>3.75</v>
      </c>
      <c r="M1270" t="s">
        <v>1391</v>
      </c>
      <c r="N1270" t="s">
        <v>476</v>
      </c>
      <c r="O1270" t="s">
        <v>1391</v>
      </c>
      <c r="P1270" t="s">
        <v>356</v>
      </c>
      <c r="Q1270">
        <v>4.59</v>
      </c>
      <c r="R1270" t="s">
        <v>7402</v>
      </c>
      <c r="S1270">
        <v>2.1</v>
      </c>
      <c r="T1270">
        <v>47.98</v>
      </c>
      <c r="U1270" t="s">
        <v>7403</v>
      </c>
      <c r="V1270" t="s">
        <v>1485</v>
      </c>
      <c r="W1270" t="s">
        <v>7404</v>
      </c>
      <c r="X1270">
        <v>2.08</v>
      </c>
      <c r="Y1270" t="s">
        <v>2546</v>
      </c>
      <c r="Z1270" t="s">
        <v>7405</v>
      </c>
      <c r="AA1270" t="s">
        <v>7406</v>
      </c>
      <c r="AB1270">
        <v>2.82</v>
      </c>
      <c r="AC1270" t="s">
        <v>2343</v>
      </c>
      <c r="AD1270">
        <v>46.34</v>
      </c>
      <c r="AE1270" t="s">
        <v>5236</v>
      </c>
      <c r="AF1270">
        <v>2.0099999999999998</v>
      </c>
      <c r="AG1270">
        <v>0</v>
      </c>
      <c r="AH1270">
        <v>0</v>
      </c>
      <c r="AI1270" s="4">
        <v>37943</v>
      </c>
    </row>
    <row r="1271" spans="1:35">
      <c r="A1271">
        <v>1270</v>
      </c>
      <c r="B1271" t="str">
        <f>"600874"</f>
        <v>600874</v>
      </c>
      <c r="C1271" t="s">
        <v>7407</v>
      </c>
      <c r="D1271" s="4">
        <v>43190</v>
      </c>
      <c r="E1271" t="s">
        <v>162</v>
      </c>
      <c r="F1271" t="s">
        <v>1223</v>
      </c>
      <c r="G1271">
        <v>9192</v>
      </c>
      <c r="H1271">
        <v>0.08</v>
      </c>
      <c r="I1271">
        <v>3.78</v>
      </c>
      <c r="J1271">
        <v>2.08</v>
      </c>
      <c r="K1271" t="s">
        <v>1483</v>
      </c>
      <c r="L1271">
        <v>1</v>
      </c>
      <c r="M1271" t="s">
        <v>3111</v>
      </c>
      <c r="N1271">
        <v>0</v>
      </c>
      <c r="O1271" t="s">
        <v>2424</v>
      </c>
      <c r="P1271" t="s">
        <v>600</v>
      </c>
      <c r="Q1271">
        <v>-8.19</v>
      </c>
      <c r="R1271" t="s">
        <v>2071</v>
      </c>
      <c r="S1271">
        <v>2.17</v>
      </c>
      <c r="T1271">
        <v>38.35</v>
      </c>
      <c r="U1271" t="s">
        <v>794</v>
      </c>
      <c r="V1271" t="s">
        <v>3016</v>
      </c>
      <c r="W1271" t="s">
        <v>137</v>
      </c>
      <c r="X1271">
        <v>2.08</v>
      </c>
      <c r="Y1271" t="s">
        <v>438</v>
      </c>
      <c r="Z1271" t="s">
        <v>1252</v>
      </c>
      <c r="AA1271" t="s">
        <v>893</v>
      </c>
      <c r="AB1271">
        <v>2.4</v>
      </c>
      <c r="AC1271" t="s">
        <v>2167</v>
      </c>
      <c r="AD1271">
        <v>40.299999999999997</v>
      </c>
      <c r="AE1271" t="s">
        <v>267</v>
      </c>
      <c r="AF1271">
        <v>0.28000000000000003</v>
      </c>
      <c r="AG1271">
        <v>0</v>
      </c>
      <c r="AH1271" t="s">
        <v>344</v>
      </c>
      <c r="AI1271" s="4">
        <v>34880</v>
      </c>
    </row>
    <row r="1272" spans="1:35">
      <c r="A1272">
        <v>1271</v>
      </c>
      <c r="B1272" t="str">
        <f>"600170"</f>
        <v>600170</v>
      </c>
      <c r="C1272" t="s">
        <v>7408</v>
      </c>
      <c r="D1272" s="4">
        <v>43190</v>
      </c>
      <c r="E1272" t="s">
        <v>4810</v>
      </c>
      <c r="F1272" t="s">
        <v>2641</v>
      </c>
      <c r="G1272" t="s">
        <v>7409</v>
      </c>
      <c r="H1272">
        <v>0.06</v>
      </c>
      <c r="I1272">
        <v>2.59</v>
      </c>
      <c r="J1272">
        <v>2.08</v>
      </c>
      <c r="K1272" t="s">
        <v>2065</v>
      </c>
      <c r="L1272">
        <v>16.440000000000001</v>
      </c>
      <c r="M1272" t="s">
        <v>3651</v>
      </c>
      <c r="N1272" t="s">
        <v>7410</v>
      </c>
      <c r="O1272" t="s">
        <v>6611</v>
      </c>
      <c r="P1272" t="s">
        <v>1799</v>
      </c>
      <c r="Q1272">
        <v>5.72</v>
      </c>
      <c r="R1272" t="s">
        <v>586</v>
      </c>
      <c r="S1272">
        <v>1.08</v>
      </c>
      <c r="T1272">
        <v>11.55</v>
      </c>
      <c r="U1272" t="s">
        <v>7411</v>
      </c>
      <c r="V1272" t="s">
        <v>7412</v>
      </c>
      <c r="W1272" t="s">
        <v>688</v>
      </c>
      <c r="X1272">
        <v>2.08</v>
      </c>
      <c r="Y1272" t="s">
        <v>7413</v>
      </c>
      <c r="Z1272" t="s">
        <v>7414</v>
      </c>
      <c r="AA1272" t="s">
        <v>3594</v>
      </c>
      <c r="AB1272">
        <v>1.1599999999999999</v>
      </c>
      <c r="AC1272" t="s">
        <v>2021</v>
      </c>
      <c r="AD1272">
        <v>14.32</v>
      </c>
      <c r="AE1272" t="s">
        <v>1029</v>
      </c>
      <c r="AF1272">
        <v>0.26</v>
      </c>
      <c r="AG1272">
        <v>0</v>
      </c>
      <c r="AH1272">
        <v>0</v>
      </c>
      <c r="AI1272" s="4">
        <v>35969</v>
      </c>
    </row>
    <row r="1273" spans="1:35">
      <c r="A1273">
        <v>1272</v>
      </c>
      <c r="B1273" t="str">
        <f>"600157"</f>
        <v>600157</v>
      </c>
      <c r="C1273" t="s">
        <v>7415</v>
      </c>
      <c r="D1273" s="4">
        <v>43190</v>
      </c>
      <c r="E1273" t="s">
        <v>410</v>
      </c>
      <c r="F1273" t="s">
        <v>410</v>
      </c>
      <c r="G1273" t="s">
        <v>7416</v>
      </c>
      <c r="H1273">
        <v>0.04</v>
      </c>
      <c r="I1273">
        <v>1.99</v>
      </c>
      <c r="J1273">
        <v>2.08</v>
      </c>
      <c r="K1273" t="s">
        <v>551</v>
      </c>
      <c r="L1273">
        <v>-12.19</v>
      </c>
      <c r="M1273" t="s">
        <v>1276</v>
      </c>
      <c r="N1273" t="s">
        <v>2149</v>
      </c>
      <c r="O1273" t="s">
        <v>1276</v>
      </c>
      <c r="P1273" t="s">
        <v>1309</v>
      </c>
      <c r="Q1273">
        <v>378.51</v>
      </c>
      <c r="R1273" t="s">
        <v>1329</v>
      </c>
      <c r="S1273">
        <v>0.23</v>
      </c>
      <c r="T1273">
        <v>24.87</v>
      </c>
      <c r="U1273" t="s">
        <v>5545</v>
      </c>
      <c r="V1273" t="s">
        <v>4304</v>
      </c>
      <c r="W1273" t="s">
        <v>1153</v>
      </c>
      <c r="X1273">
        <v>2.08</v>
      </c>
      <c r="Y1273" t="s">
        <v>7417</v>
      </c>
      <c r="Z1273" t="s">
        <v>1271</v>
      </c>
      <c r="AA1273" t="s">
        <v>5945</v>
      </c>
      <c r="AB1273">
        <v>0.81</v>
      </c>
      <c r="AC1273" t="s">
        <v>2543</v>
      </c>
      <c r="AD1273">
        <v>23.11</v>
      </c>
      <c r="AE1273" t="s">
        <v>1311</v>
      </c>
      <c r="AF1273">
        <v>0.75</v>
      </c>
      <c r="AG1273">
        <v>0</v>
      </c>
      <c r="AH1273">
        <v>0</v>
      </c>
      <c r="AI1273" s="4">
        <v>35928</v>
      </c>
    </row>
    <row r="1274" spans="1:35">
      <c r="A1274">
        <v>1273</v>
      </c>
      <c r="B1274" t="str">
        <f>"300037"</f>
        <v>300037</v>
      </c>
      <c r="C1274" t="s">
        <v>7418</v>
      </c>
      <c r="D1274" s="4">
        <v>43190</v>
      </c>
      <c r="E1274" t="s">
        <v>2665</v>
      </c>
      <c r="F1274" t="s">
        <v>474</v>
      </c>
      <c r="G1274">
        <v>8596</v>
      </c>
      <c r="H1274">
        <v>0.14000000000000001</v>
      </c>
      <c r="I1274">
        <v>6.5</v>
      </c>
      <c r="J1274">
        <v>2.08</v>
      </c>
      <c r="K1274" t="s">
        <v>3321</v>
      </c>
      <c r="L1274">
        <v>15.84</v>
      </c>
      <c r="M1274" t="s">
        <v>7419</v>
      </c>
      <c r="N1274" t="s">
        <v>7420</v>
      </c>
      <c r="O1274" t="s">
        <v>7421</v>
      </c>
      <c r="P1274" t="s">
        <v>7422</v>
      </c>
      <c r="Q1274">
        <v>-23.33</v>
      </c>
      <c r="R1274" t="s">
        <v>5620</v>
      </c>
      <c r="S1274">
        <v>2.2999999999999998</v>
      </c>
      <c r="T1274">
        <v>32.33</v>
      </c>
      <c r="U1274" t="s">
        <v>2301</v>
      </c>
      <c r="V1274" t="s">
        <v>1000</v>
      </c>
      <c r="W1274" t="s">
        <v>3603</v>
      </c>
      <c r="X1274">
        <v>2.08</v>
      </c>
      <c r="Y1274" t="s">
        <v>176</v>
      </c>
      <c r="Z1274" t="s">
        <v>625</v>
      </c>
      <c r="AA1274" t="s">
        <v>1288</v>
      </c>
      <c r="AB1274">
        <v>3.56</v>
      </c>
      <c r="AC1274" t="s">
        <v>2542</v>
      </c>
      <c r="AD1274">
        <v>64.069999999999993</v>
      </c>
      <c r="AE1274" t="s">
        <v>625</v>
      </c>
      <c r="AF1274">
        <v>3.17</v>
      </c>
      <c r="AG1274">
        <v>0</v>
      </c>
      <c r="AH1274">
        <v>0</v>
      </c>
      <c r="AI1274" s="4">
        <v>40186</v>
      </c>
    </row>
    <row r="1275" spans="1:35">
      <c r="A1275">
        <v>1274</v>
      </c>
      <c r="B1275" t="str">
        <f>"603677"</f>
        <v>603677</v>
      </c>
      <c r="C1275" t="s">
        <v>7423</v>
      </c>
      <c r="D1275" s="4">
        <v>43190</v>
      </c>
      <c r="E1275" t="s">
        <v>1624</v>
      </c>
      <c r="F1275" t="s">
        <v>7424</v>
      </c>
      <c r="G1275">
        <v>6580</v>
      </c>
      <c r="H1275">
        <v>0.09</v>
      </c>
      <c r="I1275">
        <v>4.5</v>
      </c>
      <c r="J1275">
        <v>2.0699999999999998</v>
      </c>
      <c r="K1275" t="s">
        <v>1124</v>
      </c>
      <c r="L1275">
        <v>3.3</v>
      </c>
      <c r="M1275" t="s">
        <v>7425</v>
      </c>
      <c r="N1275" t="s">
        <v>6626</v>
      </c>
      <c r="O1275" t="s">
        <v>6743</v>
      </c>
      <c r="P1275" t="s">
        <v>7426</v>
      </c>
      <c r="Q1275">
        <v>0.83</v>
      </c>
      <c r="R1275" t="s">
        <v>1180</v>
      </c>
      <c r="S1275">
        <v>1.1499999999999999</v>
      </c>
      <c r="T1275">
        <v>19.670000000000002</v>
      </c>
      <c r="U1275" t="s">
        <v>263</v>
      </c>
      <c r="V1275" t="s">
        <v>2678</v>
      </c>
      <c r="W1275" t="s">
        <v>286</v>
      </c>
      <c r="X1275">
        <v>2.0699999999999998</v>
      </c>
      <c r="Y1275" t="s">
        <v>858</v>
      </c>
      <c r="Z1275" t="s">
        <v>289</v>
      </c>
      <c r="AA1275" t="s">
        <v>7427</v>
      </c>
      <c r="AB1275">
        <v>3.4</v>
      </c>
      <c r="AC1275" t="s">
        <v>1833</v>
      </c>
      <c r="AD1275">
        <v>62.79</v>
      </c>
      <c r="AE1275" t="s">
        <v>734</v>
      </c>
      <c r="AF1275">
        <v>2.48</v>
      </c>
      <c r="AG1275">
        <v>0</v>
      </c>
      <c r="AH1275">
        <v>0</v>
      </c>
      <c r="AI1275" s="4">
        <v>42772</v>
      </c>
    </row>
    <row r="1276" spans="1:35">
      <c r="A1276">
        <v>1275</v>
      </c>
      <c r="B1276" t="str">
        <f>"603668"</f>
        <v>603668</v>
      </c>
      <c r="C1276" t="s">
        <v>7428</v>
      </c>
      <c r="D1276" s="4">
        <v>43190</v>
      </c>
      <c r="E1276" t="s">
        <v>2132</v>
      </c>
      <c r="F1276" t="s">
        <v>383</v>
      </c>
      <c r="G1276">
        <v>7984</v>
      </c>
      <c r="H1276">
        <v>0.06</v>
      </c>
      <c r="I1276">
        <v>2.78</v>
      </c>
      <c r="J1276">
        <v>2.0699999999999998</v>
      </c>
      <c r="K1276" t="s">
        <v>2142</v>
      </c>
      <c r="L1276">
        <v>56</v>
      </c>
      <c r="M1276" t="s">
        <v>7429</v>
      </c>
      <c r="N1276" t="s">
        <v>7430</v>
      </c>
      <c r="O1276" t="s">
        <v>7251</v>
      </c>
      <c r="P1276" t="s">
        <v>5095</v>
      </c>
      <c r="Q1276">
        <v>45.21</v>
      </c>
      <c r="R1276" t="s">
        <v>1810</v>
      </c>
      <c r="S1276">
        <v>0.94</v>
      </c>
      <c r="T1276">
        <v>19.23</v>
      </c>
      <c r="U1276" t="s">
        <v>141</v>
      </c>
      <c r="V1276" t="s">
        <v>4073</v>
      </c>
      <c r="W1276" t="s">
        <v>678</v>
      </c>
      <c r="X1276">
        <v>2.0699999999999998</v>
      </c>
      <c r="Y1276" t="s">
        <v>3490</v>
      </c>
      <c r="Z1276" t="s">
        <v>2674</v>
      </c>
      <c r="AA1276" t="s">
        <v>3018</v>
      </c>
      <c r="AB1276">
        <v>3.47</v>
      </c>
      <c r="AC1276" t="s">
        <v>4041</v>
      </c>
      <c r="AD1276">
        <v>57.28</v>
      </c>
      <c r="AE1276" t="s">
        <v>1202</v>
      </c>
      <c r="AF1276">
        <v>0.6</v>
      </c>
      <c r="AG1276">
        <v>0</v>
      </c>
      <c r="AH1276">
        <v>0</v>
      </c>
      <c r="AI1276" s="4">
        <v>42752</v>
      </c>
    </row>
    <row r="1277" spans="1:35">
      <c r="A1277">
        <v>1276</v>
      </c>
      <c r="B1277" t="str">
        <f>"603030"</f>
        <v>603030</v>
      </c>
      <c r="C1277" t="s">
        <v>7431</v>
      </c>
      <c r="D1277" s="4">
        <v>43190</v>
      </c>
      <c r="E1277" t="s">
        <v>2587</v>
      </c>
      <c r="F1277" t="s">
        <v>289</v>
      </c>
      <c r="G1277" t="s">
        <v>7342</v>
      </c>
      <c r="H1277">
        <v>7.0000000000000007E-2</v>
      </c>
      <c r="I1277">
        <v>3.03</v>
      </c>
      <c r="J1277">
        <v>2.0699999999999998</v>
      </c>
      <c r="K1277" t="s">
        <v>978</v>
      </c>
      <c r="L1277">
        <v>122.61</v>
      </c>
      <c r="M1277" t="s">
        <v>7432</v>
      </c>
      <c r="N1277" t="s">
        <v>3400</v>
      </c>
      <c r="O1277" t="s">
        <v>7433</v>
      </c>
      <c r="P1277" t="s">
        <v>3800</v>
      </c>
      <c r="Q1277">
        <v>119.23</v>
      </c>
      <c r="R1277" t="s">
        <v>1121</v>
      </c>
      <c r="S1277">
        <v>1.05</v>
      </c>
      <c r="T1277">
        <v>10.77</v>
      </c>
      <c r="U1277" t="s">
        <v>713</v>
      </c>
      <c r="V1277" t="s">
        <v>527</v>
      </c>
      <c r="W1277" t="s">
        <v>2792</v>
      </c>
      <c r="X1277">
        <v>2.0699999999999998</v>
      </c>
      <c r="Y1277" t="s">
        <v>1224</v>
      </c>
      <c r="Z1277" t="s">
        <v>2283</v>
      </c>
      <c r="AA1277" t="s">
        <v>676</v>
      </c>
      <c r="AB1277">
        <v>2.2599999999999998</v>
      </c>
      <c r="AC1277" t="s">
        <v>1244</v>
      </c>
      <c r="AD1277">
        <v>30.69</v>
      </c>
      <c r="AE1277" t="s">
        <v>999</v>
      </c>
      <c r="AF1277">
        <v>0.93</v>
      </c>
      <c r="AG1277">
        <v>0</v>
      </c>
      <c r="AH1277">
        <v>0</v>
      </c>
      <c r="AI1277" s="4">
        <v>42083</v>
      </c>
    </row>
    <row r="1278" spans="1:35">
      <c r="A1278">
        <v>1277</v>
      </c>
      <c r="B1278" t="str">
        <f>"601005"</f>
        <v>601005</v>
      </c>
      <c r="C1278" t="s">
        <v>7434</v>
      </c>
      <c r="D1278" s="4">
        <v>43190</v>
      </c>
      <c r="E1278" t="s">
        <v>2668</v>
      </c>
      <c r="F1278" t="s">
        <v>4940</v>
      </c>
      <c r="G1278">
        <v>0</v>
      </c>
      <c r="H1278">
        <v>0.04</v>
      </c>
      <c r="I1278">
        <v>1.92</v>
      </c>
      <c r="J1278">
        <v>2.0699999999999998</v>
      </c>
      <c r="K1278" t="s">
        <v>6062</v>
      </c>
      <c r="L1278">
        <v>211.34</v>
      </c>
      <c r="M1278" t="s">
        <v>139</v>
      </c>
      <c r="N1278">
        <v>0</v>
      </c>
      <c r="O1278" t="s">
        <v>1712</v>
      </c>
      <c r="P1278" t="s">
        <v>218</v>
      </c>
      <c r="Q1278">
        <v>159</v>
      </c>
      <c r="R1278" t="s">
        <v>7435</v>
      </c>
      <c r="S1278">
        <v>-1.32</v>
      </c>
      <c r="T1278">
        <v>10.33</v>
      </c>
      <c r="U1278" t="s">
        <v>3410</v>
      </c>
      <c r="V1278" t="s">
        <v>3159</v>
      </c>
      <c r="W1278" t="s">
        <v>787</v>
      </c>
      <c r="X1278">
        <v>2.0699999999999998</v>
      </c>
      <c r="Y1278" t="s">
        <v>4071</v>
      </c>
      <c r="Z1278" t="s">
        <v>1410</v>
      </c>
      <c r="AA1278" t="s">
        <v>1219</v>
      </c>
      <c r="AB1278">
        <v>1.02</v>
      </c>
      <c r="AC1278" t="s">
        <v>4411</v>
      </c>
      <c r="AD1278">
        <v>67.08</v>
      </c>
      <c r="AE1278" t="s">
        <v>3385</v>
      </c>
      <c r="AF1278">
        <v>2.16</v>
      </c>
      <c r="AG1278">
        <v>0</v>
      </c>
      <c r="AH1278" t="s">
        <v>2587</v>
      </c>
      <c r="AI1278" s="4">
        <v>39141</v>
      </c>
    </row>
    <row r="1279" spans="1:35">
      <c r="A1279">
        <v>1278</v>
      </c>
      <c r="B1279" t="str">
        <f>"600177"</f>
        <v>600177</v>
      </c>
      <c r="C1279" t="s">
        <v>7436</v>
      </c>
      <c r="D1279" s="4">
        <v>43190</v>
      </c>
      <c r="E1279" t="s">
        <v>1224</v>
      </c>
      <c r="F1279" t="s">
        <v>1224</v>
      </c>
      <c r="G1279" t="s">
        <v>2282</v>
      </c>
      <c r="H1279">
        <v>0.14000000000000001</v>
      </c>
      <c r="I1279">
        <v>6.53</v>
      </c>
      <c r="J1279">
        <v>2.0699999999999998</v>
      </c>
      <c r="K1279" t="s">
        <v>1569</v>
      </c>
      <c r="L1279">
        <v>-50.46</v>
      </c>
      <c r="M1279" t="s">
        <v>1518</v>
      </c>
      <c r="N1279" t="s">
        <v>1917</v>
      </c>
      <c r="O1279" t="s">
        <v>1714</v>
      </c>
      <c r="P1279" t="s">
        <v>44</v>
      </c>
      <c r="Q1279">
        <v>-59.64</v>
      </c>
      <c r="R1279" t="s">
        <v>1222</v>
      </c>
      <c r="S1279">
        <v>3.66</v>
      </c>
      <c r="T1279">
        <v>59.71</v>
      </c>
      <c r="U1279" t="s">
        <v>5067</v>
      </c>
      <c r="V1279" t="s">
        <v>2048</v>
      </c>
      <c r="W1279" t="s">
        <v>2300</v>
      </c>
      <c r="X1279">
        <v>2.0699999999999998</v>
      </c>
      <c r="Y1279" t="s">
        <v>3371</v>
      </c>
      <c r="Z1279" t="s">
        <v>7360</v>
      </c>
      <c r="AA1279" t="s">
        <v>80</v>
      </c>
      <c r="AB1279">
        <v>1.22</v>
      </c>
      <c r="AC1279" t="s">
        <v>2543</v>
      </c>
      <c r="AD1279">
        <v>36.28</v>
      </c>
      <c r="AE1279" t="s">
        <v>3571</v>
      </c>
      <c r="AF1279">
        <v>1.1399999999999999</v>
      </c>
      <c r="AG1279">
        <v>0</v>
      </c>
      <c r="AH1279">
        <v>0</v>
      </c>
      <c r="AI1279" s="4">
        <v>36118</v>
      </c>
    </row>
    <row r="1280" spans="1:35">
      <c r="A1280">
        <v>1279</v>
      </c>
      <c r="B1280" t="str">
        <f>"300635"</f>
        <v>300635</v>
      </c>
      <c r="C1280" t="s">
        <v>7437</v>
      </c>
      <c r="D1280" s="4">
        <v>43190</v>
      </c>
      <c r="E1280" t="s">
        <v>372</v>
      </c>
      <c r="F1280" t="s">
        <v>7438</v>
      </c>
      <c r="G1280">
        <v>2756</v>
      </c>
      <c r="H1280">
        <v>0.09</v>
      </c>
      <c r="I1280">
        <v>4.45</v>
      </c>
      <c r="J1280">
        <v>2.0699999999999998</v>
      </c>
      <c r="K1280" t="s">
        <v>1119</v>
      </c>
      <c r="L1280">
        <v>18.43</v>
      </c>
      <c r="M1280" t="s">
        <v>7439</v>
      </c>
      <c r="N1280">
        <v>0</v>
      </c>
      <c r="O1280" t="s">
        <v>7440</v>
      </c>
      <c r="P1280" t="s">
        <v>7328</v>
      </c>
      <c r="Q1280">
        <v>9.39</v>
      </c>
      <c r="R1280" t="s">
        <v>1484</v>
      </c>
      <c r="S1280">
        <v>1.62</v>
      </c>
      <c r="T1280">
        <v>33.26</v>
      </c>
      <c r="U1280" t="s">
        <v>1780</v>
      </c>
      <c r="V1280" t="s">
        <v>1993</v>
      </c>
      <c r="W1280" t="s">
        <v>2426</v>
      </c>
      <c r="X1280">
        <v>2.0699999999999998</v>
      </c>
      <c r="Y1280" t="s">
        <v>641</v>
      </c>
      <c r="Z1280" t="s">
        <v>641</v>
      </c>
      <c r="AA1280">
        <v>0</v>
      </c>
      <c r="AB1280">
        <v>3.13</v>
      </c>
      <c r="AC1280" t="s">
        <v>1874</v>
      </c>
      <c r="AD1280">
        <v>69.010000000000005</v>
      </c>
      <c r="AE1280" t="s">
        <v>1004</v>
      </c>
      <c r="AF1280">
        <v>1.63</v>
      </c>
      <c r="AG1280">
        <v>0</v>
      </c>
      <c r="AH1280">
        <v>0</v>
      </c>
      <c r="AI1280" s="4">
        <v>42825</v>
      </c>
    </row>
    <row r="1281" spans="1:35">
      <c r="A1281">
        <v>1280</v>
      </c>
      <c r="B1281" t="str">
        <f>"300558"</f>
        <v>300558</v>
      </c>
      <c r="C1281" t="s">
        <v>7441</v>
      </c>
      <c r="D1281" s="4">
        <v>43190</v>
      </c>
      <c r="E1281" t="s">
        <v>241</v>
      </c>
      <c r="F1281" t="s">
        <v>2069</v>
      </c>
      <c r="G1281">
        <v>8384</v>
      </c>
      <c r="H1281">
        <v>0.11</v>
      </c>
      <c r="I1281">
        <v>5.05</v>
      </c>
      <c r="J1281">
        <v>2.0699999999999998</v>
      </c>
      <c r="K1281" t="s">
        <v>2729</v>
      </c>
      <c r="L1281">
        <v>23.99</v>
      </c>
      <c r="M1281" t="s">
        <v>7442</v>
      </c>
      <c r="N1281" t="s">
        <v>7443</v>
      </c>
      <c r="O1281" t="s">
        <v>6744</v>
      </c>
      <c r="P1281" t="s">
        <v>7444</v>
      </c>
      <c r="Q1281">
        <v>-43.36</v>
      </c>
      <c r="R1281" t="s">
        <v>2032</v>
      </c>
      <c r="S1281">
        <v>2.2599999999999998</v>
      </c>
      <c r="T1281">
        <v>95.54</v>
      </c>
      <c r="U1281" t="s">
        <v>502</v>
      </c>
      <c r="V1281" t="s">
        <v>545</v>
      </c>
      <c r="W1281" t="s">
        <v>1059</v>
      </c>
      <c r="X1281">
        <v>2.0699999999999998</v>
      </c>
      <c r="Y1281" t="s">
        <v>5203</v>
      </c>
      <c r="Z1281" t="s">
        <v>999</v>
      </c>
      <c r="AA1281" t="s">
        <v>905</v>
      </c>
      <c r="AB1281">
        <v>11.47</v>
      </c>
      <c r="AC1281" t="s">
        <v>159</v>
      </c>
      <c r="AD1281">
        <v>74.819999999999993</v>
      </c>
      <c r="AE1281" t="s">
        <v>494</v>
      </c>
      <c r="AF1281">
        <v>1.5</v>
      </c>
      <c r="AG1281">
        <v>0</v>
      </c>
      <c r="AH1281">
        <v>0</v>
      </c>
      <c r="AI1281" s="4">
        <v>42681</v>
      </c>
    </row>
    <row r="1282" spans="1:35">
      <c r="A1282">
        <v>1281</v>
      </c>
      <c r="B1282" t="str">
        <f>"300494"</f>
        <v>300494</v>
      </c>
      <c r="C1282" t="s">
        <v>7445</v>
      </c>
      <c r="D1282" s="4">
        <v>43190</v>
      </c>
      <c r="E1282" t="s">
        <v>94</v>
      </c>
      <c r="F1282" t="s">
        <v>1475</v>
      </c>
      <c r="G1282">
        <v>3156</v>
      </c>
      <c r="H1282">
        <v>0.08</v>
      </c>
      <c r="I1282">
        <v>3.98</v>
      </c>
      <c r="J1282">
        <v>2.0699999999999998</v>
      </c>
      <c r="K1282" t="s">
        <v>282</v>
      </c>
      <c r="L1282">
        <v>18.28</v>
      </c>
      <c r="M1282" t="s">
        <v>7446</v>
      </c>
      <c r="N1282" t="s">
        <v>1718</v>
      </c>
      <c r="O1282" t="s">
        <v>7447</v>
      </c>
      <c r="P1282" t="s">
        <v>7448</v>
      </c>
      <c r="Q1282">
        <v>-23.75</v>
      </c>
      <c r="R1282" t="s">
        <v>1074</v>
      </c>
      <c r="S1282">
        <v>1.32</v>
      </c>
      <c r="T1282">
        <v>43.48</v>
      </c>
      <c r="U1282" t="s">
        <v>919</v>
      </c>
      <c r="V1282" t="s">
        <v>1998</v>
      </c>
      <c r="W1282" t="s">
        <v>2164</v>
      </c>
      <c r="X1282">
        <v>2.0699999999999998</v>
      </c>
      <c r="Y1282" t="s">
        <v>6092</v>
      </c>
      <c r="Z1282" t="s">
        <v>6092</v>
      </c>
      <c r="AA1282">
        <v>0</v>
      </c>
      <c r="AB1282">
        <v>3.04</v>
      </c>
      <c r="AC1282" t="s">
        <v>721</v>
      </c>
      <c r="AD1282">
        <v>94.48</v>
      </c>
      <c r="AE1282" t="s">
        <v>678</v>
      </c>
      <c r="AF1282">
        <v>1.4</v>
      </c>
      <c r="AG1282">
        <v>0</v>
      </c>
      <c r="AH1282">
        <v>0</v>
      </c>
      <c r="AI1282" s="4">
        <v>42369</v>
      </c>
    </row>
    <row r="1283" spans="1:35">
      <c r="A1283">
        <v>1282</v>
      </c>
      <c r="B1283" t="str">
        <f>"002918"</f>
        <v>002918</v>
      </c>
      <c r="C1283" t="s">
        <v>7449</v>
      </c>
      <c r="D1283" s="4">
        <v>43190</v>
      </c>
      <c r="E1283" t="s">
        <v>669</v>
      </c>
      <c r="F1283" t="s">
        <v>7450</v>
      </c>
      <c r="G1283">
        <v>1342</v>
      </c>
      <c r="H1283">
        <v>0.2</v>
      </c>
      <c r="I1283">
        <v>9.44</v>
      </c>
      <c r="J1283">
        <v>2.0699999999999998</v>
      </c>
      <c r="K1283" t="s">
        <v>2587</v>
      </c>
      <c r="L1283">
        <v>5.51</v>
      </c>
      <c r="M1283" t="s">
        <v>6365</v>
      </c>
      <c r="N1283">
        <v>0</v>
      </c>
      <c r="O1283" t="s">
        <v>5474</v>
      </c>
      <c r="P1283" t="s">
        <v>7451</v>
      </c>
      <c r="Q1283">
        <v>11.95</v>
      </c>
      <c r="R1283" t="s">
        <v>1015</v>
      </c>
      <c r="S1283">
        <v>2.5099999999999998</v>
      </c>
      <c r="T1283">
        <v>33.33</v>
      </c>
      <c r="U1283" t="s">
        <v>3073</v>
      </c>
      <c r="V1283" t="s">
        <v>2100</v>
      </c>
      <c r="W1283" t="s">
        <v>1712</v>
      </c>
      <c r="X1283">
        <v>2.0699999999999998</v>
      </c>
      <c r="Y1283" t="s">
        <v>1223</v>
      </c>
      <c r="Z1283" t="s">
        <v>2329</v>
      </c>
      <c r="AA1283" t="s">
        <v>7452</v>
      </c>
      <c r="AB1283">
        <v>2.58</v>
      </c>
      <c r="AC1283" t="s">
        <v>1449</v>
      </c>
      <c r="AD1283">
        <v>67.489999999999995</v>
      </c>
      <c r="AE1283" t="s">
        <v>173</v>
      </c>
      <c r="AF1283">
        <v>5.66</v>
      </c>
      <c r="AG1283">
        <v>0</v>
      </c>
      <c r="AH1283">
        <v>0</v>
      </c>
      <c r="AI1283" s="4">
        <v>43088</v>
      </c>
    </row>
    <row r="1284" spans="1:35">
      <c r="A1284">
        <v>1283</v>
      </c>
      <c r="B1284" t="str">
        <f>"002497"</f>
        <v>002497</v>
      </c>
      <c r="C1284" t="s">
        <v>7453</v>
      </c>
      <c r="D1284" s="4">
        <v>43190</v>
      </c>
      <c r="E1284" t="s">
        <v>4539</v>
      </c>
      <c r="F1284" t="s">
        <v>6799</v>
      </c>
      <c r="G1284">
        <v>6875</v>
      </c>
      <c r="H1284">
        <v>0.06</v>
      </c>
      <c r="I1284">
        <v>2.66</v>
      </c>
      <c r="J1284">
        <v>2.0699999999999998</v>
      </c>
      <c r="K1284" t="s">
        <v>1450</v>
      </c>
      <c r="L1284">
        <v>52.84</v>
      </c>
      <c r="M1284" t="s">
        <v>7454</v>
      </c>
      <c r="N1284" t="s">
        <v>7455</v>
      </c>
      <c r="O1284" t="s">
        <v>7456</v>
      </c>
      <c r="P1284" t="s">
        <v>4835</v>
      </c>
      <c r="Q1284">
        <v>72.150000000000006</v>
      </c>
      <c r="R1284" t="s">
        <v>978</v>
      </c>
      <c r="S1284">
        <v>1.06</v>
      </c>
      <c r="T1284">
        <v>28.66</v>
      </c>
      <c r="U1284" t="s">
        <v>152</v>
      </c>
      <c r="V1284" t="s">
        <v>1792</v>
      </c>
      <c r="W1284" t="s">
        <v>4236</v>
      </c>
      <c r="X1284">
        <v>2.0699999999999998</v>
      </c>
      <c r="Y1284" t="s">
        <v>50</v>
      </c>
      <c r="Z1284" t="s">
        <v>982</v>
      </c>
      <c r="AA1284" t="s">
        <v>2468</v>
      </c>
      <c r="AB1284">
        <v>3.61</v>
      </c>
      <c r="AC1284" t="s">
        <v>710</v>
      </c>
      <c r="AD1284">
        <v>56.54</v>
      </c>
      <c r="AE1284" t="s">
        <v>314</v>
      </c>
      <c r="AF1284">
        <v>0.37</v>
      </c>
      <c r="AG1284">
        <v>0</v>
      </c>
      <c r="AH1284">
        <v>0</v>
      </c>
      <c r="AI1284" s="4">
        <v>40491</v>
      </c>
    </row>
    <row r="1285" spans="1:35">
      <c r="A1285">
        <v>1284</v>
      </c>
      <c r="B1285" t="str">
        <f>"002316"</f>
        <v>002316</v>
      </c>
      <c r="C1285" t="s">
        <v>7457</v>
      </c>
      <c r="D1285" s="4">
        <v>43190</v>
      </c>
      <c r="E1285" t="s">
        <v>750</v>
      </c>
      <c r="F1285" t="s">
        <v>186</v>
      </c>
      <c r="G1285" t="s">
        <v>3789</v>
      </c>
      <c r="H1285">
        <v>0.04</v>
      </c>
      <c r="I1285">
        <v>2.16</v>
      </c>
      <c r="J1285">
        <v>2.0699999999999998</v>
      </c>
      <c r="K1285" t="s">
        <v>489</v>
      </c>
      <c r="L1285">
        <v>1099.5899999999999</v>
      </c>
      <c r="M1285" t="s">
        <v>7458</v>
      </c>
      <c r="N1285" t="s">
        <v>7459</v>
      </c>
      <c r="O1285" t="s">
        <v>7460</v>
      </c>
      <c r="P1285" t="s">
        <v>7017</v>
      </c>
      <c r="Q1285">
        <v>181.98</v>
      </c>
      <c r="R1285" t="s">
        <v>1200</v>
      </c>
      <c r="S1285">
        <v>0.44</v>
      </c>
      <c r="T1285">
        <v>35.659999999999997</v>
      </c>
      <c r="U1285" t="s">
        <v>725</v>
      </c>
      <c r="V1285" t="s">
        <v>405</v>
      </c>
      <c r="W1285" t="s">
        <v>1366</v>
      </c>
      <c r="X1285">
        <v>2.0699999999999998</v>
      </c>
      <c r="Y1285" t="s">
        <v>775</v>
      </c>
      <c r="Z1285" t="s">
        <v>1384</v>
      </c>
      <c r="AA1285" t="s">
        <v>1359</v>
      </c>
      <c r="AB1285">
        <v>3.89</v>
      </c>
      <c r="AC1285" t="s">
        <v>3557</v>
      </c>
      <c r="AD1285">
        <v>31.02</v>
      </c>
      <c r="AE1285" t="s">
        <v>2142</v>
      </c>
      <c r="AF1285">
        <v>0.63</v>
      </c>
      <c r="AG1285">
        <v>0</v>
      </c>
      <c r="AH1285">
        <v>0</v>
      </c>
      <c r="AI1285" s="4">
        <v>40156</v>
      </c>
    </row>
    <row r="1286" spans="1:35">
      <c r="A1286">
        <v>1285</v>
      </c>
      <c r="B1286" t="str">
        <f>"002238"</f>
        <v>002238</v>
      </c>
      <c r="C1286" t="s">
        <v>7461</v>
      </c>
      <c r="D1286" s="4">
        <v>43190</v>
      </c>
      <c r="E1286" t="s">
        <v>792</v>
      </c>
      <c r="F1286" t="s">
        <v>792</v>
      </c>
      <c r="G1286" t="s">
        <v>1755</v>
      </c>
      <c r="H1286">
        <v>0.09</v>
      </c>
      <c r="I1286">
        <v>4.26</v>
      </c>
      <c r="J1286">
        <v>2.0699999999999998</v>
      </c>
      <c r="K1286" t="s">
        <v>375</v>
      </c>
      <c r="L1286">
        <v>2.84</v>
      </c>
      <c r="M1286" t="s">
        <v>7462</v>
      </c>
      <c r="N1286" t="s">
        <v>7463</v>
      </c>
      <c r="O1286" t="s">
        <v>7464</v>
      </c>
      <c r="P1286" t="s">
        <v>7465</v>
      </c>
      <c r="Q1286">
        <v>7.26</v>
      </c>
      <c r="R1286" t="s">
        <v>115</v>
      </c>
      <c r="S1286">
        <v>2.4900000000000002</v>
      </c>
      <c r="T1286">
        <v>36.1</v>
      </c>
      <c r="U1286" t="s">
        <v>1859</v>
      </c>
      <c r="V1286" t="s">
        <v>1343</v>
      </c>
      <c r="W1286" t="s">
        <v>1496</v>
      </c>
      <c r="X1286">
        <v>2.0699999999999998</v>
      </c>
      <c r="Y1286" t="s">
        <v>919</v>
      </c>
      <c r="Z1286" t="s">
        <v>4097</v>
      </c>
      <c r="AA1286" t="s">
        <v>443</v>
      </c>
      <c r="AB1286">
        <v>1.62</v>
      </c>
      <c r="AC1286" t="s">
        <v>502</v>
      </c>
      <c r="AD1286">
        <v>71.040000000000006</v>
      </c>
      <c r="AE1286" t="s">
        <v>682</v>
      </c>
      <c r="AF1286">
        <v>0.36</v>
      </c>
      <c r="AG1286">
        <v>0</v>
      </c>
      <c r="AH1286">
        <v>0</v>
      </c>
      <c r="AI1286" s="4">
        <v>39594</v>
      </c>
    </row>
    <row r="1287" spans="1:35">
      <c r="A1287">
        <v>1286</v>
      </c>
      <c r="B1287" t="str">
        <f>"601800"</f>
        <v>601800</v>
      </c>
      <c r="C1287" t="s">
        <v>7466</v>
      </c>
      <c r="D1287" s="4">
        <v>43190</v>
      </c>
      <c r="E1287" t="s">
        <v>1146</v>
      </c>
      <c r="F1287" t="s">
        <v>315</v>
      </c>
      <c r="G1287" t="s">
        <v>7467</v>
      </c>
      <c r="H1287">
        <v>0.21</v>
      </c>
      <c r="I1287">
        <v>10.15</v>
      </c>
      <c r="J1287">
        <v>2.06</v>
      </c>
      <c r="K1287" t="s">
        <v>7468</v>
      </c>
      <c r="L1287">
        <v>12.76</v>
      </c>
      <c r="M1287" t="s">
        <v>2105</v>
      </c>
      <c r="N1287" t="s">
        <v>912</v>
      </c>
      <c r="O1287" t="s">
        <v>1819</v>
      </c>
      <c r="P1287" t="s">
        <v>457</v>
      </c>
      <c r="Q1287">
        <v>9.35</v>
      </c>
      <c r="R1287" t="s">
        <v>7469</v>
      </c>
      <c r="S1287">
        <v>6.23</v>
      </c>
      <c r="T1287">
        <v>12.6</v>
      </c>
      <c r="U1287" t="s">
        <v>7470</v>
      </c>
      <c r="V1287" t="s">
        <v>7471</v>
      </c>
      <c r="W1287" t="s">
        <v>7156</v>
      </c>
      <c r="X1287">
        <v>2.06</v>
      </c>
      <c r="Y1287" t="s">
        <v>7472</v>
      </c>
      <c r="Z1287" t="s">
        <v>7473</v>
      </c>
      <c r="AA1287" t="s">
        <v>7474</v>
      </c>
      <c r="AB1287">
        <v>1.18</v>
      </c>
      <c r="AC1287" t="s">
        <v>7475</v>
      </c>
      <c r="AD1287">
        <v>21.52</v>
      </c>
      <c r="AE1287" t="s">
        <v>4700</v>
      </c>
      <c r="AF1287">
        <v>1.57</v>
      </c>
      <c r="AG1287">
        <v>0</v>
      </c>
      <c r="AH1287" t="s">
        <v>893</v>
      </c>
      <c r="AI1287" s="4">
        <v>40977</v>
      </c>
    </row>
    <row r="1288" spans="1:35">
      <c r="A1288">
        <v>1287</v>
      </c>
      <c r="B1288" t="str">
        <f>"600123"</f>
        <v>600123</v>
      </c>
      <c r="C1288" t="s">
        <v>7476</v>
      </c>
      <c r="D1288" s="4">
        <v>43190</v>
      </c>
      <c r="E1288" t="s">
        <v>354</v>
      </c>
      <c r="F1288" t="s">
        <v>354</v>
      </c>
      <c r="G1288" t="s">
        <v>5074</v>
      </c>
      <c r="H1288">
        <v>0.17</v>
      </c>
      <c r="I1288">
        <v>8.42</v>
      </c>
      <c r="J1288">
        <v>2.06</v>
      </c>
      <c r="K1288" t="s">
        <v>820</v>
      </c>
      <c r="L1288">
        <v>-1.21</v>
      </c>
      <c r="M1288" t="s">
        <v>1489</v>
      </c>
      <c r="N1288" t="s">
        <v>7477</v>
      </c>
      <c r="O1288" t="s">
        <v>470</v>
      </c>
      <c r="P1288" t="s">
        <v>200</v>
      </c>
      <c r="Q1288">
        <v>-12.84</v>
      </c>
      <c r="R1288" t="s">
        <v>2633</v>
      </c>
      <c r="S1288">
        <v>5.36</v>
      </c>
      <c r="T1288">
        <v>40.4</v>
      </c>
      <c r="U1288" t="s">
        <v>2078</v>
      </c>
      <c r="V1288" t="s">
        <v>2197</v>
      </c>
      <c r="W1288" t="s">
        <v>5268</v>
      </c>
      <c r="X1288">
        <v>2.06</v>
      </c>
      <c r="Y1288" t="s">
        <v>413</v>
      </c>
      <c r="Z1288" t="s">
        <v>900</v>
      </c>
      <c r="AA1288" t="s">
        <v>570</v>
      </c>
      <c r="AB1288">
        <v>0.81</v>
      </c>
      <c r="AC1288" t="s">
        <v>3683</v>
      </c>
      <c r="AD1288">
        <v>40.409999999999997</v>
      </c>
      <c r="AE1288" t="s">
        <v>1180</v>
      </c>
      <c r="AF1288">
        <v>0.22</v>
      </c>
      <c r="AG1288">
        <v>0</v>
      </c>
      <c r="AH1288">
        <v>0</v>
      </c>
      <c r="AI1288" s="4">
        <v>36146</v>
      </c>
    </row>
    <row r="1289" spans="1:35">
      <c r="A1289">
        <v>1288</v>
      </c>
      <c r="B1289" t="str">
        <f>"600060"</f>
        <v>600060</v>
      </c>
      <c r="C1289" t="s">
        <v>7478</v>
      </c>
      <c r="D1289" s="4">
        <v>43190</v>
      </c>
      <c r="E1289" t="s">
        <v>840</v>
      </c>
      <c r="F1289" t="s">
        <v>840</v>
      </c>
      <c r="G1289" t="s">
        <v>4225</v>
      </c>
      <c r="H1289">
        <v>0.22</v>
      </c>
      <c r="I1289">
        <v>10.8</v>
      </c>
      <c r="J1289">
        <v>2.06</v>
      </c>
      <c r="K1289" t="s">
        <v>4501</v>
      </c>
      <c r="L1289">
        <v>16.54</v>
      </c>
      <c r="M1289" t="s">
        <v>340</v>
      </c>
      <c r="N1289" t="s">
        <v>7479</v>
      </c>
      <c r="O1289" t="s">
        <v>5614</v>
      </c>
      <c r="P1289" t="s">
        <v>1067</v>
      </c>
      <c r="Q1289">
        <v>5.47</v>
      </c>
      <c r="R1289" t="s">
        <v>933</v>
      </c>
      <c r="S1289">
        <v>6.78</v>
      </c>
      <c r="T1289">
        <v>15.16</v>
      </c>
      <c r="U1289" t="s">
        <v>1882</v>
      </c>
      <c r="V1289" t="s">
        <v>5503</v>
      </c>
      <c r="W1289" t="s">
        <v>973</v>
      </c>
      <c r="X1289">
        <v>2.06</v>
      </c>
      <c r="Y1289" t="s">
        <v>1262</v>
      </c>
      <c r="Z1289" t="s">
        <v>6845</v>
      </c>
      <c r="AA1289" t="s">
        <v>666</v>
      </c>
      <c r="AB1289">
        <v>1.24</v>
      </c>
      <c r="AC1289" t="s">
        <v>398</v>
      </c>
      <c r="AD1289">
        <v>57.09</v>
      </c>
      <c r="AE1289" t="s">
        <v>253</v>
      </c>
      <c r="AF1289">
        <v>1.89</v>
      </c>
      <c r="AG1289">
        <v>0</v>
      </c>
      <c r="AH1289">
        <v>0</v>
      </c>
      <c r="AI1289" s="4">
        <v>35542</v>
      </c>
    </row>
    <row r="1290" spans="1:35">
      <c r="A1290">
        <v>1289</v>
      </c>
      <c r="B1290" t="str">
        <f>"300679"</f>
        <v>300679</v>
      </c>
      <c r="C1290" t="s">
        <v>7480</v>
      </c>
      <c r="D1290" s="4">
        <v>43190</v>
      </c>
      <c r="E1290" t="s">
        <v>1287</v>
      </c>
      <c r="F1290" t="s">
        <v>3897</v>
      </c>
      <c r="G1290">
        <v>1257</v>
      </c>
      <c r="H1290">
        <v>0.3</v>
      </c>
      <c r="I1290">
        <v>14.69</v>
      </c>
      <c r="J1290">
        <v>2.06</v>
      </c>
      <c r="K1290" t="s">
        <v>594</v>
      </c>
      <c r="L1290">
        <v>-14.07</v>
      </c>
      <c r="M1290" t="s">
        <v>7481</v>
      </c>
      <c r="N1290" t="s">
        <v>7482</v>
      </c>
      <c r="O1290" t="s">
        <v>7483</v>
      </c>
      <c r="P1290" t="s">
        <v>7484</v>
      </c>
      <c r="Q1290">
        <v>-33.31</v>
      </c>
      <c r="R1290" t="s">
        <v>1249</v>
      </c>
      <c r="S1290">
        <v>3.4</v>
      </c>
      <c r="T1290">
        <v>42.85</v>
      </c>
      <c r="U1290" t="s">
        <v>457</v>
      </c>
      <c r="V1290" t="s">
        <v>238</v>
      </c>
      <c r="W1290" t="s">
        <v>1664</v>
      </c>
      <c r="X1290">
        <v>2.06</v>
      </c>
      <c r="Y1290" t="s">
        <v>3535</v>
      </c>
      <c r="Z1290" t="s">
        <v>668</v>
      </c>
      <c r="AA1290" t="s">
        <v>7287</v>
      </c>
      <c r="AB1290">
        <v>2.74</v>
      </c>
      <c r="AC1290" t="s">
        <v>1404</v>
      </c>
      <c r="AD1290">
        <v>92.37</v>
      </c>
      <c r="AE1290" t="s">
        <v>1449</v>
      </c>
      <c r="AF1290">
        <v>10.01</v>
      </c>
      <c r="AG1290">
        <v>0</v>
      </c>
      <c r="AH1290">
        <v>0</v>
      </c>
      <c r="AI1290" s="4">
        <v>42947</v>
      </c>
    </row>
    <row r="1291" spans="1:35">
      <c r="A1291">
        <v>1290</v>
      </c>
      <c r="B1291" t="str">
        <f>"300655"</f>
        <v>300655</v>
      </c>
      <c r="C1291" t="s">
        <v>7485</v>
      </c>
      <c r="D1291" s="4">
        <v>43190</v>
      </c>
      <c r="E1291" t="s">
        <v>2034</v>
      </c>
      <c r="F1291" t="s">
        <v>7486</v>
      </c>
      <c r="G1291">
        <v>2569</v>
      </c>
      <c r="H1291">
        <v>0.06</v>
      </c>
      <c r="I1291">
        <v>3.15</v>
      </c>
      <c r="J1291">
        <v>2.06</v>
      </c>
      <c r="K1291" t="s">
        <v>319</v>
      </c>
      <c r="L1291">
        <v>45.87</v>
      </c>
      <c r="M1291" t="s">
        <v>7487</v>
      </c>
      <c r="N1291" t="s">
        <v>7488</v>
      </c>
      <c r="O1291" t="s">
        <v>4221</v>
      </c>
      <c r="P1291" t="s">
        <v>7489</v>
      </c>
      <c r="Q1291">
        <v>43.21</v>
      </c>
      <c r="R1291" t="s">
        <v>3664</v>
      </c>
      <c r="S1291">
        <v>0.66</v>
      </c>
      <c r="T1291">
        <v>25.89</v>
      </c>
      <c r="U1291" t="s">
        <v>699</v>
      </c>
      <c r="V1291" t="s">
        <v>2431</v>
      </c>
      <c r="W1291" t="s">
        <v>2729</v>
      </c>
      <c r="X1291">
        <v>2.06</v>
      </c>
      <c r="Y1291" t="s">
        <v>4176</v>
      </c>
      <c r="Z1291" t="s">
        <v>104</v>
      </c>
      <c r="AA1291" t="s">
        <v>1370</v>
      </c>
      <c r="AB1291">
        <v>5.01</v>
      </c>
      <c r="AC1291" t="s">
        <v>140</v>
      </c>
      <c r="AD1291">
        <v>42.87</v>
      </c>
      <c r="AE1291" t="s">
        <v>217</v>
      </c>
      <c r="AF1291">
        <v>1.37</v>
      </c>
      <c r="AG1291">
        <v>0</v>
      </c>
      <c r="AH1291">
        <v>0</v>
      </c>
      <c r="AI1291" s="4">
        <v>42878</v>
      </c>
    </row>
    <row r="1292" spans="1:35">
      <c r="A1292">
        <v>1291</v>
      </c>
      <c r="B1292" t="str">
        <f>"002887"</f>
        <v>002887</v>
      </c>
      <c r="C1292" t="s">
        <v>7490</v>
      </c>
      <c r="D1292" s="4">
        <v>43190</v>
      </c>
      <c r="E1292" t="s">
        <v>1203</v>
      </c>
      <c r="F1292" t="s">
        <v>4429</v>
      </c>
      <c r="G1292">
        <v>1261</v>
      </c>
      <c r="H1292">
        <v>0.21</v>
      </c>
      <c r="I1292">
        <v>10.130000000000001</v>
      </c>
      <c r="J1292">
        <v>2.06</v>
      </c>
      <c r="K1292" t="s">
        <v>4266</v>
      </c>
      <c r="L1292">
        <v>-15.27</v>
      </c>
      <c r="M1292" t="s">
        <v>5906</v>
      </c>
      <c r="N1292" t="s">
        <v>1466</v>
      </c>
      <c r="O1292" t="s">
        <v>7491</v>
      </c>
      <c r="P1292" t="s">
        <v>7492</v>
      </c>
      <c r="Q1292">
        <v>-5.77</v>
      </c>
      <c r="R1292" t="s">
        <v>2686</v>
      </c>
      <c r="S1292">
        <v>2.63</v>
      </c>
      <c r="T1292">
        <v>37.94</v>
      </c>
      <c r="U1292" t="s">
        <v>876</v>
      </c>
      <c r="V1292" t="s">
        <v>1843</v>
      </c>
      <c r="W1292" t="s">
        <v>7493</v>
      </c>
      <c r="X1292">
        <v>2.06</v>
      </c>
      <c r="Y1292" t="s">
        <v>914</v>
      </c>
      <c r="Z1292" t="s">
        <v>1040</v>
      </c>
      <c r="AA1292" t="s">
        <v>6502</v>
      </c>
      <c r="AB1292">
        <v>2.76</v>
      </c>
      <c r="AC1292" t="s">
        <v>1190</v>
      </c>
      <c r="AD1292">
        <v>79.37</v>
      </c>
      <c r="AE1292" t="s">
        <v>295</v>
      </c>
      <c r="AF1292">
        <v>6.18</v>
      </c>
      <c r="AG1292">
        <v>0</v>
      </c>
      <c r="AH1292">
        <v>0</v>
      </c>
      <c r="AI1292" s="4">
        <v>42948</v>
      </c>
    </row>
    <row r="1293" spans="1:35">
      <c r="A1293">
        <v>1292</v>
      </c>
      <c r="B1293" t="str">
        <f>"000967"</f>
        <v>000967</v>
      </c>
      <c r="C1293" t="s">
        <v>7494</v>
      </c>
      <c r="D1293" s="4">
        <v>43190</v>
      </c>
      <c r="E1293" t="s">
        <v>192</v>
      </c>
      <c r="F1293" t="s">
        <v>568</v>
      </c>
      <c r="G1293" t="s">
        <v>2927</v>
      </c>
      <c r="H1293">
        <v>0.08</v>
      </c>
      <c r="I1293">
        <v>3.77</v>
      </c>
      <c r="J1293">
        <v>2.06</v>
      </c>
      <c r="K1293" t="s">
        <v>354</v>
      </c>
      <c r="L1293">
        <v>21.72</v>
      </c>
      <c r="M1293" t="s">
        <v>1475</v>
      </c>
      <c r="N1293" t="s">
        <v>7495</v>
      </c>
      <c r="O1293" t="s">
        <v>71</v>
      </c>
      <c r="P1293" t="s">
        <v>7496</v>
      </c>
      <c r="Q1293">
        <v>36.4</v>
      </c>
      <c r="R1293" t="s">
        <v>6799</v>
      </c>
      <c r="S1293">
        <v>0.71</v>
      </c>
      <c r="T1293">
        <v>14.38</v>
      </c>
      <c r="U1293" t="s">
        <v>760</v>
      </c>
      <c r="V1293" t="s">
        <v>738</v>
      </c>
      <c r="W1293" t="s">
        <v>1320</v>
      </c>
      <c r="X1293">
        <v>2.06</v>
      </c>
      <c r="Y1293" t="s">
        <v>3562</v>
      </c>
      <c r="Z1293" t="s">
        <v>1051</v>
      </c>
      <c r="AA1293" t="s">
        <v>1241</v>
      </c>
      <c r="AB1293">
        <v>2.33</v>
      </c>
      <c r="AC1293" t="s">
        <v>773</v>
      </c>
      <c r="AD1293">
        <v>54.1</v>
      </c>
      <c r="AE1293" t="s">
        <v>1255</v>
      </c>
      <c r="AF1293">
        <v>1.72</v>
      </c>
      <c r="AG1293">
        <v>0</v>
      </c>
      <c r="AH1293">
        <v>0</v>
      </c>
      <c r="AI1293" s="4">
        <v>36615</v>
      </c>
    </row>
    <row r="1294" spans="1:35">
      <c r="A1294">
        <v>1293</v>
      </c>
      <c r="B1294" t="str">
        <f>"000582"</f>
        <v>000582</v>
      </c>
      <c r="C1294" t="s">
        <v>7497</v>
      </c>
      <c r="D1294" s="4">
        <v>43190</v>
      </c>
      <c r="E1294" t="s">
        <v>624</v>
      </c>
      <c r="F1294" t="s">
        <v>2387</v>
      </c>
      <c r="G1294">
        <v>7332</v>
      </c>
      <c r="H1294">
        <v>0.11</v>
      </c>
      <c r="I1294">
        <v>5.14</v>
      </c>
      <c r="J1294">
        <v>2.06</v>
      </c>
      <c r="K1294" t="s">
        <v>1917</v>
      </c>
      <c r="L1294">
        <v>16.52</v>
      </c>
      <c r="M1294" t="s">
        <v>255</v>
      </c>
      <c r="N1294" t="s">
        <v>7498</v>
      </c>
      <c r="O1294" t="s">
        <v>95</v>
      </c>
      <c r="P1294" t="s">
        <v>2424</v>
      </c>
      <c r="Q1294">
        <v>30.84</v>
      </c>
      <c r="R1294" t="s">
        <v>685</v>
      </c>
      <c r="S1294">
        <v>1.94</v>
      </c>
      <c r="T1294">
        <v>38.159999999999997</v>
      </c>
      <c r="U1294" t="s">
        <v>788</v>
      </c>
      <c r="V1294" t="s">
        <v>418</v>
      </c>
      <c r="W1294" t="s">
        <v>1086</v>
      </c>
      <c r="X1294">
        <v>2.06</v>
      </c>
      <c r="Y1294" t="s">
        <v>3301</v>
      </c>
      <c r="Z1294" t="s">
        <v>756</v>
      </c>
      <c r="AA1294" t="s">
        <v>1031</v>
      </c>
      <c r="AB1294">
        <v>1.45</v>
      </c>
      <c r="AC1294" t="s">
        <v>7088</v>
      </c>
      <c r="AD1294">
        <v>46.98</v>
      </c>
      <c r="AE1294" t="s">
        <v>158</v>
      </c>
      <c r="AF1294">
        <v>1.95</v>
      </c>
      <c r="AG1294">
        <v>0</v>
      </c>
      <c r="AH1294">
        <v>0</v>
      </c>
      <c r="AI1294" s="4">
        <v>35005</v>
      </c>
    </row>
    <row r="1295" spans="1:35">
      <c r="A1295">
        <v>1294</v>
      </c>
      <c r="B1295" t="str">
        <f>"601188"</f>
        <v>601188</v>
      </c>
      <c r="C1295" t="s">
        <v>7499</v>
      </c>
      <c r="D1295" s="4">
        <v>43190</v>
      </c>
      <c r="E1295" t="s">
        <v>1307</v>
      </c>
      <c r="F1295" t="s">
        <v>1307</v>
      </c>
      <c r="G1295" t="s">
        <v>4573</v>
      </c>
      <c r="H1295">
        <v>0.06</v>
      </c>
      <c r="I1295">
        <v>3.11</v>
      </c>
      <c r="J1295">
        <v>2.0499999999999998</v>
      </c>
      <c r="K1295" t="s">
        <v>84</v>
      </c>
      <c r="L1295">
        <v>25.75</v>
      </c>
      <c r="M1295" t="s">
        <v>197</v>
      </c>
      <c r="N1295" t="s">
        <v>7500</v>
      </c>
      <c r="O1295" t="s">
        <v>533</v>
      </c>
      <c r="P1295" t="s">
        <v>7501</v>
      </c>
      <c r="Q1295">
        <v>9.7799999999999994</v>
      </c>
      <c r="R1295" t="s">
        <v>162</v>
      </c>
      <c r="S1295">
        <v>1.0900000000000001</v>
      </c>
      <c r="T1295">
        <v>51.46</v>
      </c>
      <c r="U1295" t="s">
        <v>2881</v>
      </c>
      <c r="V1295" t="s">
        <v>114</v>
      </c>
      <c r="W1295" t="s">
        <v>162</v>
      </c>
      <c r="X1295">
        <v>2.0499999999999998</v>
      </c>
      <c r="Y1295" t="s">
        <v>1903</v>
      </c>
      <c r="Z1295" t="s">
        <v>1938</v>
      </c>
      <c r="AA1295" t="s">
        <v>6863</v>
      </c>
      <c r="AB1295">
        <v>1.04</v>
      </c>
      <c r="AC1295" t="s">
        <v>763</v>
      </c>
      <c r="AD1295">
        <v>83.09</v>
      </c>
      <c r="AE1295" t="s">
        <v>982</v>
      </c>
      <c r="AF1295">
        <v>0.93</v>
      </c>
      <c r="AG1295">
        <v>0</v>
      </c>
      <c r="AH1295">
        <v>0</v>
      </c>
      <c r="AI1295" s="4">
        <v>40256</v>
      </c>
    </row>
    <row r="1296" spans="1:35">
      <c r="A1296">
        <v>1295</v>
      </c>
      <c r="B1296" t="str">
        <f>"600735"</f>
        <v>600735</v>
      </c>
      <c r="C1296" t="s">
        <v>7502</v>
      </c>
      <c r="D1296" s="4">
        <v>43190</v>
      </c>
      <c r="E1296" t="s">
        <v>156</v>
      </c>
      <c r="F1296" t="s">
        <v>156</v>
      </c>
      <c r="G1296" t="s">
        <v>294</v>
      </c>
      <c r="H1296">
        <v>0.04</v>
      </c>
      <c r="I1296">
        <v>2.14</v>
      </c>
      <c r="J1296">
        <v>2.0499999999999998</v>
      </c>
      <c r="K1296" t="s">
        <v>89</v>
      </c>
      <c r="L1296">
        <v>8.33</v>
      </c>
      <c r="M1296" t="s">
        <v>4992</v>
      </c>
      <c r="N1296" t="s">
        <v>7503</v>
      </c>
      <c r="O1296" t="s">
        <v>7504</v>
      </c>
      <c r="P1296" t="s">
        <v>7505</v>
      </c>
      <c r="Q1296">
        <v>-6.24</v>
      </c>
      <c r="R1296" t="s">
        <v>1402</v>
      </c>
      <c r="S1296">
        <v>0.72</v>
      </c>
      <c r="T1296">
        <v>24.54</v>
      </c>
      <c r="U1296" t="s">
        <v>147</v>
      </c>
      <c r="V1296" t="s">
        <v>4936</v>
      </c>
      <c r="W1296" t="s">
        <v>7506</v>
      </c>
      <c r="X1296">
        <v>2.0499999999999998</v>
      </c>
      <c r="Y1296" t="s">
        <v>4614</v>
      </c>
      <c r="Z1296" t="s">
        <v>1004</v>
      </c>
      <c r="AA1296" t="s">
        <v>7507</v>
      </c>
      <c r="AB1296">
        <v>3.19</v>
      </c>
      <c r="AC1296" t="s">
        <v>3083</v>
      </c>
      <c r="AD1296">
        <v>74.17</v>
      </c>
      <c r="AE1296" t="s">
        <v>326</v>
      </c>
      <c r="AF1296">
        <v>0.38</v>
      </c>
      <c r="AG1296">
        <v>0</v>
      </c>
      <c r="AH1296">
        <v>0</v>
      </c>
      <c r="AI1296" s="4">
        <v>35272</v>
      </c>
    </row>
    <row r="1297" spans="1:35">
      <c r="A1297">
        <v>1296</v>
      </c>
      <c r="B1297" t="str">
        <f>"600649"</f>
        <v>600649</v>
      </c>
      <c r="C1297" t="s">
        <v>7508</v>
      </c>
      <c r="D1297" s="4">
        <v>43190</v>
      </c>
      <c r="E1297" t="s">
        <v>1943</v>
      </c>
      <c r="F1297" t="s">
        <v>223</v>
      </c>
      <c r="G1297" t="s">
        <v>1422</v>
      </c>
      <c r="H1297">
        <v>0.16</v>
      </c>
      <c r="I1297">
        <v>7.59</v>
      </c>
      <c r="J1297">
        <v>2.0499999999999998</v>
      </c>
      <c r="K1297" t="s">
        <v>1029</v>
      </c>
      <c r="L1297">
        <v>245.7</v>
      </c>
      <c r="M1297" t="s">
        <v>1117</v>
      </c>
      <c r="N1297" t="s">
        <v>139</v>
      </c>
      <c r="O1297" t="s">
        <v>43</v>
      </c>
      <c r="P1297" t="s">
        <v>133</v>
      </c>
      <c r="Q1297">
        <v>-34.520000000000003</v>
      </c>
      <c r="R1297" t="s">
        <v>841</v>
      </c>
      <c r="S1297">
        <v>4.88</v>
      </c>
      <c r="T1297">
        <v>34.68</v>
      </c>
      <c r="U1297" t="s">
        <v>5668</v>
      </c>
      <c r="V1297" t="s">
        <v>7509</v>
      </c>
      <c r="W1297" t="s">
        <v>6118</v>
      </c>
      <c r="X1297">
        <v>2.0499999999999998</v>
      </c>
      <c r="Y1297" t="s">
        <v>814</v>
      </c>
      <c r="Z1297" t="s">
        <v>252</v>
      </c>
      <c r="AA1297" t="s">
        <v>2727</v>
      </c>
      <c r="AB1297">
        <v>0.81</v>
      </c>
      <c r="AC1297" t="s">
        <v>2761</v>
      </c>
      <c r="AD1297">
        <v>51.94</v>
      </c>
      <c r="AE1297" t="s">
        <v>1455</v>
      </c>
      <c r="AF1297">
        <v>0.71</v>
      </c>
      <c r="AG1297">
        <v>0</v>
      </c>
      <c r="AH1297">
        <v>0</v>
      </c>
      <c r="AI1297" s="4">
        <v>34107</v>
      </c>
    </row>
    <row r="1298" spans="1:35">
      <c r="A1298">
        <v>1297</v>
      </c>
      <c r="B1298" t="str">
        <f>"300677"</f>
        <v>300677</v>
      </c>
      <c r="C1298" t="s">
        <v>7510</v>
      </c>
      <c r="D1298" s="4">
        <v>43190</v>
      </c>
      <c r="E1298" t="s">
        <v>1624</v>
      </c>
      <c r="F1298" t="s">
        <v>7511</v>
      </c>
      <c r="G1298">
        <v>1768</v>
      </c>
      <c r="H1298">
        <v>0.11</v>
      </c>
      <c r="I1298">
        <v>5.59</v>
      </c>
      <c r="J1298">
        <v>2.0499999999999998</v>
      </c>
      <c r="K1298" t="s">
        <v>806</v>
      </c>
      <c r="L1298">
        <v>6.52</v>
      </c>
      <c r="M1298" t="s">
        <v>7368</v>
      </c>
      <c r="N1298" t="s">
        <v>3666</v>
      </c>
      <c r="O1298" t="s">
        <v>7512</v>
      </c>
      <c r="P1298" t="s">
        <v>7513</v>
      </c>
      <c r="Q1298">
        <v>9.15</v>
      </c>
      <c r="R1298" t="s">
        <v>1320</v>
      </c>
      <c r="S1298">
        <v>1.56</v>
      </c>
      <c r="T1298">
        <v>23.72</v>
      </c>
      <c r="U1298" t="s">
        <v>304</v>
      </c>
      <c r="V1298" t="s">
        <v>1747</v>
      </c>
      <c r="W1298" t="s">
        <v>3281</v>
      </c>
      <c r="X1298">
        <v>2.0499999999999998</v>
      </c>
      <c r="Y1298" t="s">
        <v>1874</v>
      </c>
      <c r="Z1298" t="s">
        <v>2398</v>
      </c>
      <c r="AA1298" t="s">
        <v>7514</v>
      </c>
      <c r="AB1298">
        <v>3.6</v>
      </c>
      <c r="AC1298" t="s">
        <v>323</v>
      </c>
      <c r="AD1298">
        <v>64.62</v>
      </c>
      <c r="AE1298" t="s">
        <v>1787</v>
      </c>
      <c r="AF1298">
        <v>3.11</v>
      </c>
      <c r="AG1298">
        <v>0</v>
      </c>
      <c r="AH1298">
        <v>0</v>
      </c>
      <c r="AI1298" s="4">
        <v>42937</v>
      </c>
    </row>
    <row r="1299" spans="1:35">
      <c r="A1299">
        <v>1298</v>
      </c>
      <c r="B1299" t="str">
        <f>"300206"</f>
        <v>300206</v>
      </c>
      <c r="C1299" t="s">
        <v>7515</v>
      </c>
      <c r="D1299" s="4">
        <v>43190</v>
      </c>
      <c r="E1299" t="s">
        <v>6809</v>
      </c>
      <c r="F1299" t="s">
        <v>2041</v>
      </c>
      <c r="G1299" t="s">
        <v>7516</v>
      </c>
      <c r="H1299">
        <v>0.04</v>
      </c>
      <c r="I1299">
        <v>2.02</v>
      </c>
      <c r="J1299">
        <v>2.0499999999999998</v>
      </c>
      <c r="K1299" t="s">
        <v>1245</v>
      </c>
      <c r="L1299">
        <v>17.05</v>
      </c>
      <c r="M1299" t="s">
        <v>4322</v>
      </c>
      <c r="N1299" t="s">
        <v>7517</v>
      </c>
      <c r="O1299" t="s">
        <v>7518</v>
      </c>
      <c r="P1299" t="s">
        <v>7519</v>
      </c>
      <c r="Q1299">
        <v>0.37</v>
      </c>
      <c r="R1299" t="s">
        <v>1624</v>
      </c>
      <c r="S1299">
        <v>0.25</v>
      </c>
      <c r="T1299">
        <v>54.81</v>
      </c>
      <c r="U1299" t="s">
        <v>161</v>
      </c>
      <c r="V1299" t="s">
        <v>2148</v>
      </c>
      <c r="W1299" t="s">
        <v>153</v>
      </c>
      <c r="X1299">
        <v>2.0499999999999998</v>
      </c>
      <c r="Y1299" t="s">
        <v>2123</v>
      </c>
      <c r="Z1299" t="s">
        <v>609</v>
      </c>
      <c r="AA1299" t="s">
        <v>7520</v>
      </c>
      <c r="AB1299">
        <v>3.12</v>
      </c>
      <c r="AC1299" t="s">
        <v>405</v>
      </c>
      <c r="AD1299">
        <v>85.58</v>
      </c>
      <c r="AE1299" t="s">
        <v>623</v>
      </c>
      <c r="AF1299">
        <v>0.7</v>
      </c>
      <c r="AG1299">
        <v>0</v>
      </c>
      <c r="AH1299">
        <v>0</v>
      </c>
      <c r="AI1299" s="4">
        <v>40654</v>
      </c>
    </row>
    <row r="1300" spans="1:35">
      <c r="A1300">
        <v>1299</v>
      </c>
      <c r="B1300" t="str">
        <f>"300180"</f>
        <v>300180</v>
      </c>
      <c r="C1300" t="s">
        <v>7521</v>
      </c>
      <c r="D1300" s="4">
        <v>43190</v>
      </c>
      <c r="E1300" t="s">
        <v>354</v>
      </c>
      <c r="F1300" t="s">
        <v>4435</v>
      </c>
      <c r="G1300" t="s">
        <v>7522</v>
      </c>
      <c r="H1300">
        <v>0.09</v>
      </c>
      <c r="I1300">
        <v>4.34</v>
      </c>
      <c r="J1300">
        <v>2.0499999999999998</v>
      </c>
      <c r="K1300" t="s">
        <v>1872</v>
      </c>
      <c r="L1300">
        <v>65.260000000000005</v>
      </c>
      <c r="M1300" t="s">
        <v>1349</v>
      </c>
      <c r="N1300" t="s">
        <v>7523</v>
      </c>
      <c r="O1300" t="s">
        <v>677</v>
      </c>
      <c r="P1300" t="s">
        <v>651</v>
      </c>
      <c r="Q1300">
        <v>279.69</v>
      </c>
      <c r="R1300" t="s">
        <v>5061</v>
      </c>
      <c r="S1300">
        <v>0.78</v>
      </c>
      <c r="T1300">
        <v>30.33</v>
      </c>
      <c r="U1300" t="s">
        <v>3015</v>
      </c>
      <c r="V1300" t="s">
        <v>308</v>
      </c>
      <c r="W1300" t="s">
        <v>243</v>
      </c>
      <c r="X1300">
        <v>2.0499999999999998</v>
      </c>
      <c r="Y1300" t="s">
        <v>1255</v>
      </c>
      <c r="Z1300" t="s">
        <v>354</v>
      </c>
      <c r="AA1300" t="s">
        <v>2131</v>
      </c>
      <c r="AB1300">
        <v>2.5299999999999998</v>
      </c>
      <c r="AC1300" t="s">
        <v>1387</v>
      </c>
      <c r="AD1300">
        <v>71.099999999999994</v>
      </c>
      <c r="AE1300" t="s">
        <v>2028</v>
      </c>
      <c r="AF1300">
        <v>2.48</v>
      </c>
      <c r="AG1300">
        <v>0</v>
      </c>
      <c r="AH1300">
        <v>0</v>
      </c>
      <c r="AI1300" s="4">
        <v>40596</v>
      </c>
    </row>
    <row r="1301" spans="1:35">
      <c r="A1301">
        <v>1300</v>
      </c>
      <c r="B1301" t="str">
        <f>"002448"</f>
        <v>002448</v>
      </c>
      <c r="C1301" t="s">
        <v>7524</v>
      </c>
      <c r="D1301" s="4">
        <v>43190</v>
      </c>
      <c r="E1301" t="s">
        <v>2445</v>
      </c>
      <c r="F1301" t="s">
        <v>856</v>
      </c>
      <c r="G1301">
        <v>6078</v>
      </c>
      <c r="H1301">
        <v>0.08</v>
      </c>
      <c r="I1301">
        <v>4.03</v>
      </c>
      <c r="J1301">
        <v>2.0499999999999998</v>
      </c>
      <c r="K1301" t="s">
        <v>1682</v>
      </c>
      <c r="L1301">
        <v>13.3</v>
      </c>
      <c r="M1301" t="s">
        <v>7525</v>
      </c>
      <c r="N1301" t="s">
        <v>7526</v>
      </c>
      <c r="O1301" t="s">
        <v>7527</v>
      </c>
      <c r="P1301" t="s">
        <v>7528</v>
      </c>
      <c r="Q1301">
        <v>-17.309999999999999</v>
      </c>
      <c r="R1301" t="s">
        <v>1033</v>
      </c>
      <c r="S1301">
        <v>1.96</v>
      </c>
      <c r="T1301">
        <v>41.98</v>
      </c>
      <c r="U1301" t="s">
        <v>1211</v>
      </c>
      <c r="V1301" t="s">
        <v>391</v>
      </c>
      <c r="W1301" t="s">
        <v>4224</v>
      </c>
      <c r="X1301">
        <v>2.0499999999999998</v>
      </c>
      <c r="Y1301" t="s">
        <v>1025</v>
      </c>
      <c r="Z1301" t="s">
        <v>734</v>
      </c>
      <c r="AA1301" t="s">
        <v>4306</v>
      </c>
      <c r="AB1301">
        <v>1.69</v>
      </c>
      <c r="AC1301" t="s">
        <v>352</v>
      </c>
      <c r="AD1301">
        <v>64.569999999999993</v>
      </c>
      <c r="AE1301" t="s">
        <v>857</v>
      </c>
      <c r="AF1301">
        <v>1.03</v>
      </c>
      <c r="AG1301">
        <v>0</v>
      </c>
      <c r="AH1301">
        <v>0</v>
      </c>
      <c r="AI1301" s="4">
        <v>40375</v>
      </c>
    </row>
    <row r="1302" spans="1:35">
      <c r="A1302">
        <v>1301</v>
      </c>
      <c r="B1302" t="str">
        <f>"002398"</f>
        <v>002398</v>
      </c>
      <c r="C1302" t="s">
        <v>7529</v>
      </c>
      <c r="D1302" s="4">
        <v>43190</v>
      </c>
      <c r="E1302" t="s">
        <v>741</v>
      </c>
      <c r="F1302" t="s">
        <v>1037</v>
      </c>
      <c r="G1302" t="s">
        <v>2478</v>
      </c>
      <c r="H1302">
        <v>7.0000000000000007E-2</v>
      </c>
      <c r="I1302">
        <v>3.26</v>
      </c>
      <c r="J1302">
        <v>2.0499999999999998</v>
      </c>
      <c r="K1302" t="s">
        <v>155</v>
      </c>
      <c r="L1302">
        <v>33.630000000000003</v>
      </c>
      <c r="M1302" t="s">
        <v>7530</v>
      </c>
      <c r="N1302" t="s">
        <v>7531</v>
      </c>
      <c r="O1302" t="s">
        <v>5030</v>
      </c>
      <c r="P1302" t="s">
        <v>7532</v>
      </c>
      <c r="Q1302">
        <v>53.33</v>
      </c>
      <c r="R1302" t="s">
        <v>350</v>
      </c>
      <c r="S1302">
        <v>1.87</v>
      </c>
      <c r="T1302">
        <v>25.13</v>
      </c>
      <c r="U1302" t="s">
        <v>907</v>
      </c>
      <c r="V1302" t="s">
        <v>1255</v>
      </c>
      <c r="W1302" t="s">
        <v>185</v>
      </c>
      <c r="X1302">
        <v>2.0499999999999998</v>
      </c>
      <c r="Y1302" t="s">
        <v>488</v>
      </c>
      <c r="Z1302" t="s">
        <v>7533</v>
      </c>
      <c r="AA1302" t="s">
        <v>1353</v>
      </c>
      <c r="AB1302">
        <v>1.57</v>
      </c>
      <c r="AC1302" t="s">
        <v>1039</v>
      </c>
      <c r="AD1302">
        <v>73.7</v>
      </c>
      <c r="AE1302" t="s">
        <v>3368</v>
      </c>
      <c r="AF1302">
        <v>0.37</v>
      </c>
      <c r="AG1302">
        <v>0</v>
      </c>
      <c r="AH1302">
        <v>0</v>
      </c>
      <c r="AI1302" s="4">
        <v>40304</v>
      </c>
    </row>
    <row r="1303" spans="1:35">
      <c r="A1303">
        <v>1302</v>
      </c>
      <c r="B1303" t="str">
        <f>"002373"</f>
        <v>002373</v>
      </c>
      <c r="C1303" t="s">
        <v>7534</v>
      </c>
      <c r="D1303" s="4">
        <v>43190</v>
      </c>
      <c r="E1303" t="s">
        <v>80</v>
      </c>
      <c r="F1303" t="s">
        <v>1375</v>
      </c>
      <c r="G1303" t="s">
        <v>723</v>
      </c>
      <c r="H1303">
        <v>7.0000000000000007E-2</v>
      </c>
      <c r="I1303">
        <v>4.99</v>
      </c>
      <c r="J1303">
        <v>2.0499999999999998</v>
      </c>
      <c r="K1303" t="s">
        <v>1025</v>
      </c>
      <c r="L1303">
        <v>84.02</v>
      </c>
      <c r="M1303" t="s">
        <v>290</v>
      </c>
      <c r="N1303" t="s">
        <v>7535</v>
      </c>
      <c r="O1303" t="s">
        <v>290</v>
      </c>
      <c r="P1303" t="s">
        <v>651</v>
      </c>
      <c r="Q1303">
        <v>48.69</v>
      </c>
      <c r="R1303" t="s">
        <v>1792</v>
      </c>
      <c r="S1303">
        <v>1.03</v>
      </c>
      <c r="T1303">
        <v>32.119999999999997</v>
      </c>
      <c r="U1303" t="s">
        <v>315</v>
      </c>
      <c r="V1303" t="s">
        <v>951</v>
      </c>
      <c r="W1303" t="s">
        <v>905</v>
      </c>
      <c r="X1303">
        <v>2.0499999999999998</v>
      </c>
      <c r="Y1303" t="s">
        <v>1211</v>
      </c>
      <c r="Z1303" t="s">
        <v>1248</v>
      </c>
      <c r="AA1303" t="s">
        <v>1578</v>
      </c>
      <c r="AB1303">
        <v>2.37</v>
      </c>
      <c r="AC1303" t="s">
        <v>7536</v>
      </c>
      <c r="AD1303">
        <v>62.85</v>
      </c>
      <c r="AE1303" t="s">
        <v>1291</v>
      </c>
      <c r="AF1303">
        <v>2.92</v>
      </c>
      <c r="AG1303">
        <v>0</v>
      </c>
      <c r="AH1303">
        <v>0</v>
      </c>
      <c r="AI1303" s="4">
        <v>40255</v>
      </c>
    </row>
    <row r="1304" spans="1:35">
      <c r="A1304">
        <v>1303</v>
      </c>
      <c r="B1304" t="str">
        <f>"002324"</f>
        <v>002324</v>
      </c>
      <c r="C1304" t="s">
        <v>7537</v>
      </c>
      <c r="D1304" s="4">
        <v>43190</v>
      </c>
      <c r="E1304" t="s">
        <v>365</v>
      </c>
      <c r="F1304" t="s">
        <v>1999</v>
      </c>
      <c r="G1304" t="s">
        <v>2234</v>
      </c>
      <c r="H1304">
        <v>0.11</v>
      </c>
      <c r="I1304">
        <v>5.55</v>
      </c>
      <c r="J1304">
        <v>2.0499999999999998</v>
      </c>
      <c r="K1304" t="s">
        <v>1415</v>
      </c>
      <c r="L1304">
        <v>-8.1300000000000008</v>
      </c>
      <c r="M1304" t="s">
        <v>7538</v>
      </c>
      <c r="N1304" t="s">
        <v>7539</v>
      </c>
      <c r="O1304" t="s">
        <v>3897</v>
      </c>
      <c r="P1304" t="s">
        <v>7540</v>
      </c>
      <c r="Q1304">
        <v>-29.47</v>
      </c>
      <c r="R1304" t="s">
        <v>926</v>
      </c>
      <c r="S1304">
        <v>3.08</v>
      </c>
      <c r="T1304">
        <v>19.62</v>
      </c>
      <c r="U1304" t="s">
        <v>1419</v>
      </c>
      <c r="V1304" t="s">
        <v>1347</v>
      </c>
      <c r="W1304" t="s">
        <v>2450</v>
      </c>
      <c r="X1304">
        <v>2.0499999999999998</v>
      </c>
      <c r="Y1304" t="s">
        <v>391</v>
      </c>
      <c r="Z1304" t="s">
        <v>161</v>
      </c>
      <c r="AA1304" t="s">
        <v>6134</v>
      </c>
      <c r="AB1304">
        <v>2.1800000000000002</v>
      </c>
      <c r="AC1304" t="s">
        <v>2291</v>
      </c>
      <c r="AD1304">
        <v>59.88</v>
      </c>
      <c r="AE1304" t="s">
        <v>1157</v>
      </c>
      <c r="AF1304">
        <v>1.1299999999999999</v>
      </c>
      <c r="AG1304">
        <v>0</v>
      </c>
      <c r="AH1304">
        <v>0</v>
      </c>
      <c r="AI1304" s="4">
        <v>40165</v>
      </c>
    </row>
    <row r="1305" spans="1:35">
      <c r="A1305">
        <v>1304</v>
      </c>
      <c r="B1305" t="str">
        <f>"000733"</f>
        <v>000733</v>
      </c>
      <c r="C1305" t="s">
        <v>7541</v>
      </c>
      <c r="D1305" s="4">
        <v>43190</v>
      </c>
      <c r="E1305" t="s">
        <v>2686</v>
      </c>
      <c r="F1305" t="s">
        <v>2686</v>
      </c>
      <c r="G1305">
        <v>9164</v>
      </c>
      <c r="H1305">
        <v>0.18</v>
      </c>
      <c r="I1305">
        <v>9.02</v>
      </c>
      <c r="J1305">
        <v>2.0499999999999998</v>
      </c>
      <c r="K1305" t="s">
        <v>141</v>
      </c>
      <c r="L1305">
        <v>-29.9</v>
      </c>
      <c r="M1305" t="s">
        <v>1475</v>
      </c>
      <c r="N1305" t="s">
        <v>7542</v>
      </c>
      <c r="O1305" t="s">
        <v>1119</v>
      </c>
      <c r="P1305" t="s">
        <v>7543</v>
      </c>
      <c r="Q1305">
        <v>0.31</v>
      </c>
      <c r="R1305" t="s">
        <v>2620</v>
      </c>
      <c r="S1305">
        <v>2.12</v>
      </c>
      <c r="T1305">
        <v>19.55</v>
      </c>
      <c r="U1305" t="s">
        <v>2020</v>
      </c>
      <c r="V1305" t="s">
        <v>3316</v>
      </c>
      <c r="W1305" t="s">
        <v>263</v>
      </c>
      <c r="X1305">
        <v>2.0499999999999998</v>
      </c>
      <c r="Y1305" t="s">
        <v>551</v>
      </c>
      <c r="Z1305" t="s">
        <v>1174</v>
      </c>
      <c r="AA1305" t="s">
        <v>192</v>
      </c>
      <c r="AB1305">
        <v>1.33</v>
      </c>
      <c r="AC1305" t="s">
        <v>408</v>
      </c>
      <c r="AD1305">
        <v>46.77</v>
      </c>
      <c r="AE1305" t="s">
        <v>1516</v>
      </c>
      <c r="AF1305">
        <v>5.24</v>
      </c>
      <c r="AG1305">
        <v>0</v>
      </c>
      <c r="AH1305">
        <v>0</v>
      </c>
      <c r="AI1305" s="4">
        <v>35614</v>
      </c>
    </row>
    <row r="1306" spans="1:35">
      <c r="A1306">
        <v>1305</v>
      </c>
      <c r="B1306" t="str">
        <f>"000069"</f>
        <v>000069</v>
      </c>
      <c r="C1306" t="s">
        <v>7544</v>
      </c>
      <c r="D1306" s="4">
        <v>43190</v>
      </c>
      <c r="E1306" t="s">
        <v>4463</v>
      </c>
      <c r="F1306" t="s">
        <v>4683</v>
      </c>
      <c r="G1306" t="s">
        <v>7545</v>
      </c>
      <c r="H1306">
        <v>0.14000000000000001</v>
      </c>
      <c r="I1306">
        <v>6.56</v>
      </c>
      <c r="J1306">
        <v>2.0499999999999998</v>
      </c>
      <c r="K1306" t="s">
        <v>3164</v>
      </c>
      <c r="L1306">
        <v>2.97</v>
      </c>
      <c r="M1306" t="s">
        <v>161</v>
      </c>
      <c r="N1306" t="s">
        <v>1855</v>
      </c>
      <c r="O1306" t="s">
        <v>161</v>
      </c>
      <c r="P1306" t="s">
        <v>147</v>
      </c>
      <c r="Q1306">
        <v>48.07</v>
      </c>
      <c r="R1306" t="s">
        <v>2334</v>
      </c>
      <c r="S1306">
        <v>4.3899999999999997</v>
      </c>
      <c r="T1306">
        <v>63.6</v>
      </c>
      <c r="U1306" t="s">
        <v>7546</v>
      </c>
      <c r="V1306" t="s">
        <v>7547</v>
      </c>
      <c r="W1306" t="s">
        <v>1149</v>
      </c>
      <c r="X1306">
        <v>2.0499999999999998</v>
      </c>
      <c r="Y1306" t="s">
        <v>7548</v>
      </c>
      <c r="Z1306" t="s">
        <v>7549</v>
      </c>
      <c r="AA1306" t="s">
        <v>7550</v>
      </c>
      <c r="AB1306">
        <v>1.18</v>
      </c>
      <c r="AC1306" t="s">
        <v>3307</v>
      </c>
      <c r="AD1306">
        <v>22.51</v>
      </c>
      <c r="AE1306" t="s">
        <v>6982</v>
      </c>
      <c r="AF1306">
        <v>0.69</v>
      </c>
      <c r="AG1306">
        <v>0</v>
      </c>
      <c r="AH1306">
        <v>0</v>
      </c>
      <c r="AI1306" s="4">
        <v>35683</v>
      </c>
    </row>
    <row r="1307" spans="1:35">
      <c r="A1307">
        <v>1306</v>
      </c>
      <c r="B1307" t="str">
        <f>"601390"</f>
        <v>601390</v>
      </c>
      <c r="C1307" t="s">
        <v>7551</v>
      </c>
      <c r="D1307" s="4">
        <v>43190</v>
      </c>
      <c r="E1307" t="s">
        <v>1100</v>
      </c>
      <c r="F1307" t="s">
        <v>1982</v>
      </c>
      <c r="G1307">
        <v>0</v>
      </c>
      <c r="H1307">
        <v>0.14000000000000001</v>
      </c>
      <c r="I1307">
        <v>6.49</v>
      </c>
      <c r="J1307">
        <v>2.04</v>
      </c>
      <c r="K1307" t="s">
        <v>7552</v>
      </c>
      <c r="L1307">
        <v>10.119999999999999</v>
      </c>
      <c r="M1307" t="s">
        <v>152</v>
      </c>
      <c r="N1307" t="s">
        <v>7553</v>
      </c>
      <c r="O1307" t="s">
        <v>3288</v>
      </c>
      <c r="P1307" t="s">
        <v>1054</v>
      </c>
      <c r="Q1307">
        <v>21.92</v>
      </c>
      <c r="R1307" t="s">
        <v>6470</v>
      </c>
      <c r="S1307">
        <v>3.14</v>
      </c>
      <c r="T1307">
        <v>8.99</v>
      </c>
      <c r="U1307" t="s">
        <v>7554</v>
      </c>
      <c r="V1307" t="s">
        <v>7555</v>
      </c>
      <c r="W1307" t="s">
        <v>5041</v>
      </c>
      <c r="X1307">
        <v>2.04</v>
      </c>
      <c r="Y1307" t="s">
        <v>7556</v>
      </c>
      <c r="Z1307" t="s">
        <v>7557</v>
      </c>
      <c r="AA1307" t="s">
        <v>7558</v>
      </c>
      <c r="AB1307">
        <v>1.1499999999999999</v>
      </c>
      <c r="AC1307" t="s">
        <v>5275</v>
      </c>
      <c r="AD1307">
        <v>19.2</v>
      </c>
      <c r="AE1307" t="s">
        <v>2200</v>
      </c>
      <c r="AF1307">
        <v>1.93</v>
      </c>
      <c r="AG1307">
        <v>0</v>
      </c>
      <c r="AH1307" t="s">
        <v>737</v>
      </c>
      <c r="AI1307" s="4">
        <v>39419</v>
      </c>
    </row>
    <row r="1308" spans="1:35">
      <c r="A1308">
        <v>1307</v>
      </c>
      <c r="B1308" t="str">
        <f>"601018"</f>
        <v>601018</v>
      </c>
      <c r="C1308" t="s">
        <v>7559</v>
      </c>
      <c r="D1308" s="4">
        <v>43190</v>
      </c>
      <c r="E1308" t="s">
        <v>2504</v>
      </c>
      <c r="F1308" t="s">
        <v>311</v>
      </c>
      <c r="G1308" t="s">
        <v>7376</v>
      </c>
      <c r="H1308">
        <v>0.06</v>
      </c>
      <c r="I1308">
        <v>2.75</v>
      </c>
      <c r="J1308">
        <v>2.04</v>
      </c>
      <c r="K1308" t="s">
        <v>2562</v>
      </c>
      <c r="L1308">
        <v>33.24</v>
      </c>
      <c r="M1308" t="s">
        <v>895</v>
      </c>
      <c r="N1308" t="s">
        <v>64</v>
      </c>
      <c r="O1308" t="s">
        <v>1496</v>
      </c>
      <c r="P1308" t="s">
        <v>2783</v>
      </c>
      <c r="Q1308">
        <v>9.82</v>
      </c>
      <c r="R1308" t="s">
        <v>1929</v>
      </c>
      <c r="S1308">
        <v>0.91</v>
      </c>
      <c r="T1308">
        <v>25.32</v>
      </c>
      <c r="U1308" t="s">
        <v>3954</v>
      </c>
      <c r="V1308" t="s">
        <v>311</v>
      </c>
      <c r="W1308" t="s">
        <v>2858</v>
      </c>
      <c r="X1308">
        <v>2.04</v>
      </c>
      <c r="Y1308" t="s">
        <v>1931</v>
      </c>
      <c r="Z1308" t="s">
        <v>3912</v>
      </c>
      <c r="AA1308" t="s">
        <v>1281</v>
      </c>
      <c r="AB1308">
        <v>1.56</v>
      </c>
      <c r="AC1308" t="s">
        <v>2346</v>
      </c>
      <c r="AD1308">
        <v>58.92</v>
      </c>
      <c r="AE1308" t="s">
        <v>7560</v>
      </c>
      <c r="AF1308">
        <v>0.65</v>
      </c>
      <c r="AG1308">
        <v>0</v>
      </c>
      <c r="AH1308">
        <v>0</v>
      </c>
      <c r="AI1308" s="4">
        <v>40449</v>
      </c>
    </row>
    <row r="1309" spans="1:35">
      <c r="A1309">
        <v>1308</v>
      </c>
      <c r="B1309" t="str">
        <f>"600388"</f>
        <v>600388</v>
      </c>
      <c r="C1309" t="s">
        <v>7561</v>
      </c>
      <c r="D1309" s="4">
        <v>43190</v>
      </c>
      <c r="E1309" t="s">
        <v>295</v>
      </c>
      <c r="F1309" t="s">
        <v>295</v>
      </c>
      <c r="G1309">
        <v>9892</v>
      </c>
      <c r="H1309">
        <v>0.09</v>
      </c>
      <c r="I1309">
        <v>4.32</v>
      </c>
      <c r="J1309">
        <v>2.04</v>
      </c>
      <c r="K1309" t="s">
        <v>264</v>
      </c>
      <c r="L1309">
        <v>5.81</v>
      </c>
      <c r="M1309" t="s">
        <v>256</v>
      </c>
      <c r="N1309">
        <v>0</v>
      </c>
      <c r="O1309" t="s">
        <v>1627</v>
      </c>
      <c r="P1309" t="s">
        <v>7562</v>
      </c>
      <c r="Q1309">
        <v>11.08</v>
      </c>
      <c r="R1309" t="s">
        <v>2523</v>
      </c>
      <c r="S1309">
        <v>2.58</v>
      </c>
      <c r="T1309">
        <v>25.4</v>
      </c>
      <c r="U1309" t="s">
        <v>839</v>
      </c>
      <c r="V1309" t="s">
        <v>1524</v>
      </c>
      <c r="W1309" t="s">
        <v>1094</v>
      </c>
      <c r="X1309">
        <v>2.04</v>
      </c>
      <c r="Y1309" t="s">
        <v>525</v>
      </c>
      <c r="Z1309" t="s">
        <v>232</v>
      </c>
      <c r="AA1309" t="s">
        <v>540</v>
      </c>
      <c r="AB1309">
        <v>3.05</v>
      </c>
      <c r="AC1309" t="s">
        <v>1738</v>
      </c>
      <c r="AD1309">
        <v>30.42</v>
      </c>
      <c r="AE1309" t="s">
        <v>2686</v>
      </c>
      <c r="AF1309">
        <v>0.44</v>
      </c>
      <c r="AG1309">
        <v>0</v>
      </c>
      <c r="AH1309">
        <v>0</v>
      </c>
      <c r="AI1309" s="4">
        <v>36889</v>
      </c>
    </row>
    <row r="1310" spans="1:35">
      <c r="A1310">
        <v>1309</v>
      </c>
      <c r="B1310" t="str">
        <f>"300712"</f>
        <v>300712</v>
      </c>
      <c r="C1310" t="s">
        <v>7563</v>
      </c>
      <c r="D1310" s="4">
        <v>43190</v>
      </c>
      <c r="E1310" t="s">
        <v>1974</v>
      </c>
      <c r="F1310" t="s">
        <v>7564</v>
      </c>
      <c r="G1310">
        <v>1584</v>
      </c>
      <c r="H1310">
        <v>0.13</v>
      </c>
      <c r="I1310">
        <v>6.34</v>
      </c>
      <c r="J1310">
        <v>2.04</v>
      </c>
      <c r="K1310" t="s">
        <v>1038</v>
      </c>
      <c r="L1310">
        <v>17.440000000000001</v>
      </c>
      <c r="M1310" t="s">
        <v>6784</v>
      </c>
      <c r="N1310">
        <v>0</v>
      </c>
      <c r="O1310" t="s">
        <v>384</v>
      </c>
      <c r="P1310" t="s">
        <v>7565</v>
      </c>
      <c r="Q1310">
        <v>4.91</v>
      </c>
      <c r="R1310" t="s">
        <v>262</v>
      </c>
      <c r="S1310">
        <v>1.59</v>
      </c>
      <c r="T1310">
        <v>33.57</v>
      </c>
      <c r="U1310" t="s">
        <v>250</v>
      </c>
      <c r="V1310" t="s">
        <v>4097</v>
      </c>
      <c r="W1310" t="s">
        <v>1417</v>
      </c>
      <c r="X1310">
        <v>2.04</v>
      </c>
      <c r="Y1310" t="s">
        <v>1402</v>
      </c>
      <c r="Z1310" t="s">
        <v>1402</v>
      </c>
      <c r="AA1310">
        <v>0</v>
      </c>
      <c r="AB1310">
        <v>3.05</v>
      </c>
      <c r="AC1310" t="s">
        <v>2233</v>
      </c>
      <c r="AD1310">
        <v>75.17</v>
      </c>
      <c r="AE1310" t="s">
        <v>1959</v>
      </c>
      <c r="AF1310">
        <v>3.62</v>
      </c>
      <c r="AG1310">
        <v>0</v>
      </c>
      <c r="AH1310">
        <v>0</v>
      </c>
      <c r="AI1310" s="4">
        <v>43039</v>
      </c>
    </row>
    <row r="1311" spans="1:35">
      <c r="A1311">
        <v>1310</v>
      </c>
      <c r="B1311" t="str">
        <f>"300578"</f>
        <v>300578</v>
      </c>
      <c r="C1311" t="s">
        <v>7566</v>
      </c>
      <c r="D1311" s="4">
        <v>43190</v>
      </c>
      <c r="E1311" t="s">
        <v>2306</v>
      </c>
      <c r="F1311" t="s">
        <v>7146</v>
      </c>
      <c r="G1311">
        <v>4514</v>
      </c>
      <c r="H1311">
        <v>0.04</v>
      </c>
      <c r="I1311">
        <v>2.16</v>
      </c>
      <c r="J1311">
        <v>2.04</v>
      </c>
      <c r="K1311" t="s">
        <v>6623</v>
      </c>
      <c r="L1311">
        <v>-6.95</v>
      </c>
      <c r="M1311" t="s">
        <v>7567</v>
      </c>
      <c r="N1311" t="s">
        <v>4471</v>
      </c>
      <c r="O1311" t="s">
        <v>7568</v>
      </c>
      <c r="P1311" t="s">
        <v>5972</v>
      </c>
      <c r="Q1311">
        <v>22.11</v>
      </c>
      <c r="R1311" t="s">
        <v>7569</v>
      </c>
      <c r="S1311">
        <v>0.41</v>
      </c>
      <c r="T1311">
        <v>54.18</v>
      </c>
      <c r="U1311" t="s">
        <v>2029</v>
      </c>
      <c r="V1311" t="s">
        <v>594</v>
      </c>
      <c r="W1311" t="s">
        <v>7570</v>
      </c>
      <c r="X1311">
        <v>2.04</v>
      </c>
      <c r="Y1311" t="s">
        <v>7571</v>
      </c>
      <c r="Z1311" t="s">
        <v>1556</v>
      </c>
      <c r="AA1311" t="s">
        <v>7572</v>
      </c>
      <c r="AB1311">
        <v>10.61</v>
      </c>
      <c r="AC1311" t="s">
        <v>205</v>
      </c>
      <c r="AD1311">
        <v>80.900000000000006</v>
      </c>
      <c r="AE1311" t="s">
        <v>368</v>
      </c>
      <c r="AF1311">
        <v>0.85</v>
      </c>
      <c r="AG1311">
        <v>0</v>
      </c>
      <c r="AH1311">
        <v>0</v>
      </c>
      <c r="AI1311" s="4">
        <v>42760</v>
      </c>
    </row>
    <row r="1312" spans="1:35">
      <c r="A1312">
        <v>1311</v>
      </c>
      <c r="B1312" t="str">
        <f>"300182"</f>
        <v>300182</v>
      </c>
      <c r="C1312" t="s">
        <v>7573</v>
      </c>
      <c r="D1312" s="4">
        <v>43190</v>
      </c>
      <c r="E1312" t="s">
        <v>710</v>
      </c>
      <c r="F1312" t="s">
        <v>624</v>
      </c>
      <c r="G1312" t="s">
        <v>7574</v>
      </c>
      <c r="H1312">
        <v>0.08</v>
      </c>
      <c r="I1312">
        <v>3.89</v>
      </c>
      <c r="J1312">
        <v>2.04</v>
      </c>
      <c r="K1312" t="s">
        <v>2731</v>
      </c>
      <c r="L1312">
        <v>85.45</v>
      </c>
      <c r="M1312" t="s">
        <v>618</v>
      </c>
      <c r="N1312" t="s">
        <v>7575</v>
      </c>
      <c r="O1312" t="s">
        <v>193</v>
      </c>
      <c r="P1312" t="s">
        <v>1853</v>
      </c>
      <c r="Q1312">
        <v>69.849999999999994</v>
      </c>
      <c r="R1312" t="s">
        <v>589</v>
      </c>
      <c r="S1312">
        <v>1.1299999999999999</v>
      </c>
      <c r="T1312">
        <v>34.28</v>
      </c>
      <c r="U1312" t="s">
        <v>571</v>
      </c>
      <c r="V1312" t="s">
        <v>7234</v>
      </c>
      <c r="W1312" t="s">
        <v>1038</v>
      </c>
      <c r="X1312">
        <v>2.04</v>
      </c>
      <c r="Y1312" t="s">
        <v>1923</v>
      </c>
      <c r="Z1312" t="s">
        <v>2093</v>
      </c>
      <c r="AA1312" t="s">
        <v>141</v>
      </c>
      <c r="AB1312">
        <v>1.92</v>
      </c>
      <c r="AC1312" t="s">
        <v>1254</v>
      </c>
      <c r="AD1312">
        <v>66.5</v>
      </c>
      <c r="AE1312" t="s">
        <v>2245</v>
      </c>
      <c r="AF1312">
        <v>1.74</v>
      </c>
      <c r="AG1312">
        <v>0</v>
      </c>
      <c r="AH1312">
        <v>0</v>
      </c>
      <c r="AI1312" s="4">
        <v>40596</v>
      </c>
    </row>
    <row r="1313" spans="1:35">
      <c r="A1313">
        <v>1312</v>
      </c>
      <c r="B1313" t="str">
        <f>"002880"</f>
        <v>002880</v>
      </c>
      <c r="C1313" t="s">
        <v>7576</v>
      </c>
      <c r="D1313" s="4">
        <v>43190</v>
      </c>
      <c r="E1313" t="s">
        <v>71</v>
      </c>
      <c r="F1313" t="s">
        <v>7577</v>
      </c>
      <c r="G1313">
        <v>1787</v>
      </c>
      <c r="H1313">
        <v>0.23</v>
      </c>
      <c r="I1313">
        <v>10.87</v>
      </c>
      <c r="J1313">
        <v>2.04</v>
      </c>
      <c r="K1313" t="s">
        <v>1376</v>
      </c>
      <c r="L1313">
        <v>-11.75</v>
      </c>
      <c r="M1313" t="s">
        <v>7578</v>
      </c>
      <c r="N1313">
        <v>0</v>
      </c>
      <c r="O1313" t="s">
        <v>7579</v>
      </c>
      <c r="P1313" t="s">
        <v>6840</v>
      </c>
      <c r="Q1313">
        <v>-28.66</v>
      </c>
      <c r="R1313" t="s">
        <v>1794</v>
      </c>
      <c r="S1313">
        <v>3.37</v>
      </c>
      <c r="T1313">
        <v>39.94</v>
      </c>
      <c r="U1313" t="s">
        <v>1384</v>
      </c>
      <c r="V1313" t="s">
        <v>2512</v>
      </c>
      <c r="W1313" t="s">
        <v>676</v>
      </c>
      <c r="X1313">
        <v>2.04</v>
      </c>
      <c r="Y1313" t="s">
        <v>1077</v>
      </c>
      <c r="Z1313" t="s">
        <v>280</v>
      </c>
      <c r="AA1313" t="s">
        <v>7580</v>
      </c>
      <c r="AB1313">
        <v>3.94</v>
      </c>
      <c r="AC1313" t="s">
        <v>405</v>
      </c>
      <c r="AD1313">
        <v>87.01</v>
      </c>
      <c r="AE1313" t="s">
        <v>1907</v>
      </c>
      <c r="AF1313">
        <v>5.92</v>
      </c>
      <c r="AG1313">
        <v>0</v>
      </c>
      <c r="AH1313">
        <v>0</v>
      </c>
      <c r="AI1313" s="4">
        <v>42902</v>
      </c>
    </row>
    <row r="1314" spans="1:35">
      <c r="A1314">
        <v>1313</v>
      </c>
      <c r="B1314" t="str">
        <f>"002429"</f>
        <v>002429</v>
      </c>
      <c r="C1314" t="s">
        <v>7581</v>
      </c>
      <c r="D1314" s="4">
        <v>43190</v>
      </c>
      <c r="E1314" t="s">
        <v>4889</v>
      </c>
      <c r="F1314" t="s">
        <v>2301</v>
      </c>
      <c r="G1314" t="s">
        <v>7582</v>
      </c>
      <c r="H1314">
        <v>0.04</v>
      </c>
      <c r="I1314">
        <v>1.85</v>
      </c>
      <c r="J1314">
        <v>2.04</v>
      </c>
      <c r="K1314" t="s">
        <v>2941</v>
      </c>
      <c r="L1314">
        <v>59.6</v>
      </c>
      <c r="M1314" t="s">
        <v>3332</v>
      </c>
      <c r="N1314" t="s">
        <v>7583</v>
      </c>
      <c r="O1314" t="s">
        <v>3332</v>
      </c>
      <c r="P1314" t="s">
        <v>321</v>
      </c>
      <c r="Q1314">
        <v>16.97</v>
      </c>
      <c r="R1314" t="s">
        <v>2283</v>
      </c>
      <c r="S1314">
        <v>0.74</v>
      </c>
      <c r="T1314">
        <v>10.119999999999999</v>
      </c>
      <c r="U1314" t="s">
        <v>5633</v>
      </c>
      <c r="V1314" t="s">
        <v>229</v>
      </c>
      <c r="W1314" t="s">
        <v>147</v>
      </c>
      <c r="X1314">
        <v>2.04</v>
      </c>
      <c r="Y1314" t="s">
        <v>7584</v>
      </c>
      <c r="Z1314" t="s">
        <v>247</v>
      </c>
      <c r="AA1314" t="s">
        <v>1687</v>
      </c>
      <c r="AB1314">
        <v>1.37</v>
      </c>
      <c r="AC1314" t="s">
        <v>4940</v>
      </c>
      <c r="AD1314">
        <v>47.63</v>
      </c>
      <c r="AE1314" t="s">
        <v>2069</v>
      </c>
      <c r="AF1314">
        <v>0.04</v>
      </c>
      <c r="AG1314">
        <v>0</v>
      </c>
      <c r="AH1314">
        <v>0</v>
      </c>
      <c r="AI1314" s="4">
        <v>40339</v>
      </c>
    </row>
    <row r="1315" spans="1:35">
      <c r="A1315">
        <v>1314</v>
      </c>
      <c r="B1315" t="str">
        <f>"603685"</f>
        <v>603685</v>
      </c>
      <c r="C1315" t="s">
        <v>7585</v>
      </c>
      <c r="D1315" s="4">
        <v>43190</v>
      </c>
      <c r="E1315" t="s">
        <v>802</v>
      </c>
      <c r="F1315" t="s">
        <v>2819</v>
      </c>
      <c r="G1315">
        <v>1802</v>
      </c>
      <c r="H1315">
        <v>0.14000000000000001</v>
      </c>
      <c r="I1315">
        <v>6.8</v>
      </c>
      <c r="J1315">
        <v>2.0299999999999998</v>
      </c>
      <c r="K1315" t="s">
        <v>1202</v>
      </c>
      <c r="L1315">
        <v>8.25</v>
      </c>
      <c r="M1315" t="s">
        <v>2995</v>
      </c>
      <c r="N1315" t="s">
        <v>7586</v>
      </c>
      <c r="O1315" t="s">
        <v>7587</v>
      </c>
      <c r="P1315" t="s">
        <v>7588</v>
      </c>
      <c r="Q1315">
        <v>-26.06</v>
      </c>
      <c r="R1315" t="s">
        <v>415</v>
      </c>
      <c r="S1315">
        <v>1.33</v>
      </c>
      <c r="T1315">
        <v>22.64</v>
      </c>
      <c r="U1315" t="s">
        <v>2329</v>
      </c>
      <c r="V1315" t="s">
        <v>2984</v>
      </c>
      <c r="W1315" t="s">
        <v>609</v>
      </c>
      <c r="X1315">
        <v>2.0299999999999998</v>
      </c>
      <c r="Y1315" t="s">
        <v>2085</v>
      </c>
      <c r="Z1315" t="s">
        <v>7589</v>
      </c>
      <c r="AA1315" t="s">
        <v>4452</v>
      </c>
      <c r="AB1315">
        <v>2.71</v>
      </c>
      <c r="AC1315" t="s">
        <v>2073</v>
      </c>
      <c r="AD1315">
        <v>92.36</v>
      </c>
      <c r="AE1315" t="s">
        <v>2851</v>
      </c>
      <c r="AF1315">
        <v>4.32</v>
      </c>
      <c r="AG1315">
        <v>0</v>
      </c>
      <c r="AH1315">
        <v>0</v>
      </c>
      <c r="AI1315" s="4">
        <v>43066</v>
      </c>
    </row>
    <row r="1316" spans="1:35">
      <c r="A1316">
        <v>1315</v>
      </c>
      <c r="B1316" t="str">
        <f>"601965"</f>
        <v>601965</v>
      </c>
      <c r="C1316" t="s">
        <v>7590</v>
      </c>
      <c r="D1316" s="4">
        <v>43190</v>
      </c>
      <c r="E1316" t="s">
        <v>2421</v>
      </c>
      <c r="F1316" t="s">
        <v>2678</v>
      </c>
      <c r="G1316" t="s">
        <v>7591</v>
      </c>
      <c r="H1316">
        <v>0.09</v>
      </c>
      <c r="I1316">
        <v>4.53</v>
      </c>
      <c r="J1316">
        <v>2.0299999999999998</v>
      </c>
      <c r="K1316" t="s">
        <v>4760</v>
      </c>
      <c r="L1316">
        <v>72.36</v>
      </c>
      <c r="M1316" t="s">
        <v>1475</v>
      </c>
      <c r="N1316" t="s">
        <v>7592</v>
      </c>
      <c r="O1316" t="s">
        <v>1475</v>
      </c>
      <c r="P1316" t="s">
        <v>7593</v>
      </c>
      <c r="Q1316">
        <v>17.46</v>
      </c>
      <c r="R1316" t="s">
        <v>1343</v>
      </c>
      <c r="S1316">
        <v>1.8</v>
      </c>
      <c r="T1316">
        <v>24.25</v>
      </c>
      <c r="U1316" t="s">
        <v>1388</v>
      </c>
      <c r="V1316" t="s">
        <v>450</v>
      </c>
      <c r="W1316" t="s">
        <v>1190</v>
      </c>
      <c r="X1316">
        <v>2.0299999999999998</v>
      </c>
      <c r="Y1316" t="s">
        <v>277</v>
      </c>
      <c r="Z1316" t="s">
        <v>3281</v>
      </c>
      <c r="AA1316" t="s">
        <v>844</v>
      </c>
      <c r="AB1316">
        <v>1.83</v>
      </c>
      <c r="AC1316" t="s">
        <v>245</v>
      </c>
      <c r="AD1316">
        <v>82.59</v>
      </c>
      <c r="AE1316" t="s">
        <v>584</v>
      </c>
      <c r="AF1316">
        <v>1.5</v>
      </c>
      <c r="AG1316">
        <v>0</v>
      </c>
      <c r="AH1316">
        <v>0</v>
      </c>
      <c r="AI1316" s="4">
        <v>41071</v>
      </c>
    </row>
    <row r="1317" spans="1:35">
      <c r="A1317">
        <v>1316</v>
      </c>
      <c r="B1317" t="str">
        <f>"300652"</f>
        <v>300652</v>
      </c>
      <c r="C1317" t="s">
        <v>7594</v>
      </c>
      <c r="D1317" s="4">
        <v>43190</v>
      </c>
      <c r="E1317" t="s">
        <v>4121</v>
      </c>
      <c r="F1317" t="s">
        <v>7595</v>
      </c>
      <c r="G1317">
        <v>1904</v>
      </c>
      <c r="H1317">
        <v>0.15</v>
      </c>
      <c r="I1317">
        <v>7.51</v>
      </c>
      <c r="J1317">
        <v>2.0299999999999998</v>
      </c>
      <c r="K1317" t="s">
        <v>1475</v>
      </c>
      <c r="L1317">
        <v>3.66</v>
      </c>
      <c r="M1317" t="s">
        <v>7596</v>
      </c>
      <c r="N1317" t="s">
        <v>5939</v>
      </c>
      <c r="O1317" t="s">
        <v>7597</v>
      </c>
      <c r="P1317" t="s">
        <v>7598</v>
      </c>
      <c r="Q1317">
        <v>-18.27</v>
      </c>
      <c r="R1317" t="s">
        <v>618</v>
      </c>
      <c r="S1317">
        <v>2.2599999999999998</v>
      </c>
      <c r="T1317">
        <v>29.01</v>
      </c>
      <c r="U1317" t="s">
        <v>4877</v>
      </c>
      <c r="V1317" t="s">
        <v>563</v>
      </c>
      <c r="W1317" t="s">
        <v>7599</v>
      </c>
      <c r="X1317">
        <v>2.0299999999999998</v>
      </c>
      <c r="Y1317" t="s">
        <v>696</v>
      </c>
      <c r="Z1317" t="s">
        <v>1364</v>
      </c>
      <c r="AA1317" t="s">
        <v>7600</v>
      </c>
      <c r="AB1317">
        <v>2.77</v>
      </c>
      <c r="AC1317" t="s">
        <v>563</v>
      </c>
      <c r="AD1317">
        <v>75.47</v>
      </c>
      <c r="AE1317" t="s">
        <v>1712</v>
      </c>
      <c r="AF1317">
        <v>3.99</v>
      </c>
      <c r="AG1317">
        <v>0</v>
      </c>
      <c r="AH1317">
        <v>0</v>
      </c>
      <c r="AI1317" s="4">
        <v>42871</v>
      </c>
    </row>
    <row r="1318" spans="1:35">
      <c r="A1318">
        <v>1317</v>
      </c>
      <c r="B1318" t="str">
        <f>"300059"</f>
        <v>300059</v>
      </c>
      <c r="C1318" t="s">
        <v>7601</v>
      </c>
      <c r="D1318" s="4">
        <v>43190</v>
      </c>
      <c r="E1318" t="s">
        <v>3578</v>
      </c>
      <c r="F1318" t="s">
        <v>2239</v>
      </c>
      <c r="G1318" t="s">
        <v>2209</v>
      </c>
      <c r="H1318">
        <v>0.06</v>
      </c>
      <c r="I1318">
        <v>2.66</v>
      </c>
      <c r="J1318">
        <v>2.0299999999999998</v>
      </c>
      <c r="K1318" t="s">
        <v>6799</v>
      </c>
      <c r="L1318">
        <v>53.55</v>
      </c>
      <c r="M1318" t="s">
        <v>2268</v>
      </c>
      <c r="N1318" t="s">
        <v>7602</v>
      </c>
      <c r="O1318" t="s">
        <v>1461</v>
      </c>
      <c r="P1318" t="s">
        <v>296</v>
      </c>
      <c r="Q1318">
        <v>199.48</v>
      </c>
      <c r="R1318" t="s">
        <v>1158</v>
      </c>
      <c r="S1318">
        <v>0.55000000000000004</v>
      </c>
      <c r="T1318">
        <v>73.03</v>
      </c>
      <c r="U1318" t="s">
        <v>7603</v>
      </c>
      <c r="V1318" t="s">
        <v>6453</v>
      </c>
      <c r="W1318" t="s">
        <v>304</v>
      </c>
      <c r="X1318">
        <v>2.0299999999999998</v>
      </c>
      <c r="Y1318" t="s">
        <v>7604</v>
      </c>
      <c r="Z1318" t="s">
        <v>1882</v>
      </c>
      <c r="AA1318" t="s">
        <v>4799</v>
      </c>
      <c r="AB1318">
        <v>4.66</v>
      </c>
      <c r="AC1318" t="s">
        <v>3118</v>
      </c>
      <c r="AD1318">
        <v>33.19</v>
      </c>
      <c r="AE1318" t="s">
        <v>1713</v>
      </c>
      <c r="AF1318">
        <v>1.05</v>
      </c>
      <c r="AG1318">
        <v>0</v>
      </c>
      <c r="AH1318">
        <v>0</v>
      </c>
      <c r="AI1318" s="4">
        <v>40256</v>
      </c>
    </row>
    <row r="1319" spans="1:35">
      <c r="A1319">
        <v>1318</v>
      </c>
      <c r="B1319" t="str">
        <f>"002187"</f>
        <v>002187</v>
      </c>
      <c r="C1319" t="s">
        <v>7605</v>
      </c>
      <c r="D1319" s="4">
        <v>43190</v>
      </c>
      <c r="E1319" t="s">
        <v>143</v>
      </c>
      <c r="F1319" t="s">
        <v>143</v>
      </c>
      <c r="G1319" t="s">
        <v>3789</v>
      </c>
      <c r="H1319">
        <v>0.16</v>
      </c>
      <c r="I1319">
        <v>7.59</v>
      </c>
      <c r="J1319">
        <v>2.0299999999999998</v>
      </c>
      <c r="K1319" t="s">
        <v>2328</v>
      </c>
      <c r="L1319">
        <v>20.88</v>
      </c>
      <c r="M1319" t="s">
        <v>5164</v>
      </c>
      <c r="N1319" t="s">
        <v>3109</v>
      </c>
      <c r="O1319" t="s">
        <v>5682</v>
      </c>
      <c r="P1319" t="s">
        <v>7606</v>
      </c>
      <c r="Q1319">
        <v>11.84</v>
      </c>
      <c r="R1319" t="s">
        <v>625</v>
      </c>
      <c r="S1319">
        <v>3.21</v>
      </c>
      <c r="T1319">
        <v>17.5</v>
      </c>
      <c r="U1319" t="s">
        <v>2694</v>
      </c>
      <c r="V1319" t="s">
        <v>1875</v>
      </c>
      <c r="W1319" t="s">
        <v>521</v>
      </c>
      <c r="X1319">
        <v>2.0299999999999998</v>
      </c>
      <c r="Y1319" t="s">
        <v>1792</v>
      </c>
      <c r="Z1319" t="s">
        <v>855</v>
      </c>
      <c r="AA1319" t="s">
        <v>7607</v>
      </c>
      <c r="AB1319">
        <v>1.07</v>
      </c>
      <c r="AC1319" t="s">
        <v>158</v>
      </c>
      <c r="AD1319">
        <v>63.95</v>
      </c>
      <c r="AE1319" t="s">
        <v>1198</v>
      </c>
      <c r="AF1319">
        <v>2.67</v>
      </c>
      <c r="AG1319">
        <v>0</v>
      </c>
      <c r="AH1319">
        <v>0</v>
      </c>
      <c r="AI1319" s="4">
        <v>39408</v>
      </c>
    </row>
    <row r="1320" spans="1:35">
      <c r="A1320">
        <v>1319</v>
      </c>
      <c r="B1320" t="str">
        <f>"603128"</f>
        <v>603128</v>
      </c>
      <c r="C1320" t="s">
        <v>7608</v>
      </c>
      <c r="D1320" s="4">
        <v>43190</v>
      </c>
      <c r="E1320" t="s">
        <v>1094</v>
      </c>
      <c r="F1320" t="s">
        <v>4224</v>
      </c>
      <c r="G1320" t="s">
        <v>1105</v>
      </c>
      <c r="H1320">
        <v>0.08</v>
      </c>
      <c r="I1320">
        <v>3.7</v>
      </c>
      <c r="J1320">
        <v>2.02</v>
      </c>
      <c r="K1320" t="s">
        <v>1920</v>
      </c>
      <c r="L1320">
        <v>14.8</v>
      </c>
      <c r="M1320" t="s">
        <v>2965</v>
      </c>
      <c r="N1320" t="s">
        <v>3093</v>
      </c>
      <c r="O1320" t="s">
        <v>533</v>
      </c>
      <c r="P1320" t="s">
        <v>7609</v>
      </c>
      <c r="Q1320">
        <v>21.71</v>
      </c>
      <c r="R1320" t="s">
        <v>619</v>
      </c>
      <c r="S1320">
        <v>0.74</v>
      </c>
      <c r="T1320">
        <v>12.07</v>
      </c>
      <c r="U1320" t="s">
        <v>5850</v>
      </c>
      <c r="V1320" t="s">
        <v>457</v>
      </c>
      <c r="W1320" t="s">
        <v>734</v>
      </c>
      <c r="X1320">
        <v>2.02</v>
      </c>
      <c r="Y1320" t="s">
        <v>624</v>
      </c>
      <c r="Z1320" t="s">
        <v>840</v>
      </c>
      <c r="AA1320" t="s">
        <v>7610</v>
      </c>
      <c r="AB1320">
        <v>1.62</v>
      </c>
      <c r="AC1320" t="s">
        <v>1419</v>
      </c>
      <c r="AD1320">
        <v>72.650000000000006</v>
      </c>
      <c r="AE1320" t="s">
        <v>1752</v>
      </c>
      <c r="AF1320">
        <v>1.92</v>
      </c>
      <c r="AG1320">
        <v>0</v>
      </c>
      <c r="AH1320">
        <v>0</v>
      </c>
      <c r="AI1320" s="4">
        <v>41058</v>
      </c>
    </row>
    <row r="1321" spans="1:35">
      <c r="A1321">
        <v>1320</v>
      </c>
      <c r="B1321" t="str">
        <f>"600820"</f>
        <v>600820</v>
      </c>
      <c r="C1321" t="s">
        <v>7611</v>
      </c>
      <c r="D1321" s="4">
        <v>43190</v>
      </c>
      <c r="E1321" t="s">
        <v>1380</v>
      </c>
      <c r="F1321" t="s">
        <v>1380</v>
      </c>
      <c r="G1321" t="s">
        <v>7516</v>
      </c>
      <c r="H1321">
        <v>0.12</v>
      </c>
      <c r="I1321">
        <v>6.21</v>
      </c>
      <c r="J1321">
        <v>2.02</v>
      </c>
      <c r="K1321" t="s">
        <v>3877</v>
      </c>
      <c r="L1321">
        <v>10.96</v>
      </c>
      <c r="M1321" t="s">
        <v>5374</v>
      </c>
      <c r="N1321" t="s">
        <v>95</v>
      </c>
      <c r="O1321" t="s">
        <v>5374</v>
      </c>
      <c r="P1321" t="s">
        <v>2098</v>
      </c>
      <c r="Q1321">
        <v>9.7899999999999991</v>
      </c>
      <c r="R1321" t="s">
        <v>2626</v>
      </c>
      <c r="S1321">
        <v>2.61</v>
      </c>
      <c r="T1321">
        <v>12.48</v>
      </c>
      <c r="U1321" t="s">
        <v>7612</v>
      </c>
      <c r="V1321" t="s">
        <v>7613</v>
      </c>
      <c r="W1321" t="s">
        <v>1219</v>
      </c>
      <c r="X1321">
        <v>2.02</v>
      </c>
      <c r="Y1321" t="s">
        <v>7614</v>
      </c>
      <c r="Z1321" t="s">
        <v>3981</v>
      </c>
      <c r="AA1321" t="s">
        <v>465</v>
      </c>
      <c r="AB1321">
        <v>0.94</v>
      </c>
      <c r="AC1321" t="s">
        <v>462</v>
      </c>
      <c r="AD1321">
        <v>28.67</v>
      </c>
      <c r="AE1321" t="s">
        <v>3826</v>
      </c>
      <c r="AF1321">
        <v>2.17</v>
      </c>
      <c r="AG1321">
        <v>0</v>
      </c>
      <c r="AH1321">
        <v>0</v>
      </c>
      <c r="AI1321" s="4">
        <v>34362</v>
      </c>
    </row>
    <row r="1322" spans="1:35">
      <c r="A1322">
        <v>1321</v>
      </c>
      <c r="B1322" t="str">
        <f>"600580"</f>
        <v>600580</v>
      </c>
      <c r="C1322" t="s">
        <v>7615</v>
      </c>
      <c r="D1322" s="4">
        <v>43190</v>
      </c>
      <c r="E1322" t="s">
        <v>101</v>
      </c>
      <c r="F1322" t="s">
        <v>323</v>
      </c>
      <c r="G1322" t="s">
        <v>5811</v>
      </c>
      <c r="H1322">
        <v>0.09</v>
      </c>
      <c r="I1322">
        <v>4.4800000000000004</v>
      </c>
      <c r="J1322">
        <v>2.02</v>
      </c>
      <c r="K1322" t="s">
        <v>1687</v>
      </c>
      <c r="L1322">
        <v>10.68</v>
      </c>
      <c r="M1322" t="s">
        <v>1689</v>
      </c>
      <c r="N1322" t="s">
        <v>7616</v>
      </c>
      <c r="O1322" t="s">
        <v>505</v>
      </c>
      <c r="P1322" t="s">
        <v>282</v>
      </c>
      <c r="Q1322">
        <v>238.39</v>
      </c>
      <c r="R1322" t="s">
        <v>2515</v>
      </c>
      <c r="S1322">
        <v>2.0299999999999998</v>
      </c>
      <c r="T1322">
        <v>24.86</v>
      </c>
      <c r="U1322" t="s">
        <v>2016</v>
      </c>
      <c r="V1322" t="s">
        <v>2020</v>
      </c>
      <c r="W1322" t="s">
        <v>238</v>
      </c>
      <c r="X1322">
        <v>2.02</v>
      </c>
      <c r="Y1322" t="s">
        <v>252</v>
      </c>
      <c r="Z1322" t="s">
        <v>2493</v>
      </c>
      <c r="AA1322" t="s">
        <v>1051</v>
      </c>
      <c r="AB1322">
        <v>1.64</v>
      </c>
      <c r="AC1322" t="s">
        <v>1134</v>
      </c>
      <c r="AD1322">
        <v>34.799999999999997</v>
      </c>
      <c r="AE1322" t="s">
        <v>308</v>
      </c>
      <c r="AF1322">
        <v>1.47</v>
      </c>
      <c r="AG1322">
        <v>0</v>
      </c>
      <c r="AH1322">
        <v>0</v>
      </c>
      <c r="AI1322" s="4">
        <v>37413</v>
      </c>
    </row>
    <row r="1323" spans="1:35">
      <c r="A1323">
        <v>1322</v>
      </c>
      <c r="B1323" t="str">
        <f>"300713"</f>
        <v>300713</v>
      </c>
      <c r="C1323" t="s">
        <v>7617</v>
      </c>
      <c r="D1323" s="4">
        <v>43190</v>
      </c>
      <c r="E1323" t="s">
        <v>7618</v>
      </c>
      <c r="F1323" t="s">
        <v>7619</v>
      </c>
      <c r="G1323">
        <v>922</v>
      </c>
      <c r="H1323">
        <v>0.15</v>
      </c>
      <c r="I1323">
        <v>7.53</v>
      </c>
      <c r="J1323">
        <v>2.02</v>
      </c>
      <c r="K1323" t="s">
        <v>7620</v>
      </c>
      <c r="L1323">
        <v>0.66</v>
      </c>
      <c r="M1323" t="s">
        <v>4535</v>
      </c>
      <c r="N1323">
        <v>0</v>
      </c>
      <c r="O1323" t="s">
        <v>7621</v>
      </c>
      <c r="P1323" t="s">
        <v>7622</v>
      </c>
      <c r="Q1323">
        <v>5.03</v>
      </c>
      <c r="R1323" t="s">
        <v>1853</v>
      </c>
      <c r="S1323">
        <v>2.06</v>
      </c>
      <c r="T1323">
        <v>37.979999999999997</v>
      </c>
      <c r="U1323" t="s">
        <v>2134</v>
      </c>
      <c r="V1323" t="s">
        <v>2955</v>
      </c>
      <c r="W1323" t="s">
        <v>7623</v>
      </c>
      <c r="X1323">
        <v>2.02</v>
      </c>
      <c r="Y1323" t="s">
        <v>118</v>
      </c>
      <c r="Z1323" t="s">
        <v>618</v>
      </c>
      <c r="AA1323" t="s">
        <v>5180</v>
      </c>
      <c r="AB1323">
        <v>4.7300000000000004</v>
      </c>
      <c r="AC1323" t="s">
        <v>1073</v>
      </c>
      <c r="AD1323">
        <v>77.540000000000006</v>
      </c>
      <c r="AE1323" t="s">
        <v>1059</v>
      </c>
      <c r="AF1323">
        <v>4.25</v>
      </c>
      <c r="AG1323">
        <v>0</v>
      </c>
      <c r="AH1323">
        <v>0</v>
      </c>
      <c r="AI1323" s="4">
        <v>43040</v>
      </c>
    </row>
    <row r="1324" spans="1:35">
      <c r="A1324">
        <v>1323</v>
      </c>
      <c r="B1324" t="str">
        <f>"300447"</f>
        <v>300447</v>
      </c>
      <c r="C1324" t="s">
        <v>7624</v>
      </c>
      <c r="D1324" s="4">
        <v>43190</v>
      </c>
      <c r="E1324" t="s">
        <v>121</v>
      </c>
      <c r="F1324" t="s">
        <v>1203</v>
      </c>
      <c r="G1324">
        <v>6160</v>
      </c>
      <c r="H1324">
        <v>0.1</v>
      </c>
      <c r="I1324">
        <v>4.83</v>
      </c>
      <c r="J1324">
        <v>2.02</v>
      </c>
      <c r="K1324" t="s">
        <v>657</v>
      </c>
      <c r="L1324">
        <v>16.77</v>
      </c>
      <c r="M1324" t="s">
        <v>2027</v>
      </c>
      <c r="N1324">
        <v>4520</v>
      </c>
      <c r="O1324" t="s">
        <v>2027</v>
      </c>
      <c r="P1324" t="s">
        <v>7625</v>
      </c>
      <c r="Q1324">
        <v>14.57</v>
      </c>
      <c r="R1324" t="s">
        <v>922</v>
      </c>
      <c r="S1324">
        <v>1.37</v>
      </c>
      <c r="T1324">
        <v>51.5</v>
      </c>
      <c r="U1324" t="s">
        <v>775</v>
      </c>
      <c r="V1324" t="s">
        <v>277</v>
      </c>
      <c r="W1324" t="s">
        <v>321</v>
      </c>
      <c r="X1324">
        <v>2.02</v>
      </c>
      <c r="Y1324" t="s">
        <v>118</v>
      </c>
      <c r="Z1324" t="s">
        <v>148</v>
      </c>
      <c r="AA1324" t="s">
        <v>7626</v>
      </c>
      <c r="AB1324">
        <v>2.4</v>
      </c>
      <c r="AC1324" t="s">
        <v>391</v>
      </c>
      <c r="AD1324">
        <v>87.18</v>
      </c>
      <c r="AE1324" t="s">
        <v>175</v>
      </c>
      <c r="AF1324">
        <v>2.36</v>
      </c>
      <c r="AG1324">
        <v>0</v>
      </c>
      <c r="AH1324">
        <v>0</v>
      </c>
      <c r="AI1324" s="4">
        <v>42116</v>
      </c>
    </row>
    <row r="1325" spans="1:35">
      <c r="A1325">
        <v>1324</v>
      </c>
      <c r="B1325" t="str">
        <f>"000950"</f>
        <v>000950</v>
      </c>
      <c r="C1325" t="s">
        <v>7627</v>
      </c>
      <c r="D1325" s="4">
        <v>43190</v>
      </c>
      <c r="E1325" t="s">
        <v>79</v>
      </c>
      <c r="F1325" t="s">
        <v>1964</v>
      </c>
      <c r="G1325" t="s">
        <v>708</v>
      </c>
      <c r="H1325">
        <v>0.08</v>
      </c>
      <c r="I1325">
        <v>3.95</v>
      </c>
      <c r="J1325">
        <v>2.02</v>
      </c>
      <c r="K1325" t="s">
        <v>4162</v>
      </c>
      <c r="L1325">
        <v>3.33</v>
      </c>
      <c r="M1325" t="s">
        <v>505</v>
      </c>
      <c r="N1325" t="s">
        <v>3256</v>
      </c>
      <c r="O1325" t="s">
        <v>1360</v>
      </c>
      <c r="P1325" t="s">
        <v>993</v>
      </c>
      <c r="Q1325">
        <v>19.52</v>
      </c>
      <c r="R1325" t="s">
        <v>253</v>
      </c>
      <c r="S1325">
        <v>1.43</v>
      </c>
      <c r="T1325">
        <v>8.76</v>
      </c>
      <c r="U1325" t="s">
        <v>1114</v>
      </c>
      <c r="V1325" t="s">
        <v>412</v>
      </c>
      <c r="W1325" t="s">
        <v>169</v>
      </c>
      <c r="X1325">
        <v>2.02</v>
      </c>
      <c r="Y1325" t="s">
        <v>7628</v>
      </c>
      <c r="Z1325" t="s">
        <v>5501</v>
      </c>
      <c r="AA1325" t="s">
        <v>479</v>
      </c>
      <c r="AB1325">
        <v>2.71</v>
      </c>
      <c r="AC1325" t="s">
        <v>3826</v>
      </c>
      <c r="AD1325">
        <v>39.14</v>
      </c>
      <c r="AE1325" t="s">
        <v>710</v>
      </c>
      <c r="AF1325">
        <v>1.49</v>
      </c>
      <c r="AG1325">
        <v>0</v>
      </c>
      <c r="AH1325">
        <v>0</v>
      </c>
      <c r="AI1325" s="4">
        <v>36419</v>
      </c>
    </row>
    <row r="1326" spans="1:35">
      <c r="A1326">
        <v>1325</v>
      </c>
      <c r="B1326" t="str">
        <f>"601619"</f>
        <v>601619</v>
      </c>
      <c r="C1326" t="s">
        <v>7629</v>
      </c>
      <c r="D1326" s="4">
        <v>43190</v>
      </c>
      <c r="E1326" t="s">
        <v>1752</v>
      </c>
      <c r="F1326" t="s">
        <v>3332</v>
      </c>
      <c r="G1326">
        <v>2755</v>
      </c>
      <c r="H1326">
        <v>0.03</v>
      </c>
      <c r="I1326">
        <v>1.28</v>
      </c>
      <c r="J1326">
        <v>2.0099999999999998</v>
      </c>
      <c r="K1326" t="s">
        <v>986</v>
      </c>
      <c r="L1326">
        <v>27.63</v>
      </c>
      <c r="M1326" t="s">
        <v>7630</v>
      </c>
      <c r="N1326">
        <v>0</v>
      </c>
      <c r="O1326" t="s">
        <v>7630</v>
      </c>
      <c r="P1326" t="s">
        <v>7631</v>
      </c>
      <c r="Q1326">
        <v>71.02</v>
      </c>
      <c r="R1326" t="s">
        <v>1967</v>
      </c>
      <c r="S1326">
        <v>0.17</v>
      </c>
      <c r="T1326">
        <v>55.15</v>
      </c>
      <c r="U1326" t="s">
        <v>2668</v>
      </c>
      <c r="V1326" t="s">
        <v>855</v>
      </c>
      <c r="W1326" t="s">
        <v>3577</v>
      </c>
      <c r="X1326">
        <v>2.0099999999999998</v>
      </c>
      <c r="Y1326" t="s">
        <v>5698</v>
      </c>
      <c r="Z1326" t="s">
        <v>1094</v>
      </c>
      <c r="AA1326" t="s">
        <v>2060</v>
      </c>
      <c r="AB1326">
        <v>5.97</v>
      </c>
      <c r="AC1326" t="s">
        <v>253</v>
      </c>
      <c r="AD1326">
        <v>27.82</v>
      </c>
      <c r="AE1326" t="s">
        <v>95</v>
      </c>
      <c r="AF1326">
        <v>0.1</v>
      </c>
      <c r="AG1326">
        <v>0</v>
      </c>
      <c r="AH1326">
        <v>0</v>
      </c>
      <c r="AI1326" s="4">
        <v>42936</v>
      </c>
    </row>
    <row r="1327" spans="1:35">
      <c r="A1327">
        <v>1326</v>
      </c>
      <c r="B1327" t="str">
        <f>"601595"</f>
        <v>601595</v>
      </c>
      <c r="C1327" t="s">
        <v>7632</v>
      </c>
      <c r="D1327" s="4">
        <v>43190</v>
      </c>
      <c r="E1327" t="s">
        <v>2751</v>
      </c>
      <c r="F1327" t="s">
        <v>1475</v>
      </c>
      <c r="G1327">
        <v>3556</v>
      </c>
      <c r="H1327">
        <v>0.11</v>
      </c>
      <c r="I1327">
        <v>5.73</v>
      </c>
      <c r="J1327">
        <v>2.0099999999999998</v>
      </c>
      <c r="K1327" t="s">
        <v>1621</v>
      </c>
      <c r="L1327">
        <v>18.5</v>
      </c>
      <c r="M1327" t="s">
        <v>6834</v>
      </c>
      <c r="N1327" t="s">
        <v>2008</v>
      </c>
      <c r="O1327" t="s">
        <v>7633</v>
      </c>
      <c r="P1327" t="s">
        <v>7634</v>
      </c>
      <c r="Q1327">
        <v>-10.45</v>
      </c>
      <c r="R1327" t="s">
        <v>2595</v>
      </c>
      <c r="S1327">
        <v>2.21</v>
      </c>
      <c r="T1327">
        <v>25.38</v>
      </c>
      <c r="U1327" t="s">
        <v>583</v>
      </c>
      <c r="V1327" t="s">
        <v>183</v>
      </c>
      <c r="W1327" t="s">
        <v>798</v>
      </c>
      <c r="X1327">
        <v>2.0099999999999998</v>
      </c>
      <c r="Y1327" t="s">
        <v>515</v>
      </c>
      <c r="Z1327" t="s">
        <v>489</v>
      </c>
      <c r="AA1327" t="s">
        <v>5954</v>
      </c>
      <c r="AB1327">
        <v>2.77</v>
      </c>
      <c r="AC1327" t="s">
        <v>420</v>
      </c>
      <c r="AD1327">
        <v>72.349999999999994</v>
      </c>
      <c r="AE1327" t="s">
        <v>4354</v>
      </c>
      <c r="AF1327">
        <v>2.2000000000000002</v>
      </c>
      <c r="AG1327">
        <v>0</v>
      </c>
      <c r="AH1327">
        <v>0</v>
      </c>
      <c r="AI1327" s="4">
        <v>42599</v>
      </c>
    </row>
    <row r="1328" spans="1:35">
      <c r="A1328">
        <v>1327</v>
      </c>
      <c r="B1328" t="str">
        <f>"601137"</f>
        <v>601137</v>
      </c>
      <c r="C1328" t="s">
        <v>7635</v>
      </c>
      <c r="D1328" s="4">
        <v>43190</v>
      </c>
      <c r="E1328" t="s">
        <v>3490</v>
      </c>
      <c r="F1328" t="s">
        <v>1121</v>
      </c>
      <c r="G1328" t="s">
        <v>7636</v>
      </c>
      <c r="H1328">
        <v>0.11</v>
      </c>
      <c r="I1328">
        <v>5.19</v>
      </c>
      <c r="J1328">
        <v>2.0099999999999998</v>
      </c>
      <c r="K1328" t="s">
        <v>164</v>
      </c>
      <c r="L1328">
        <v>-0.93</v>
      </c>
      <c r="M1328" t="s">
        <v>7637</v>
      </c>
      <c r="N1328" t="s">
        <v>6117</v>
      </c>
      <c r="O1328" t="s">
        <v>7638</v>
      </c>
      <c r="P1328" t="s">
        <v>7639</v>
      </c>
      <c r="Q1328">
        <v>21.9</v>
      </c>
      <c r="R1328" t="s">
        <v>4796</v>
      </c>
      <c r="S1328">
        <v>1.17</v>
      </c>
      <c r="T1328">
        <v>15.85</v>
      </c>
      <c r="U1328" t="s">
        <v>1327</v>
      </c>
      <c r="V1328" t="s">
        <v>1308</v>
      </c>
      <c r="W1328" t="s">
        <v>510</v>
      </c>
      <c r="X1328">
        <v>2.0099999999999998</v>
      </c>
      <c r="Y1328" t="s">
        <v>1343</v>
      </c>
      <c r="Z1328" t="s">
        <v>176</v>
      </c>
      <c r="AA1328" t="s">
        <v>2268</v>
      </c>
      <c r="AB1328">
        <v>1.47</v>
      </c>
      <c r="AC1328" t="s">
        <v>3073</v>
      </c>
      <c r="AD1328">
        <v>65.680000000000007</v>
      </c>
      <c r="AE1328" t="s">
        <v>187</v>
      </c>
      <c r="AF1328">
        <v>2.99</v>
      </c>
      <c r="AG1328">
        <v>0</v>
      </c>
      <c r="AH1328">
        <v>0</v>
      </c>
      <c r="AI1328" s="4">
        <v>40570</v>
      </c>
    </row>
    <row r="1329" spans="1:35">
      <c r="A1329">
        <v>1328</v>
      </c>
      <c r="B1329" t="str">
        <f>"300738"</f>
        <v>300738</v>
      </c>
      <c r="C1329" t="s">
        <v>7640</v>
      </c>
      <c r="D1329" s="4">
        <v>43190</v>
      </c>
      <c r="E1329" t="s">
        <v>7641</v>
      </c>
      <c r="F1329" t="s">
        <v>6197</v>
      </c>
      <c r="G1329">
        <v>998</v>
      </c>
      <c r="H1329">
        <v>0.13</v>
      </c>
      <c r="I1329">
        <v>7.99</v>
      </c>
      <c r="J1329">
        <v>2.0099999999999998</v>
      </c>
      <c r="K1329" t="s">
        <v>7642</v>
      </c>
      <c r="L1329">
        <v>3.19</v>
      </c>
      <c r="M1329" t="s">
        <v>7057</v>
      </c>
      <c r="N1329" t="s">
        <v>7643</v>
      </c>
      <c r="O1329" t="s">
        <v>1588</v>
      </c>
      <c r="P1329" t="s">
        <v>7334</v>
      </c>
      <c r="Q1329">
        <v>-42.38</v>
      </c>
      <c r="R1329" t="s">
        <v>322</v>
      </c>
      <c r="S1329">
        <v>1.94</v>
      </c>
      <c r="T1329">
        <v>24.86</v>
      </c>
      <c r="U1329" t="s">
        <v>857</v>
      </c>
      <c r="V1329" t="s">
        <v>479</v>
      </c>
      <c r="W1329" t="s">
        <v>7644</v>
      </c>
      <c r="X1329">
        <v>2.0099999999999998</v>
      </c>
      <c r="Y1329" t="s">
        <v>533</v>
      </c>
      <c r="Z1329" t="s">
        <v>7645</v>
      </c>
      <c r="AA1329" t="s">
        <v>2874</v>
      </c>
      <c r="AB1329">
        <v>6.32</v>
      </c>
      <c r="AC1329" t="s">
        <v>4427</v>
      </c>
      <c r="AD1329">
        <v>83.6</v>
      </c>
      <c r="AE1329" t="s">
        <v>824</v>
      </c>
      <c r="AF1329">
        <v>4.91</v>
      </c>
      <c r="AG1329">
        <v>0</v>
      </c>
      <c r="AH1329">
        <v>0</v>
      </c>
      <c r="AI1329" s="4">
        <v>43119</v>
      </c>
    </row>
    <row r="1330" spans="1:35">
      <c r="A1330">
        <v>1329</v>
      </c>
      <c r="B1330" t="str">
        <f>"002620"</f>
        <v>002620</v>
      </c>
      <c r="C1330" t="s">
        <v>7646</v>
      </c>
      <c r="D1330" s="4">
        <v>43190</v>
      </c>
      <c r="E1330" t="s">
        <v>2029</v>
      </c>
      <c r="F1330" t="s">
        <v>1791</v>
      </c>
      <c r="G1330" t="s">
        <v>4245</v>
      </c>
      <c r="H1330">
        <v>0.12</v>
      </c>
      <c r="I1330">
        <v>5.89</v>
      </c>
      <c r="J1330">
        <v>2.0099999999999998</v>
      </c>
      <c r="K1330" t="s">
        <v>2380</v>
      </c>
      <c r="L1330">
        <v>42.11</v>
      </c>
      <c r="M1330" t="s">
        <v>7647</v>
      </c>
      <c r="N1330" t="s">
        <v>7648</v>
      </c>
      <c r="O1330" t="s">
        <v>7649</v>
      </c>
      <c r="P1330" t="s">
        <v>5477</v>
      </c>
      <c r="Q1330">
        <v>31.58</v>
      </c>
      <c r="R1330" t="s">
        <v>769</v>
      </c>
      <c r="S1330">
        <v>1.46</v>
      </c>
      <c r="T1330">
        <v>12.68</v>
      </c>
      <c r="U1330" t="s">
        <v>737</v>
      </c>
      <c r="V1330" t="s">
        <v>2499</v>
      </c>
      <c r="W1330" t="s">
        <v>1917</v>
      </c>
      <c r="X1330">
        <v>2.0099999999999998</v>
      </c>
      <c r="Y1330" t="s">
        <v>980</v>
      </c>
      <c r="Z1330" t="s">
        <v>980</v>
      </c>
      <c r="AA1330" t="s">
        <v>7199</v>
      </c>
      <c r="AB1330">
        <v>1.23</v>
      </c>
      <c r="AC1330" t="s">
        <v>514</v>
      </c>
      <c r="AD1330">
        <v>50.73</v>
      </c>
      <c r="AE1330" t="s">
        <v>973</v>
      </c>
      <c r="AF1330">
        <v>3.16</v>
      </c>
      <c r="AG1330">
        <v>0</v>
      </c>
      <c r="AH1330">
        <v>0</v>
      </c>
      <c r="AI1330" s="4">
        <v>40815</v>
      </c>
    </row>
    <row r="1331" spans="1:35">
      <c r="A1331">
        <v>1330</v>
      </c>
      <c r="B1331" t="str">
        <f>"002299"</f>
        <v>002299</v>
      </c>
      <c r="C1331" t="s">
        <v>7650</v>
      </c>
      <c r="D1331" s="4">
        <v>43190</v>
      </c>
      <c r="E1331" t="s">
        <v>548</v>
      </c>
      <c r="F1331" t="s">
        <v>602</v>
      </c>
      <c r="G1331" t="s">
        <v>5638</v>
      </c>
      <c r="H1331">
        <v>0.1</v>
      </c>
      <c r="I1331">
        <v>5.14</v>
      </c>
      <c r="J1331">
        <v>2.0099999999999998</v>
      </c>
      <c r="K1331" t="s">
        <v>244</v>
      </c>
      <c r="L1331">
        <v>3.43</v>
      </c>
      <c r="M1331" t="s">
        <v>1974</v>
      </c>
      <c r="N1331" t="s">
        <v>5106</v>
      </c>
      <c r="O1331" t="s">
        <v>1974</v>
      </c>
      <c r="P1331" t="s">
        <v>2115</v>
      </c>
      <c r="Q1331">
        <v>91.16</v>
      </c>
      <c r="R1331" t="s">
        <v>1993</v>
      </c>
      <c r="S1331">
        <v>0.56000000000000005</v>
      </c>
      <c r="T1331">
        <v>13.14</v>
      </c>
      <c r="U1331" t="s">
        <v>1784</v>
      </c>
      <c r="V1331" t="s">
        <v>1386</v>
      </c>
      <c r="W1331" t="s">
        <v>3261</v>
      </c>
      <c r="X1331">
        <v>2.0099999999999998</v>
      </c>
      <c r="Y1331" t="s">
        <v>1087</v>
      </c>
      <c r="Z1331" t="s">
        <v>888</v>
      </c>
      <c r="AA1331" t="s">
        <v>359</v>
      </c>
      <c r="AB1331">
        <v>2.91</v>
      </c>
      <c r="AC1331" t="s">
        <v>4014</v>
      </c>
      <c r="AD1331">
        <v>48.73</v>
      </c>
      <c r="AE1331" t="s">
        <v>1312</v>
      </c>
      <c r="AF1331">
        <v>3.41</v>
      </c>
      <c r="AG1331">
        <v>0</v>
      </c>
      <c r="AH1331">
        <v>0</v>
      </c>
      <c r="AI1331" s="4">
        <v>40107</v>
      </c>
    </row>
    <row r="1332" spans="1:35">
      <c r="A1332">
        <v>1331</v>
      </c>
      <c r="B1332" t="str">
        <f>"001965"</f>
        <v>001965</v>
      </c>
      <c r="C1332" t="s">
        <v>7651</v>
      </c>
      <c r="D1332" s="4">
        <v>43190</v>
      </c>
      <c r="E1332" t="s">
        <v>2918</v>
      </c>
      <c r="F1332" t="s">
        <v>506</v>
      </c>
      <c r="G1332">
        <v>7680</v>
      </c>
      <c r="H1332">
        <v>0.14000000000000001</v>
      </c>
      <c r="I1332">
        <v>7.14</v>
      </c>
      <c r="J1332">
        <v>2.0099999999999998</v>
      </c>
      <c r="K1332" t="s">
        <v>1307</v>
      </c>
      <c r="L1332">
        <v>19.45</v>
      </c>
      <c r="M1332" t="s">
        <v>602</v>
      </c>
      <c r="N1332" t="s">
        <v>3802</v>
      </c>
      <c r="O1332" t="s">
        <v>323</v>
      </c>
      <c r="P1332" t="s">
        <v>4384</v>
      </c>
      <c r="Q1332">
        <v>3.87</v>
      </c>
      <c r="R1332" t="s">
        <v>2629</v>
      </c>
      <c r="S1332">
        <v>1.37</v>
      </c>
      <c r="T1332">
        <v>44.11</v>
      </c>
      <c r="U1332" t="s">
        <v>7652</v>
      </c>
      <c r="V1332" t="s">
        <v>404</v>
      </c>
      <c r="W1332" t="s">
        <v>1542</v>
      </c>
      <c r="X1332">
        <v>2.0099999999999998</v>
      </c>
      <c r="Y1332" t="s">
        <v>928</v>
      </c>
      <c r="Z1332" t="s">
        <v>3473</v>
      </c>
      <c r="AA1332" t="s">
        <v>1820</v>
      </c>
      <c r="AB1332">
        <v>1.01</v>
      </c>
      <c r="AC1332" t="s">
        <v>2200</v>
      </c>
      <c r="AD1332">
        <v>67.69</v>
      </c>
      <c r="AE1332" t="s">
        <v>968</v>
      </c>
      <c r="AF1332">
        <v>4.7300000000000004</v>
      </c>
      <c r="AG1332">
        <v>0</v>
      </c>
      <c r="AH1332">
        <v>0</v>
      </c>
      <c r="AI1332" s="4">
        <v>43094</v>
      </c>
    </row>
    <row r="1333" spans="1:35">
      <c r="A1333">
        <v>1332</v>
      </c>
      <c r="B1333" t="str">
        <f>"603806"</f>
        <v>603806</v>
      </c>
      <c r="C1333" t="s">
        <v>7653</v>
      </c>
      <c r="D1333" s="4">
        <v>43190</v>
      </c>
      <c r="E1333" t="s">
        <v>269</v>
      </c>
      <c r="F1333" t="s">
        <v>269</v>
      </c>
      <c r="G1333" t="s">
        <v>2458</v>
      </c>
      <c r="H1333">
        <v>0.19</v>
      </c>
      <c r="I1333">
        <v>9.35</v>
      </c>
      <c r="J1333">
        <v>2</v>
      </c>
      <c r="K1333" t="s">
        <v>521</v>
      </c>
      <c r="L1333">
        <v>5.79</v>
      </c>
      <c r="M1333" t="s">
        <v>1525</v>
      </c>
      <c r="N1333" t="s">
        <v>7654</v>
      </c>
      <c r="O1333" t="s">
        <v>677</v>
      </c>
      <c r="P1333" t="s">
        <v>533</v>
      </c>
      <c r="Q1333">
        <v>1.29</v>
      </c>
      <c r="R1333" t="s">
        <v>1051</v>
      </c>
      <c r="S1333">
        <v>5.28</v>
      </c>
      <c r="T1333">
        <v>19.63</v>
      </c>
      <c r="U1333" t="s">
        <v>1878</v>
      </c>
      <c r="V1333" t="s">
        <v>762</v>
      </c>
      <c r="W1333" t="s">
        <v>648</v>
      </c>
      <c r="X1333">
        <v>2</v>
      </c>
      <c r="Y1333" t="s">
        <v>3124</v>
      </c>
      <c r="Z1333" t="s">
        <v>2648</v>
      </c>
      <c r="AA1333" t="s">
        <v>454</v>
      </c>
      <c r="AB1333">
        <v>2.33</v>
      </c>
      <c r="AC1333" t="s">
        <v>2860</v>
      </c>
      <c r="AD1333">
        <v>84.02</v>
      </c>
      <c r="AE1333" t="s">
        <v>547</v>
      </c>
      <c r="AF1333">
        <v>2.66</v>
      </c>
      <c r="AG1333">
        <v>0</v>
      </c>
      <c r="AH1333">
        <v>0</v>
      </c>
      <c r="AI1333" s="4">
        <v>41887</v>
      </c>
    </row>
    <row r="1334" spans="1:35">
      <c r="A1334">
        <v>1333</v>
      </c>
      <c r="B1334" t="str">
        <f>"603386"</f>
        <v>603386</v>
      </c>
      <c r="C1334" t="s">
        <v>7655</v>
      </c>
      <c r="D1334" s="4">
        <v>43190</v>
      </c>
      <c r="E1334" t="s">
        <v>1853</v>
      </c>
      <c r="F1334" t="s">
        <v>7656</v>
      </c>
      <c r="G1334">
        <v>2026</v>
      </c>
      <c r="H1334">
        <v>0.08</v>
      </c>
      <c r="I1334">
        <v>2.98</v>
      </c>
      <c r="J1334">
        <v>2</v>
      </c>
      <c r="K1334" t="s">
        <v>2889</v>
      </c>
      <c r="L1334">
        <v>30.42</v>
      </c>
      <c r="M1334" t="s">
        <v>7657</v>
      </c>
      <c r="N1334" t="s">
        <v>7036</v>
      </c>
      <c r="O1334" t="s">
        <v>1573</v>
      </c>
      <c r="P1334" t="s">
        <v>2657</v>
      </c>
      <c r="Q1334">
        <v>43.78</v>
      </c>
      <c r="R1334" t="s">
        <v>1855</v>
      </c>
      <c r="S1334">
        <v>0.71</v>
      </c>
      <c r="T1334">
        <v>17.59</v>
      </c>
      <c r="U1334" t="s">
        <v>1033</v>
      </c>
      <c r="V1334" t="s">
        <v>1907</v>
      </c>
      <c r="W1334" t="s">
        <v>138</v>
      </c>
      <c r="X1334">
        <v>2</v>
      </c>
      <c r="Y1334" t="s">
        <v>483</v>
      </c>
      <c r="Z1334" t="s">
        <v>289</v>
      </c>
      <c r="AA1334" t="s">
        <v>7658</v>
      </c>
      <c r="AB1334">
        <v>7.89</v>
      </c>
      <c r="AC1334" t="s">
        <v>1761</v>
      </c>
      <c r="AD1334">
        <v>53.24</v>
      </c>
      <c r="AE1334" t="s">
        <v>3674</v>
      </c>
      <c r="AF1334">
        <v>1.2</v>
      </c>
      <c r="AG1334">
        <v>0</v>
      </c>
      <c r="AH1334">
        <v>0</v>
      </c>
      <c r="AI1334" s="4">
        <v>42990</v>
      </c>
    </row>
    <row r="1335" spans="1:35">
      <c r="A1335">
        <v>1334</v>
      </c>
      <c r="B1335" t="str">
        <f>"603277"</f>
        <v>603277</v>
      </c>
      <c r="C1335" t="s">
        <v>7659</v>
      </c>
      <c r="D1335" s="4">
        <v>43190</v>
      </c>
      <c r="E1335" t="s">
        <v>241</v>
      </c>
      <c r="F1335" t="s">
        <v>4999</v>
      </c>
      <c r="G1335">
        <v>2199</v>
      </c>
      <c r="H1335">
        <v>0.08</v>
      </c>
      <c r="I1335">
        <v>3.97</v>
      </c>
      <c r="J1335">
        <v>2</v>
      </c>
      <c r="K1335" t="s">
        <v>1609</v>
      </c>
      <c r="L1335">
        <v>-2.1</v>
      </c>
      <c r="M1335" t="s">
        <v>4154</v>
      </c>
      <c r="N1335" t="s">
        <v>7443</v>
      </c>
      <c r="O1335" t="s">
        <v>4828</v>
      </c>
      <c r="P1335" t="s">
        <v>7660</v>
      </c>
      <c r="Q1335">
        <v>-20.09</v>
      </c>
      <c r="R1335" t="s">
        <v>338</v>
      </c>
      <c r="S1335">
        <v>1.01</v>
      </c>
      <c r="T1335">
        <v>46.1</v>
      </c>
      <c r="U1335" t="s">
        <v>891</v>
      </c>
      <c r="V1335" t="s">
        <v>855</v>
      </c>
      <c r="W1335" t="s">
        <v>258</v>
      </c>
      <c r="X1335">
        <v>2</v>
      </c>
      <c r="Y1335" t="s">
        <v>1511</v>
      </c>
      <c r="Z1335" t="s">
        <v>1999</v>
      </c>
      <c r="AA1335" t="s">
        <v>7661</v>
      </c>
      <c r="AB1335">
        <v>3</v>
      </c>
      <c r="AC1335" t="s">
        <v>983</v>
      </c>
      <c r="AD1335">
        <v>85.42</v>
      </c>
      <c r="AE1335" t="s">
        <v>491</v>
      </c>
      <c r="AF1335">
        <v>1.69</v>
      </c>
      <c r="AG1335">
        <v>0</v>
      </c>
      <c r="AH1335">
        <v>0</v>
      </c>
      <c r="AI1335" s="4">
        <v>42989</v>
      </c>
    </row>
    <row r="1336" spans="1:35">
      <c r="A1336">
        <v>1335</v>
      </c>
      <c r="B1336" t="str">
        <f>"601058"</f>
        <v>601058</v>
      </c>
      <c r="C1336" t="s">
        <v>7662</v>
      </c>
      <c r="D1336" s="4">
        <v>43190</v>
      </c>
      <c r="E1336" t="s">
        <v>158</v>
      </c>
      <c r="F1336" t="s">
        <v>865</v>
      </c>
      <c r="G1336" t="s">
        <v>7663</v>
      </c>
      <c r="H1336">
        <v>0.04</v>
      </c>
      <c r="I1336">
        <v>2.16</v>
      </c>
      <c r="J1336">
        <v>2</v>
      </c>
      <c r="K1336" t="s">
        <v>570</v>
      </c>
      <c r="L1336">
        <v>-3.89</v>
      </c>
      <c r="M1336" t="s">
        <v>372</v>
      </c>
      <c r="N1336" t="s">
        <v>6038</v>
      </c>
      <c r="O1336" t="s">
        <v>711</v>
      </c>
      <c r="P1336" t="s">
        <v>280</v>
      </c>
      <c r="Q1336">
        <v>337.3</v>
      </c>
      <c r="R1336" t="s">
        <v>162</v>
      </c>
      <c r="S1336">
        <v>0.48</v>
      </c>
      <c r="T1336">
        <v>17.260000000000002</v>
      </c>
      <c r="U1336" t="s">
        <v>2654</v>
      </c>
      <c r="V1336" t="s">
        <v>2942</v>
      </c>
      <c r="W1336" t="s">
        <v>832</v>
      </c>
      <c r="X1336">
        <v>2</v>
      </c>
      <c r="Y1336" t="s">
        <v>4911</v>
      </c>
      <c r="Z1336" t="s">
        <v>6689</v>
      </c>
      <c r="AA1336" t="s">
        <v>605</v>
      </c>
      <c r="AB1336">
        <v>1.1200000000000001</v>
      </c>
      <c r="AC1336" t="s">
        <v>1104</v>
      </c>
      <c r="AD1336">
        <v>40.85</v>
      </c>
      <c r="AE1336" t="s">
        <v>1101</v>
      </c>
      <c r="AF1336">
        <v>0.68</v>
      </c>
      <c r="AG1336">
        <v>0</v>
      </c>
      <c r="AH1336">
        <v>0</v>
      </c>
      <c r="AI1336" s="4">
        <v>40724</v>
      </c>
    </row>
    <row r="1337" spans="1:35">
      <c r="A1337">
        <v>1336</v>
      </c>
      <c r="B1337" t="str">
        <f>"600059"</f>
        <v>600059</v>
      </c>
      <c r="C1337" t="s">
        <v>7664</v>
      </c>
      <c r="D1337" s="4">
        <v>43190</v>
      </c>
      <c r="E1337" t="s">
        <v>358</v>
      </c>
      <c r="F1337" t="s">
        <v>358</v>
      </c>
      <c r="G1337" t="s">
        <v>2572</v>
      </c>
      <c r="H1337">
        <v>0.1</v>
      </c>
      <c r="I1337">
        <v>4.92</v>
      </c>
      <c r="J1337">
        <v>2</v>
      </c>
      <c r="K1337" t="s">
        <v>190</v>
      </c>
      <c r="L1337">
        <v>11.18</v>
      </c>
      <c r="M1337" t="s">
        <v>1459</v>
      </c>
      <c r="N1337" t="s">
        <v>7665</v>
      </c>
      <c r="O1337" t="s">
        <v>1459</v>
      </c>
      <c r="P1337" t="s">
        <v>7666</v>
      </c>
      <c r="Q1337">
        <v>26.7</v>
      </c>
      <c r="R1337" t="s">
        <v>835</v>
      </c>
      <c r="S1337">
        <v>1.3</v>
      </c>
      <c r="T1337">
        <v>36.020000000000003</v>
      </c>
      <c r="U1337" t="s">
        <v>3125</v>
      </c>
      <c r="V1337" t="s">
        <v>2499</v>
      </c>
      <c r="W1337" t="s">
        <v>1025</v>
      </c>
      <c r="X1337">
        <v>2</v>
      </c>
      <c r="Y1337" t="s">
        <v>202</v>
      </c>
      <c r="Z1337" t="s">
        <v>749</v>
      </c>
      <c r="AA1337" t="s">
        <v>7667</v>
      </c>
      <c r="AB1337">
        <v>1.64</v>
      </c>
      <c r="AC1337" t="s">
        <v>2513</v>
      </c>
      <c r="AD1337">
        <v>89.99</v>
      </c>
      <c r="AE1337" t="s">
        <v>187</v>
      </c>
      <c r="AF1337">
        <v>2.33</v>
      </c>
      <c r="AG1337">
        <v>0</v>
      </c>
      <c r="AH1337">
        <v>0</v>
      </c>
      <c r="AI1337" s="4">
        <v>35566</v>
      </c>
    </row>
    <row r="1338" spans="1:35">
      <c r="A1338">
        <v>1337</v>
      </c>
      <c r="B1338" t="str">
        <f>"300530"</f>
        <v>300530</v>
      </c>
      <c r="C1338" t="s">
        <v>7668</v>
      </c>
      <c r="D1338" s="4">
        <v>43190</v>
      </c>
      <c r="E1338" t="s">
        <v>564</v>
      </c>
      <c r="F1338" t="s">
        <v>7669</v>
      </c>
      <c r="G1338">
        <v>2230</v>
      </c>
      <c r="H1338">
        <v>0.14000000000000001</v>
      </c>
      <c r="I1338">
        <v>6.53</v>
      </c>
      <c r="J1338">
        <v>2</v>
      </c>
      <c r="K1338" t="s">
        <v>7340</v>
      </c>
      <c r="L1338">
        <v>0.03</v>
      </c>
      <c r="M1338" t="s">
        <v>7670</v>
      </c>
      <c r="N1338" t="s">
        <v>6021</v>
      </c>
      <c r="O1338" t="s">
        <v>7671</v>
      </c>
      <c r="P1338" t="s">
        <v>7672</v>
      </c>
      <c r="Q1338">
        <v>-16.39</v>
      </c>
      <c r="R1338" t="s">
        <v>1853</v>
      </c>
      <c r="S1338">
        <v>2.27</v>
      </c>
      <c r="T1338">
        <v>45.83</v>
      </c>
      <c r="U1338" t="s">
        <v>592</v>
      </c>
      <c r="V1338" t="s">
        <v>1706</v>
      </c>
      <c r="W1338" t="s">
        <v>4265</v>
      </c>
      <c r="X1338">
        <v>2</v>
      </c>
      <c r="Y1338" t="s">
        <v>7673</v>
      </c>
      <c r="Z1338" t="s">
        <v>7674</v>
      </c>
      <c r="AA1338" t="s">
        <v>6097</v>
      </c>
      <c r="AB1338">
        <v>4.3600000000000003</v>
      </c>
      <c r="AC1338" t="s">
        <v>2563</v>
      </c>
      <c r="AD1338">
        <v>91.49</v>
      </c>
      <c r="AE1338" t="s">
        <v>3768</v>
      </c>
      <c r="AF1338">
        <v>2.87</v>
      </c>
      <c r="AG1338">
        <v>0</v>
      </c>
      <c r="AH1338">
        <v>0</v>
      </c>
      <c r="AI1338" s="4">
        <v>42591</v>
      </c>
    </row>
    <row r="1339" spans="1:35">
      <c r="A1339">
        <v>1338</v>
      </c>
      <c r="B1339" t="str">
        <f>"300303"</f>
        <v>300303</v>
      </c>
      <c r="C1339" t="s">
        <v>7675</v>
      </c>
      <c r="D1339" s="4">
        <v>43190</v>
      </c>
      <c r="E1339" t="s">
        <v>300</v>
      </c>
      <c r="F1339" t="s">
        <v>1496</v>
      </c>
      <c r="G1339" t="s">
        <v>5021</v>
      </c>
      <c r="H1339">
        <v>0.03</v>
      </c>
      <c r="I1339">
        <v>1.43</v>
      </c>
      <c r="J1339">
        <v>2</v>
      </c>
      <c r="K1339" t="s">
        <v>3238</v>
      </c>
      <c r="L1339">
        <v>54.72</v>
      </c>
      <c r="M1339" t="s">
        <v>7676</v>
      </c>
      <c r="N1339" t="s">
        <v>7677</v>
      </c>
      <c r="O1339" t="s">
        <v>6639</v>
      </c>
      <c r="P1339" t="s">
        <v>7678</v>
      </c>
      <c r="Q1339">
        <v>-2.66</v>
      </c>
      <c r="R1339" t="s">
        <v>944</v>
      </c>
      <c r="S1339">
        <v>0.35</v>
      </c>
      <c r="T1339">
        <v>18.5</v>
      </c>
      <c r="U1339" t="s">
        <v>1219</v>
      </c>
      <c r="V1339" t="s">
        <v>242</v>
      </c>
      <c r="W1339" t="s">
        <v>1799</v>
      </c>
      <c r="X1339">
        <v>2</v>
      </c>
      <c r="Y1339" t="s">
        <v>141</v>
      </c>
      <c r="Z1339" t="s">
        <v>624</v>
      </c>
      <c r="AA1339" t="s">
        <v>7679</v>
      </c>
      <c r="AB1339">
        <v>1.84</v>
      </c>
      <c r="AC1339" t="s">
        <v>891</v>
      </c>
      <c r="AD1339">
        <v>55.23</v>
      </c>
      <c r="AE1339" t="s">
        <v>6695</v>
      </c>
      <c r="AF1339">
        <v>0.01</v>
      </c>
      <c r="AG1339">
        <v>0</v>
      </c>
      <c r="AH1339">
        <v>0</v>
      </c>
      <c r="AI1339" s="4">
        <v>40987</v>
      </c>
    </row>
    <row r="1340" spans="1:35">
      <c r="A1340">
        <v>1339</v>
      </c>
      <c r="B1340" t="str">
        <f>"002688"</f>
        <v>002688</v>
      </c>
      <c r="C1340" t="s">
        <v>7680</v>
      </c>
      <c r="D1340" s="4">
        <v>43190</v>
      </c>
      <c r="E1340" t="s">
        <v>1567</v>
      </c>
      <c r="F1340" t="s">
        <v>1799</v>
      </c>
      <c r="G1340" t="s">
        <v>1199</v>
      </c>
      <c r="H1340">
        <v>0.05</v>
      </c>
      <c r="I1340">
        <v>2.42</v>
      </c>
      <c r="J1340">
        <v>2</v>
      </c>
      <c r="K1340" t="s">
        <v>499</v>
      </c>
      <c r="L1340">
        <v>-0.15</v>
      </c>
      <c r="M1340" t="s">
        <v>4038</v>
      </c>
      <c r="N1340" t="s">
        <v>7681</v>
      </c>
      <c r="O1340" t="s">
        <v>7682</v>
      </c>
      <c r="P1340" t="s">
        <v>2981</v>
      </c>
      <c r="Q1340">
        <v>-24.88</v>
      </c>
      <c r="R1340" t="s">
        <v>267</v>
      </c>
      <c r="S1340">
        <v>0.6</v>
      </c>
      <c r="T1340">
        <v>39.85</v>
      </c>
      <c r="U1340" t="s">
        <v>583</v>
      </c>
      <c r="V1340" t="s">
        <v>602</v>
      </c>
      <c r="W1340" t="s">
        <v>918</v>
      </c>
      <c r="X1340">
        <v>2</v>
      </c>
      <c r="Y1340" t="s">
        <v>101</v>
      </c>
      <c r="Z1340" t="s">
        <v>2443</v>
      </c>
      <c r="AA1340" t="s">
        <v>4185</v>
      </c>
      <c r="AB1340">
        <v>2.02</v>
      </c>
      <c r="AC1340" t="s">
        <v>747</v>
      </c>
      <c r="AD1340">
        <v>52.62</v>
      </c>
      <c r="AE1340" t="s">
        <v>123</v>
      </c>
      <c r="AF1340">
        <v>0.7</v>
      </c>
      <c r="AG1340">
        <v>0</v>
      </c>
      <c r="AH1340">
        <v>0</v>
      </c>
      <c r="AI1340" s="4">
        <v>41103</v>
      </c>
    </row>
    <row r="1341" spans="1:35">
      <c r="A1341">
        <v>1340</v>
      </c>
      <c r="B1341" t="str">
        <f>"000541"</f>
        <v>000541</v>
      </c>
      <c r="C1341" t="s">
        <v>7683</v>
      </c>
      <c r="D1341" s="4">
        <v>43190</v>
      </c>
      <c r="E1341" t="s">
        <v>538</v>
      </c>
      <c r="F1341" t="s">
        <v>295</v>
      </c>
      <c r="G1341">
        <v>0</v>
      </c>
      <c r="H1341">
        <v>7.0000000000000007E-2</v>
      </c>
      <c r="I1341">
        <v>3.18</v>
      </c>
      <c r="J1341">
        <v>2</v>
      </c>
      <c r="K1341" t="s">
        <v>147</v>
      </c>
      <c r="L1341">
        <v>2.72</v>
      </c>
      <c r="M1341" t="s">
        <v>677</v>
      </c>
      <c r="N1341" t="s">
        <v>7684</v>
      </c>
      <c r="O1341" t="s">
        <v>280</v>
      </c>
      <c r="P1341" t="s">
        <v>3440</v>
      </c>
      <c r="Q1341">
        <v>-19.46</v>
      </c>
      <c r="R1341" t="s">
        <v>1101</v>
      </c>
      <c r="S1341">
        <v>1.01</v>
      </c>
      <c r="T1341">
        <v>22.16</v>
      </c>
      <c r="U1341" t="s">
        <v>2639</v>
      </c>
      <c r="V1341" t="s">
        <v>2283</v>
      </c>
      <c r="W1341" t="s">
        <v>216</v>
      </c>
      <c r="X1341">
        <v>2</v>
      </c>
      <c r="Y1341" t="s">
        <v>2870</v>
      </c>
      <c r="Z1341" t="s">
        <v>1778</v>
      </c>
      <c r="AA1341" t="s">
        <v>993</v>
      </c>
      <c r="AB1341">
        <v>1.91</v>
      </c>
      <c r="AC1341" t="s">
        <v>777</v>
      </c>
      <c r="AD1341">
        <v>83.43</v>
      </c>
      <c r="AE1341" t="s">
        <v>2507</v>
      </c>
      <c r="AF1341">
        <v>0.11</v>
      </c>
      <c r="AG1341" t="s">
        <v>121</v>
      </c>
      <c r="AH1341">
        <v>0</v>
      </c>
      <c r="AI1341" s="4">
        <v>34296</v>
      </c>
    </row>
    <row r="1342" spans="1:35">
      <c r="A1342">
        <v>1341</v>
      </c>
      <c r="B1342" t="str">
        <f>"603106"</f>
        <v>603106</v>
      </c>
      <c r="C1342" t="s">
        <v>7685</v>
      </c>
      <c r="D1342" s="4">
        <v>43190</v>
      </c>
      <c r="E1342" t="s">
        <v>1664</v>
      </c>
      <c r="F1342" t="s">
        <v>564</v>
      </c>
      <c r="G1342">
        <v>2222</v>
      </c>
      <c r="H1342">
        <v>0.11</v>
      </c>
      <c r="I1342">
        <v>5.77</v>
      </c>
      <c r="J1342">
        <v>1.99</v>
      </c>
      <c r="K1342" t="s">
        <v>976</v>
      </c>
      <c r="L1342">
        <v>-10.92</v>
      </c>
      <c r="M1342" t="s">
        <v>7686</v>
      </c>
      <c r="N1342" t="s">
        <v>7392</v>
      </c>
      <c r="O1342" t="s">
        <v>7687</v>
      </c>
      <c r="P1342" t="s">
        <v>5670</v>
      </c>
      <c r="Q1342">
        <v>13.48</v>
      </c>
      <c r="R1342" t="s">
        <v>824</v>
      </c>
      <c r="S1342">
        <v>1.1399999999999999</v>
      </c>
      <c r="T1342">
        <v>31.97</v>
      </c>
      <c r="U1342" t="s">
        <v>1875</v>
      </c>
      <c r="V1342" t="s">
        <v>1284</v>
      </c>
      <c r="W1342" t="s">
        <v>319</v>
      </c>
      <c r="X1342">
        <v>1.99</v>
      </c>
      <c r="Y1342" t="s">
        <v>105</v>
      </c>
      <c r="Z1342" t="s">
        <v>47</v>
      </c>
      <c r="AA1342" t="s">
        <v>507</v>
      </c>
      <c r="AB1342">
        <v>3.24</v>
      </c>
      <c r="AC1342" t="s">
        <v>50</v>
      </c>
      <c r="AD1342">
        <v>73.290000000000006</v>
      </c>
      <c r="AE1342" t="s">
        <v>392</v>
      </c>
      <c r="AF1342">
        <v>3.51</v>
      </c>
      <c r="AG1342">
        <v>0</v>
      </c>
      <c r="AH1342">
        <v>0</v>
      </c>
      <c r="AI1342" s="4">
        <v>42998</v>
      </c>
    </row>
    <row r="1343" spans="1:35">
      <c r="A1343">
        <v>1342</v>
      </c>
      <c r="B1343" t="str">
        <f>"600666"</f>
        <v>600666</v>
      </c>
      <c r="C1343" t="s">
        <v>7688</v>
      </c>
      <c r="D1343" s="4">
        <v>43190</v>
      </c>
      <c r="E1343" t="s">
        <v>405</v>
      </c>
      <c r="F1343" t="s">
        <v>2984</v>
      </c>
      <c r="G1343" t="s">
        <v>4360</v>
      </c>
      <c r="H1343">
        <v>0.04</v>
      </c>
      <c r="I1343">
        <v>2.19</v>
      </c>
      <c r="J1343">
        <v>1.99</v>
      </c>
      <c r="K1343" t="s">
        <v>90</v>
      </c>
      <c r="L1343">
        <v>43.47</v>
      </c>
      <c r="M1343" t="s">
        <v>7689</v>
      </c>
      <c r="N1343" t="s">
        <v>7690</v>
      </c>
      <c r="O1343" t="s">
        <v>7689</v>
      </c>
      <c r="P1343" t="s">
        <v>7691</v>
      </c>
      <c r="Q1343">
        <v>11.49</v>
      </c>
      <c r="R1343" t="s">
        <v>407</v>
      </c>
      <c r="S1343">
        <v>0.85</v>
      </c>
      <c r="T1343">
        <v>23.46</v>
      </c>
      <c r="U1343" t="s">
        <v>1196</v>
      </c>
      <c r="V1343" t="s">
        <v>2280</v>
      </c>
      <c r="W1343" t="s">
        <v>1223</v>
      </c>
      <c r="X1343">
        <v>1.99</v>
      </c>
      <c r="Y1343" t="s">
        <v>1803</v>
      </c>
      <c r="Z1343" t="s">
        <v>578</v>
      </c>
      <c r="AA1343" t="s">
        <v>1062</v>
      </c>
      <c r="AB1343">
        <v>1.6</v>
      </c>
      <c r="AC1343" t="s">
        <v>1908</v>
      </c>
      <c r="AD1343">
        <v>40.74</v>
      </c>
      <c r="AE1343" t="s">
        <v>285</v>
      </c>
      <c r="AF1343">
        <v>0.64</v>
      </c>
      <c r="AG1343">
        <v>0</v>
      </c>
      <c r="AH1343">
        <v>0</v>
      </c>
      <c r="AI1343" s="4">
        <v>34162</v>
      </c>
    </row>
    <row r="1344" spans="1:35">
      <c r="A1344">
        <v>1343</v>
      </c>
      <c r="B1344" t="str">
        <f>"600483"</f>
        <v>600483</v>
      </c>
      <c r="C1344" t="s">
        <v>7692</v>
      </c>
      <c r="D1344" s="4">
        <v>43190</v>
      </c>
      <c r="E1344" t="s">
        <v>747</v>
      </c>
      <c r="F1344" t="s">
        <v>164</v>
      </c>
      <c r="G1344" t="s">
        <v>7693</v>
      </c>
      <c r="H1344">
        <v>0.14000000000000001</v>
      </c>
      <c r="I1344">
        <v>6.71</v>
      </c>
      <c r="J1344">
        <v>1.99</v>
      </c>
      <c r="K1344" t="s">
        <v>304</v>
      </c>
      <c r="L1344">
        <v>53.28</v>
      </c>
      <c r="M1344" t="s">
        <v>2123</v>
      </c>
      <c r="N1344" t="s">
        <v>256</v>
      </c>
      <c r="O1344" t="s">
        <v>255</v>
      </c>
      <c r="P1344" t="s">
        <v>862</v>
      </c>
      <c r="Q1344">
        <v>5.77</v>
      </c>
      <c r="R1344" t="s">
        <v>1396</v>
      </c>
      <c r="S1344">
        <v>1.9</v>
      </c>
      <c r="T1344">
        <v>13.5</v>
      </c>
      <c r="U1344" t="s">
        <v>4816</v>
      </c>
      <c r="V1344" t="s">
        <v>7694</v>
      </c>
      <c r="W1344" t="s">
        <v>246</v>
      </c>
      <c r="X1344">
        <v>1.99</v>
      </c>
      <c r="Y1344" t="s">
        <v>315</v>
      </c>
      <c r="Z1344" t="s">
        <v>816</v>
      </c>
      <c r="AA1344" t="s">
        <v>4595</v>
      </c>
      <c r="AB1344">
        <v>1.1499999999999999</v>
      </c>
      <c r="AC1344" t="s">
        <v>3472</v>
      </c>
      <c r="AD1344">
        <v>45.87</v>
      </c>
      <c r="AE1344" t="s">
        <v>1054</v>
      </c>
      <c r="AF1344">
        <v>2.0699999999999998</v>
      </c>
      <c r="AG1344">
        <v>0</v>
      </c>
      <c r="AH1344">
        <v>0</v>
      </c>
      <c r="AI1344" s="4">
        <v>38138</v>
      </c>
    </row>
    <row r="1345" spans="1:35">
      <c r="A1345">
        <v>1344</v>
      </c>
      <c r="B1345" t="str">
        <f>"300426"</f>
        <v>300426</v>
      </c>
      <c r="C1345" t="s">
        <v>7695</v>
      </c>
      <c r="D1345" s="4">
        <v>43190</v>
      </c>
      <c r="E1345" t="s">
        <v>150</v>
      </c>
      <c r="F1345" t="s">
        <v>203</v>
      </c>
      <c r="G1345" t="s">
        <v>2554</v>
      </c>
      <c r="H1345">
        <v>0.06</v>
      </c>
      <c r="I1345">
        <v>3.08</v>
      </c>
      <c r="J1345">
        <v>1.99</v>
      </c>
      <c r="K1345" t="s">
        <v>383</v>
      </c>
      <c r="L1345">
        <v>99.7</v>
      </c>
      <c r="M1345" t="s">
        <v>6856</v>
      </c>
      <c r="N1345" t="s">
        <v>7696</v>
      </c>
      <c r="O1345" t="s">
        <v>7697</v>
      </c>
      <c r="P1345" t="s">
        <v>7698</v>
      </c>
      <c r="Q1345">
        <v>167.7</v>
      </c>
      <c r="R1345" t="s">
        <v>2510</v>
      </c>
      <c r="S1345">
        <v>1.73</v>
      </c>
      <c r="T1345">
        <v>45.82</v>
      </c>
      <c r="U1345" t="s">
        <v>2283</v>
      </c>
      <c r="V1345" t="s">
        <v>946</v>
      </c>
      <c r="W1345" t="s">
        <v>7699</v>
      </c>
      <c r="X1345">
        <v>1.99</v>
      </c>
      <c r="Y1345" t="s">
        <v>159</v>
      </c>
      <c r="Z1345" t="s">
        <v>119</v>
      </c>
      <c r="AA1345" t="s">
        <v>7335</v>
      </c>
      <c r="AB1345">
        <v>4.22</v>
      </c>
      <c r="AC1345" t="s">
        <v>405</v>
      </c>
      <c r="AD1345">
        <v>36.92</v>
      </c>
      <c r="AE1345" t="s">
        <v>804</v>
      </c>
      <c r="AF1345">
        <v>0.28000000000000003</v>
      </c>
      <c r="AG1345">
        <v>0</v>
      </c>
      <c r="AH1345">
        <v>0</v>
      </c>
      <c r="AI1345" s="4">
        <v>42052</v>
      </c>
    </row>
    <row r="1346" spans="1:35">
      <c r="A1346">
        <v>1345</v>
      </c>
      <c r="B1346" t="str">
        <f>"002463"</f>
        <v>002463</v>
      </c>
      <c r="C1346" t="s">
        <v>7700</v>
      </c>
      <c r="D1346" s="4">
        <v>43190</v>
      </c>
      <c r="E1346" t="s">
        <v>1190</v>
      </c>
      <c r="F1346" t="s">
        <v>1190</v>
      </c>
      <c r="G1346" t="s">
        <v>2015</v>
      </c>
      <c r="H1346">
        <v>0.04</v>
      </c>
      <c r="I1346">
        <v>2.08</v>
      </c>
      <c r="J1346">
        <v>1.99</v>
      </c>
      <c r="K1346" t="s">
        <v>192</v>
      </c>
      <c r="L1346">
        <v>8.99</v>
      </c>
      <c r="M1346" t="s">
        <v>7190</v>
      </c>
      <c r="N1346" t="s">
        <v>7701</v>
      </c>
      <c r="O1346" t="s">
        <v>7501</v>
      </c>
      <c r="P1346" t="s">
        <v>7702</v>
      </c>
      <c r="Q1346">
        <v>42.35</v>
      </c>
      <c r="R1346" t="s">
        <v>1384</v>
      </c>
      <c r="S1346">
        <v>0.79</v>
      </c>
      <c r="T1346">
        <v>17.649999999999999</v>
      </c>
      <c r="U1346" t="s">
        <v>2390</v>
      </c>
      <c r="V1346" t="s">
        <v>1205</v>
      </c>
      <c r="W1346" t="s">
        <v>1943</v>
      </c>
      <c r="X1346">
        <v>1.99</v>
      </c>
      <c r="Y1346" t="s">
        <v>306</v>
      </c>
      <c r="Z1346" t="s">
        <v>757</v>
      </c>
      <c r="AA1346" t="s">
        <v>3490</v>
      </c>
      <c r="AB1346">
        <v>1.81</v>
      </c>
      <c r="AC1346" t="s">
        <v>2093</v>
      </c>
      <c r="AD1346">
        <v>59.44</v>
      </c>
      <c r="AE1346" t="s">
        <v>290</v>
      </c>
      <c r="AF1346">
        <v>0.1</v>
      </c>
      <c r="AG1346">
        <v>0</v>
      </c>
      <c r="AH1346">
        <v>0</v>
      </c>
      <c r="AI1346" s="4">
        <v>40408</v>
      </c>
    </row>
    <row r="1347" spans="1:35">
      <c r="A1347">
        <v>1346</v>
      </c>
      <c r="B1347" t="str">
        <f>"603716"</f>
        <v>603716</v>
      </c>
      <c r="C1347" t="s">
        <v>7703</v>
      </c>
      <c r="D1347" s="4">
        <v>43190</v>
      </c>
      <c r="E1347" t="s">
        <v>844</v>
      </c>
      <c r="F1347" t="s">
        <v>7704</v>
      </c>
      <c r="G1347">
        <v>4071</v>
      </c>
      <c r="H1347">
        <v>0.09</v>
      </c>
      <c r="I1347">
        <v>7.54</v>
      </c>
      <c r="J1347">
        <v>1.98</v>
      </c>
      <c r="K1347" t="s">
        <v>1049</v>
      </c>
      <c r="L1347">
        <v>59.78</v>
      </c>
      <c r="M1347" t="s">
        <v>7705</v>
      </c>
      <c r="N1347">
        <v>0</v>
      </c>
      <c r="O1347" t="s">
        <v>7706</v>
      </c>
      <c r="P1347" t="s">
        <v>6787</v>
      </c>
      <c r="Q1347">
        <v>27.45</v>
      </c>
      <c r="R1347" t="s">
        <v>1682</v>
      </c>
      <c r="S1347">
        <v>1.82</v>
      </c>
      <c r="T1347">
        <v>33.17</v>
      </c>
      <c r="U1347" t="s">
        <v>298</v>
      </c>
      <c r="V1347" t="s">
        <v>192</v>
      </c>
      <c r="W1347" t="s">
        <v>1011</v>
      </c>
      <c r="X1347">
        <v>1.98</v>
      </c>
      <c r="Y1347" t="s">
        <v>1761</v>
      </c>
      <c r="Z1347" t="s">
        <v>2490</v>
      </c>
      <c r="AA1347" t="s">
        <v>4363</v>
      </c>
      <c r="AB1347">
        <v>2.6</v>
      </c>
      <c r="AC1347" t="s">
        <v>1817</v>
      </c>
      <c r="AD1347">
        <v>57.15</v>
      </c>
      <c r="AE1347" t="s">
        <v>1006</v>
      </c>
      <c r="AF1347">
        <v>4.5999999999999996</v>
      </c>
      <c r="AG1347">
        <v>0</v>
      </c>
      <c r="AH1347">
        <v>0</v>
      </c>
      <c r="AI1347" s="4">
        <v>42674</v>
      </c>
    </row>
    <row r="1348" spans="1:35">
      <c r="A1348">
        <v>1347</v>
      </c>
      <c r="B1348" t="str">
        <f>"603399"</f>
        <v>603399</v>
      </c>
      <c r="C1348" t="s">
        <v>7707</v>
      </c>
      <c r="D1348" s="4">
        <v>43190</v>
      </c>
      <c r="E1348" t="s">
        <v>592</v>
      </c>
      <c r="F1348" t="s">
        <v>1012</v>
      </c>
      <c r="G1348" t="s">
        <v>7708</v>
      </c>
      <c r="H1348">
        <v>0.08</v>
      </c>
      <c r="I1348">
        <v>3.97</v>
      </c>
      <c r="J1348">
        <v>1.98</v>
      </c>
      <c r="K1348" t="s">
        <v>1575</v>
      </c>
      <c r="L1348">
        <v>77.92</v>
      </c>
      <c r="M1348" t="s">
        <v>6128</v>
      </c>
      <c r="N1348" t="s">
        <v>6484</v>
      </c>
      <c r="O1348" t="s">
        <v>2466</v>
      </c>
      <c r="P1348" t="s">
        <v>3672</v>
      </c>
      <c r="Q1348">
        <v>2814.43</v>
      </c>
      <c r="R1348" t="s">
        <v>258</v>
      </c>
      <c r="S1348">
        <v>0.47</v>
      </c>
      <c r="T1348">
        <v>11.08</v>
      </c>
      <c r="U1348" t="s">
        <v>408</v>
      </c>
      <c r="V1348" t="s">
        <v>356</v>
      </c>
      <c r="W1348" t="s">
        <v>1035</v>
      </c>
      <c r="X1348">
        <v>1.98</v>
      </c>
      <c r="Y1348" t="s">
        <v>3356</v>
      </c>
      <c r="Z1348" t="s">
        <v>275</v>
      </c>
      <c r="AA1348" t="s">
        <v>677</v>
      </c>
      <c r="AB1348">
        <v>4.29</v>
      </c>
      <c r="AC1348" t="s">
        <v>2753</v>
      </c>
      <c r="AD1348">
        <v>51.19</v>
      </c>
      <c r="AE1348" t="s">
        <v>775</v>
      </c>
      <c r="AF1348">
        <v>3.22</v>
      </c>
      <c r="AG1348">
        <v>0</v>
      </c>
      <c r="AH1348">
        <v>0</v>
      </c>
      <c r="AI1348" s="4">
        <v>41145</v>
      </c>
    </row>
    <row r="1349" spans="1:35">
      <c r="A1349">
        <v>1348</v>
      </c>
      <c r="B1349" t="str">
        <f>"601211"</f>
        <v>601211</v>
      </c>
      <c r="C1349" t="s">
        <v>7709</v>
      </c>
      <c r="D1349" s="4">
        <v>43190</v>
      </c>
      <c r="E1349" t="s">
        <v>4136</v>
      </c>
      <c r="F1349" t="s">
        <v>3241</v>
      </c>
      <c r="G1349" t="s">
        <v>495</v>
      </c>
      <c r="H1349">
        <v>0.26</v>
      </c>
      <c r="I1349">
        <v>13.1</v>
      </c>
      <c r="J1349">
        <v>1.98</v>
      </c>
      <c r="K1349" t="s">
        <v>4158</v>
      </c>
      <c r="L1349">
        <v>11.78</v>
      </c>
      <c r="M1349" t="s">
        <v>907</v>
      </c>
      <c r="N1349" t="s">
        <v>1516</v>
      </c>
      <c r="O1349" t="s">
        <v>2535</v>
      </c>
      <c r="P1349" t="s">
        <v>1449</v>
      </c>
      <c r="Q1349">
        <v>-11.85</v>
      </c>
      <c r="R1349" t="s">
        <v>7710</v>
      </c>
      <c r="S1349">
        <v>4.62</v>
      </c>
      <c r="T1349">
        <v>0</v>
      </c>
      <c r="U1349" t="s">
        <v>7711</v>
      </c>
      <c r="V1349">
        <v>0</v>
      </c>
      <c r="W1349" t="s">
        <v>1386</v>
      </c>
      <c r="X1349">
        <v>1.98</v>
      </c>
      <c r="Y1349" t="s">
        <v>7712</v>
      </c>
      <c r="Z1349">
        <v>0</v>
      </c>
      <c r="AA1349">
        <v>0</v>
      </c>
      <c r="AB1349">
        <v>1.1599999999999999</v>
      </c>
      <c r="AC1349" t="s">
        <v>7713</v>
      </c>
      <c r="AD1349">
        <v>27.58</v>
      </c>
      <c r="AE1349" t="s">
        <v>1554</v>
      </c>
      <c r="AF1349">
        <v>5.04</v>
      </c>
      <c r="AG1349">
        <v>0</v>
      </c>
      <c r="AH1349" t="s">
        <v>625</v>
      </c>
      <c r="AI1349" s="4">
        <v>42181</v>
      </c>
    </row>
    <row r="1350" spans="1:35">
      <c r="A1350">
        <v>1349</v>
      </c>
      <c r="B1350" t="str">
        <f>"600569"</f>
        <v>600569</v>
      </c>
      <c r="C1350" t="s">
        <v>7714</v>
      </c>
      <c r="D1350" s="4">
        <v>43190</v>
      </c>
      <c r="E1350" t="s">
        <v>440</v>
      </c>
      <c r="F1350" t="s">
        <v>440</v>
      </c>
      <c r="G1350" t="s">
        <v>7516</v>
      </c>
      <c r="H1350">
        <v>0.05</v>
      </c>
      <c r="I1350">
        <v>2.76</v>
      </c>
      <c r="J1350">
        <v>1.98</v>
      </c>
      <c r="K1350" t="s">
        <v>2868</v>
      </c>
      <c r="L1350">
        <v>14.03</v>
      </c>
      <c r="M1350" t="s">
        <v>1376</v>
      </c>
      <c r="N1350">
        <v>0</v>
      </c>
      <c r="O1350" t="s">
        <v>2306</v>
      </c>
      <c r="P1350" t="s">
        <v>1038</v>
      </c>
      <c r="Q1350">
        <v>164.2</v>
      </c>
      <c r="R1350" t="s">
        <v>7715</v>
      </c>
      <c r="S1350">
        <v>-0.45</v>
      </c>
      <c r="T1350">
        <v>10.24</v>
      </c>
      <c r="U1350" t="s">
        <v>2048</v>
      </c>
      <c r="V1350" t="s">
        <v>1279</v>
      </c>
      <c r="W1350" t="s">
        <v>1453</v>
      </c>
      <c r="X1350">
        <v>1.98</v>
      </c>
      <c r="Y1350" t="s">
        <v>1653</v>
      </c>
      <c r="Z1350" t="s">
        <v>1385</v>
      </c>
      <c r="AA1350" t="s">
        <v>817</v>
      </c>
      <c r="AB1350">
        <v>1.5</v>
      </c>
      <c r="AC1350" t="s">
        <v>2487</v>
      </c>
      <c r="AD1350">
        <v>20.3</v>
      </c>
      <c r="AE1350" t="s">
        <v>312</v>
      </c>
      <c r="AF1350">
        <v>1.45</v>
      </c>
      <c r="AG1350">
        <v>0</v>
      </c>
      <c r="AH1350">
        <v>0</v>
      </c>
      <c r="AI1350" s="4">
        <v>37123</v>
      </c>
    </row>
    <row r="1351" spans="1:35">
      <c r="A1351">
        <v>1350</v>
      </c>
      <c r="B1351" t="str">
        <f>"300729"</f>
        <v>300729</v>
      </c>
      <c r="C1351" t="s">
        <v>7716</v>
      </c>
      <c r="D1351" s="4">
        <v>43190</v>
      </c>
      <c r="E1351" t="s">
        <v>6183</v>
      </c>
      <c r="F1351" t="s">
        <v>7717</v>
      </c>
      <c r="G1351">
        <v>1599</v>
      </c>
      <c r="H1351">
        <v>0.16</v>
      </c>
      <c r="I1351">
        <v>8.0299999999999994</v>
      </c>
      <c r="J1351">
        <v>1.98</v>
      </c>
      <c r="K1351" t="s">
        <v>986</v>
      </c>
      <c r="L1351">
        <v>47.11</v>
      </c>
      <c r="M1351" t="s">
        <v>7718</v>
      </c>
      <c r="N1351" t="s">
        <v>7719</v>
      </c>
      <c r="O1351" t="s">
        <v>7720</v>
      </c>
      <c r="P1351" t="s">
        <v>1373</v>
      </c>
      <c r="Q1351">
        <v>-10.3</v>
      </c>
      <c r="R1351" t="s">
        <v>1511</v>
      </c>
      <c r="S1351">
        <v>2.92</v>
      </c>
      <c r="T1351">
        <v>41.63</v>
      </c>
      <c r="U1351" t="s">
        <v>978</v>
      </c>
      <c r="V1351" t="s">
        <v>4435</v>
      </c>
      <c r="W1351" t="s">
        <v>1435</v>
      </c>
      <c r="X1351">
        <v>1.98</v>
      </c>
      <c r="Y1351" t="s">
        <v>2661</v>
      </c>
      <c r="Z1351" t="s">
        <v>594</v>
      </c>
      <c r="AA1351" t="s">
        <v>7721</v>
      </c>
      <c r="AB1351">
        <v>4.0199999999999996</v>
      </c>
      <c r="AC1351" t="s">
        <v>2853</v>
      </c>
      <c r="AD1351">
        <v>68.02</v>
      </c>
      <c r="AE1351" t="s">
        <v>2185</v>
      </c>
      <c r="AF1351">
        <v>3.81</v>
      </c>
      <c r="AG1351">
        <v>0</v>
      </c>
      <c r="AH1351">
        <v>0</v>
      </c>
      <c r="AI1351" s="4">
        <v>43070</v>
      </c>
    </row>
    <row r="1352" spans="1:35">
      <c r="A1352">
        <v>1351</v>
      </c>
      <c r="B1352" t="str">
        <f>"300586"</f>
        <v>300586</v>
      </c>
      <c r="C1352" t="s">
        <v>7722</v>
      </c>
      <c r="D1352" s="4">
        <v>43190</v>
      </c>
      <c r="E1352" t="s">
        <v>94</v>
      </c>
      <c r="F1352" t="s">
        <v>6320</v>
      </c>
      <c r="G1352">
        <v>1643</v>
      </c>
      <c r="H1352">
        <v>0.05</v>
      </c>
      <c r="I1352">
        <v>2.2999999999999998</v>
      </c>
      <c r="J1352">
        <v>1.98</v>
      </c>
      <c r="K1352" t="s">
        <v>1626</v>
      </c>
      <c r="L1352">
        <v>38.92</v>
      </c>
      <c r="M1352" t="s">
        <v>5762</v>
      </c>
      <c r="N1352" t="s">
        <v>5970</v>
      </c>
      <c r="O1352" t="s">
        <v>6908</v>
      </c>
      <c r="P1352" t="s">
        <v>2658</v>
      </c>
      <c r="Q1352">
        <v>25.92</v>
      </c>
      <c r="R1352" t="s">
        <v>95</v>
      </c>
      <c r="S1352">
        <v>0.6</v>
      </c>
      <c r="T1352">
        <v>21.45</v>
      </c>
      <c r="U1352" t="s">
        <v>226</v>
      </c>
      <c r="V1352" t="s">
        <v>2445</v>
      </c>
      <c r="W1352" t="s">
        <v>256</v>
      </c>
      <c r="X1352">
        <v>1.98</v>
      </c>
      <c r="Y1352" t="s">
        <v>217</v>
      </c>
      <c r="Z1352" t="s">
        <v>126</v>
      </c>
      <c r="AA1352" t="s">
        <v>7723</v>
      </c>
      <c r="AB1352">
        <v>6.84</v>
      </c>
      <c r="AC1352" t="s">
        <v>3368</v>
      </c>
      <c r="AD1352">
        <v>70.05</v>
      </c>
      <c r="AE1352" t="s">
        <v>286</v>
      </c>
      <c r="AF1352">
        <v>0.61</v>
      </c>
      <c r="AG1352">
        <v>0</v>
      </c>
      <c r="AH1352">
        <v>0</v>
      </c>
      <c r="AI1352" s="4">
        <v>42739</v>
      </c>
    </row>
    <row r="1353" spans="1:35">
      <c r="A1353">
        <v>1352</v>
      </c>
      <c r="B1353" t="str">
        <f>"002807"</f>
        <v>002807</v>
      </c>
      <c r="C1353" t="s">
        <v>7724</v>
      </c>
      <c r="D1353" s="4">
        <v>43190</v>
      </c>
      <c r="E1353" t="s">
        <v>1126</v>
      </c>
      <c r="F1353" t="s">
        <v>2061</v>
      </c>
      <c r="G1353">
        <v>8613</v>
      </c>
      <c r="H1353">
        <v>0.1</v>
      </c>
      <c r="I1353">
        <v>5.2</v>
      </c>
      <c r="J1353">
        <v>1.98</v>
      </c>
      <c r="K1353" t="s">
        <v>857</v>
      </c>
      <c r="L1353">
        <v>12.95</v>
      </c>
      <c r="M1353" t="s">
        <v>552</v>
      </c>
      <c r="N1353" t="s">
        <v>533</v>
      </c>
      <c r="O1353" t="s">
        <v>319</v>
      </c>
      <c r="P1353" t="s">
        <v>1077</v>
      </c>
      <c r="Q1353">
        <v>4.74</v>
      </c>
      <c r="R1353" t="s">
        <v>2499</v>
      </c>
      <c r="S1353">
        <v>1.53</v>
      </c>
      <c r="T1353">
        <v>0</v>
      </c>
      <c r="U1353" t="s">
        <v>7725</v>
      </c>
      <c r="V1353">
        <v>0</v>
      </c>
      <c r="W1353" t="s">
        <v>1976</v>
      </c>
      <c r="X1353">
        <v>1.98</v>
      </c>
      <c r="Y1353" t="s">
        <v>2353</v>
      </c>
      <c r="Z1353">
        <v>0</v>
      </c>
      <c r="AA1353">
        <v>0</v>
      </c>
      <c r="AB1353">
        <v>1.03</v>
      </c>
      <c r="AC1353" t="s">
        <v>7726</v>
      </c>
      <c r="AD1353">
        <v>8.67</v>
      </c>
      <c r="AE1353" t="s">
        <v>2569</v>
      </c>
      <c r="AF1353">
        <v>0.4</v>
      </c>
      <c r="AG1353">
        <v>0</v>
      </c>
      <c r="AH1353">
        <v>0</v>
      </c>
      <c r="AI1353" s="4">
        <v>42615</v>
      </c>
    </row>
    <row r="1354" spans="1:35">
      <c r="A1354">
        <v>1353</v>
      </c>
      <c r="B1354" t="str">
        <f>"002094"</f>
        <v>002094</v>
      </c>
      <c r="C1354" t="s">
        <v>7727</v>
      </c>
      <c r="D1354" s="4">
        <v>43190</v>
      </c>
      <c r="E1354" t="s">
        <v>3894</v>
      </c>
      <c r="F1354" t="s">
        <v>2580</v>
      </c>
      <c r="G1354" t="s">
        <v>53</v>
      </c>
      <c r="H1354">
        <v>7.0000000000000007E-2</v>
      </c>
      <c r="I1354">
        <v>4.08</v>
      </c>
      <c r="J1354">
        <v>1.98</v>
      </c>
      <c r="K1354" t="s">
        <v>1033</v>
      </c>
      <c r="L1354">
        <v>56.48</v>
      </c>
      <c r="M1354" t="s">
        <v>7728</v>
      </c>
      <c r="N1354" t="s">
        <v>6580</v>
      </c>
      <c r="O1354" t="s">
        <v>5411</v>
      </c>
      <c r="P1354" t="s">
        <v>2911</v>
      </c>
      <c r="Q1354">
        <v>91.65</v>
      </c>
      <c r="R1354" t="s">
        <v>3651</v>
      </c>
      <c r="S1354">
        <v>1.33</v>
      </c>
      <c r="T1354">
        <v>22.02</v>
      </c>
      <c r="U1354" t="s">
        <v>428</v>
      </c>
      <c r="V1354" t="s">
        <v>864</v>
      </c>
      <c r="W1354" t="s">
        <v>415</v>
      </c>
      <c r="X1354">
        <v>1.98</v>
      </c>
      <c r="Y1354" t="s">
        <v>565</v>
      </c>
      <c r="Z1354" t="s">
        <v>1190</v>
      </c>
      <c r="AA1354" t="s">
        <v>2094</v>
      </c>
      <c r="AB1354">
        <v>2.21</v>
      </c>
      <c r="AC1354" t="s">
        <v>2542</v>
      </c>
      <c r="AD1354">
        <v>48.98</v>
      </c>
      <c r="AE1354" t="s">
        <v>699</v>
      </c>
      <c r="AF1354">
        <v>1.63</v>
      </c>
      <c r="AG1354">
        <v>0</v>
      </c>
      <c r="AH1354">
        <v>0</v>
      </c>
      <c r="AI1354" s="4">
        <v>39066</v>
      </c>
    </row>
    <row r="1355" spans="1:35">
      <c r="A1355">
        <v>1354</v>
      </c>
      <c r="B1355" t="str">
        <f>"000928"</f>
        <v>000928</v>
      </c>
      <c r="C1355" t="s">
        <v>7729</v>
      </c>
      <c r="D1355" s="4">
        <v>43190</v>
      </c>
      <c r="E1355" t="s">
        <v>164</v>
      </c>
      <c r="F1355" t="s">
        <v>2646</v>
      </c>
      <c r="G1355" t="s">
        <v>1448</v>
      </c>
      <c r="H1355">
        <v>7.0000000000000007E-2</v>
      </c>
      <c r="I1355">
        <v>3.58</v>
      </c>
      <c r="J1355">
        <v>1.98</v>
      </c>
      <c r="K1355" t="s">
        <v>971</v>
      </c>
      <c r="L1355">
        <v>-11.51</v>
      </c>
      <c r="M1355" t="s">
        <v>2360</v>
      </c>
      <c r="N1355" t="s">
        <v>508</v>
      </c>
      <c r="O1355" t="s">
        <v>2360</v>
      </c>
      <c r="P1355" t="s">
        <v>3252</v>
      </c>
      <c r="Q1355">
        <v>-9.66</v>
      </c>
      <c r="R1355" t="s">
        <v>1214</v>
      </c>
      <c r="S1355">
        <v>0.96</v>
      </c>
      <c r="T1355">
        <v>17.61</v>
      </c>
      <c r="U1355" t="s">
        <v>1929</v>
      </c>
      <c r="V1355" t="s">
        <v>3472</v>
      </c>
      <c r="W1355" t="s">
        <v>726</v>
      </c>
      <c r="X1355">
        <v>1.98</v>
      </c>
      <c r="Y1355" t="s">
        <v>1514</v>
      </c>
      <c r="Z1355" t="s">
        <v>636</v>
      </c>
      <c r="AA1355" t="s">
        <v>71</v>
      </c>
      <c r="AB1355">
        <v>1.27</v>
      </c>
      <c r="AC1355" t="s">
        <v>1277</v>
      </c>
      <c r="AD1355">
        <v>36.03</v>
      </c>
      <c r="AE1355" t="s">
        <v>1255</v>
      </c>
      <c r="AF1355">
        <v>1.6</v>
      </c>
      <c r="AG1355">
        <v>0</v>
      </c>
      <c r="AH1355">
        <v>0</v>
      </c>
      <c r="AI1355" s="4">
        <v>36231</v>
      </c>
    </row>
    <row r="1356" spans="1:35">
      <c r="A1356">
        <v>1355</v>
      </c>
      <c r="B1356" t="str">
        <f>"000878"</f>
        <v>000878</v>
      </c>
      <c r="C1356" t="s">
        <v>7730</v>
      </c>
      <c r="D1356" s="4">
        <v>43190</v>
      </c>
      <c r="E1356" t="s">
        <v>173</v>
      </c>
      <c r="F1356" t="s">
        <v>173</v>
      </c>
      <c r="G1356" t="s">
        <v>708</v>
      </c>
      <c r="H1356">
        <v>0.08</v>
      </c>
      <c r="I1356">
        <v>4.42</v>
      </c>
      <c r="J1356">
        <v>1.98</v>
      </c>
      <c r="K1356" t="s">
        <v>7731</v>
      </c>
      <c r="L1356">
        <v>-14.76</v>
      </c>
      <c r="M1356" t="s">
        <v>698</v>
      </c>
      <c r="N1356" t="s">
        <v>7732</v>
      </c>
      <c r="O1356" t="s">
        <v>698</v>
      </c>
      <c r="P1356" t="s">
        <v>1626</v>
      </c>
      <c r="Q1356">
        <v>75.73</v>
      </c>
      <c r="R1356" t="s">
        <v>7733</v>
      </c>
      <c r="S1356">
        <v>-0.17</v>
      </c>
      <c r="T1356">
        <v>5.87</v>
      </c>
      <c r="U1356" t="s">
        <v>2798</v>
      </c>
      <c r="V1356" t="s">
        <v>1753</v>
      </c>
      <c r="W1356" t="s">
        <v>7584</v>
      </c>
      <c r="X1356">
        <v>1.98</v>
      </c>
      <c r="Y1356" t="s">
        <v>5133</v>
      </c>
      <c r="Z1356" t="s">
        <v>814</v>
      </c>
      <c r="AA1356" t="s">
        <v>3571</v>
      </c>
      <c r="AB1356">
        <v>2.2400000000000002</v>
      </c>
      <c r="AC1356" t="s">
        <v>2868</v>
      </c>
      <c r="AD1356">
        <v>21.73</v>
      </c>
      <c r="AE1356" t="s">
        <v>528</v>
      </c>
      <c r="AF1356">
        <v>3.07</v>
      </c>
      <c r="AG1356">
        <v>0</v>
      </c>
      <c r="AH1356">
        <v>0</v>
      </c>
      <c r="AI1356" s="4">
        <v>35948</v>
      </c>
    </row>
    <row r="1357" spans="1:35">
      <c r="A1357">
        <v>1356</v>
      </c>
      <c r="B1357" t="str">
        <f>"603987"</f>
        <v>603987</v>
      </c>
      <c r="C1357" t="s">
        <v>7734</v>
      </c>
      <c r="D1357" s="4">
        <v>43190</v>
      </c>
      <c r="E1357" t="s">
        <v>186</v>
      </c>
      <c r="F1357" t="s">
        <v>2123</v>
      </c>
      <c r="G1357">
        <v>7305</v>
      </c>
      <c r="H1357">
        <v>0.08</v>
      </c>
      <c r="I1357">
        <v>3.98</v>
      </c>
      <c r="J1357">
        <v>1.97</v>
      </c>
      <c r="K1357" t="s">
        <v>301</v>
      </c>
      <c r="L1357">
        <v>19.170000000000002</v>
      </c>
      <c r="M1357" t="s">
        <v>7735</v>
      </c>
      <c r="N1357" t="s">
        <v>7736</v>
      </c>
      <c r="O1357" t="s">
        <v>7737</v>
      </c>
      <c r="P1357" t="s">
        <v>7738</v>
      </c>
      <c r="Q1357">
        <v>2.2200000000000002</v>
      </c>
      <c r="R1357" t="s">
        <v>267</v>
      </c>
      <c r="S1357">
        <v>1.26</v>
      </c>
      <c r="T1357">
        <v>32.24</v>
      </c>
      <c r="U1357" t="s">
        <v>847</v>
      </c>
      <c r="V1357" t="s">
        <v>1019</v>
      </c>
      <c r="W1357" t="s">
        <v>491</v>
      </c>
      <c r="X1357">
        <v>1.97</v>
      </c>
      <c r="Y1357" t="s">
        <v>4614</v>
      </c>
      <c r="Z1357" t="s">
        <v>1364</v>
      </c>
      <c r="AA1357" t="s">
        <v>7739</v>
      </c>
      <c r="AB1357">
        <v>2.5</v>
      </c>
      <c r="AC1357" t="s">
        <v>164</v>
      </c>
      <c r="AD1357">
        <v>78.25</v>
      </c>
      <c r="AE1357" t="s">
        <v>3374</v>
      </c>
      <c r="AF1357">
        <v>1.58</v>
      </c>
      <c r="AG1357">
        <v>0</v>
      </c>
      <c r="AH1357">
        <v>0</v>
      </c>
      <c r="AI1357" s="4">
        <v>42695</v>
      </c>
    </row>
    <row r="1358" spans="1:35">
      <c r="A1358">
        <v>1357</v>
      </c>
      <c r="B1358" t="str">
        <f>"603738"</f>
        <v>603738</v>
      </c>
      <c r="C1358" t="s">
        <v>7740</v>
      </c>
      <c r="D1358" s="4">
        <v>43190</v>
      </c>
      <c r="E1358" t="s">
        <v>1689</v>
      </c>
      <c r="F1358" t="s">
        <v>7741</v>
      </c>
      <c r="G1358">
        <v>4000</v>
      </c>
      <c r="H1358">
        <v>0.08</v>
      </c>
      <c r="I1358">
        <v>3.62</v>
      </c>
      <c r="J1358">
        <v>1.97</v>
      </c>
      <c r="K1358" t="s">
        <v>1974</v>
      </c>
      <c r="L1358">
        <v>52.99</v>
      </c>
      <c r="M1358" t="s">
        <v>7440</v>
      </c>
      <c r="N1358" t="s">
        <v>7742</v>
      </c>
      <c r="O1358" t="s">
        <v>6178</v>
      </c>
      <c r="P1358" t="s">
        <v>7743</v>
      </c>
      <c r="Q1358">
        <v>-17.8</v>
      </c>
      <c r="R1358" t="s">
        <v>3674</v>
      </c>
      <c r="S1358">
        <v>1.37</v>
      </c>
      <c r="T1358">
        <v>29.57</v>
      </c>
      <c r="U1358" t="s">
        <v>1033</v>
      </c>
      <c r="V1358" t="s">
        <v>2156</v>
      </c>
      <c r="W1358" t="s">
        <v>666</v>
      </c>
      <c r="X1358">
        <v>1.97</v>
      </c>
      <c r="Y1358" t="s">
        <v>1695</v>
      </c>
      <c r="Z1358" t="s">
        <v>120</v>
      </c>
      <c r="AA1358" t="s">
        <v>368</v>
      </c>
      <c r="AB1358">
        <v>4.41</v>
      </c>
      <c r="AC1358" t="s">
        <v>1907</v>
      </c>
      <c r="AD1358">
        <v>53.82</v>
      </c>
      <c r="AE1358" t="s">
        <v>682</v>
      </c>
      <c r="AF1358">
        <v>1.1000000000000001</v>
      </c>
      <c r="AG1358">
        <v>0</v>
      </c>
      <c r="AH1358">
        <v>0</v>
      </c>
      <c r="AI1358" s="4">
        <v>42641</v>
      </c>
    </row>
    <row r="1359" spans="1:35">
      <c r="A1359">
        <v>1358</v>
      </c>
      <c r="B1359" t="str">
        <f>"603016"</f>
        <v>603016</v>
      </c>
      <c r="C1359" t="s">
        <v>7744</v>
      </c>
      <c r="D1359" s="4">
        <v>43190</v>
      </c>
      <c r="E1359" t="s">
        <v>2424</v>
      </c>
      <c r="F1359" t="s">
        <v>7745</v>
      </c>
      <c r="G1359">
        <v>3858</v>
      </c>
      <c r="H1359">
        <v>0.09</v>
      </c>
      <c r="I1359">
        <v>5.54</v>
      </c>
      <c r="J1359">
        <v>1.97</v>
      </c>
      <c r="K1359" t="s">
        <v>7746</v>
      </c>
      <c r="L1359">
        <v>18.27</v>
      </c>
      <c r="M1359" t="s">
        <v>3200</v>
      </c>
      <c r="N1359" t="s">
        <v>2190</v>
      </c>
      <c r="O1359" t="s">
        <v>5563</v>
      </c>
      <c r="P1359" t="s">
        <v>7747</v>
      </c>
      <c r="Q1359">
        <v>6.05</v>
      </c>
      <c r="R1359" t="s">
        <v>218</v>
      </c>
      <c r="S1359">
        <v>2.35</v>
      </c>
      <c r="T1359">
        <v>38.64</v>
      </c>
      <c r="U1359" t="s">
        <v>687</v>
      </c>
      <c r="V1359" t="s">
        <v>1903</v>
      </c>
      <c r="W1359" t="s">
        <v>1525</v>
      </c>
      <c r="X1359">
        <v>1.97</v>
      </c>
      <c r="Y1359" t="s">
        <v>7748</v>
      </c>
      <c r="Z1359" t="s">
        <v>7748</v>
      </c>
      <c r="AA1359">
        <v>0</v>
      </c>
      <c r="AB1359">
        <v>3.94</v>
      </c>
      <c r="AC1359" t="s">
        <v>2595</v>
      </c>
      <c r="AD1359">
        <v>88.76</v>
      </c>
      <c r="AE1359" t="s">
        <v>958</v>
      </c>
      <c r="AF1359">
        <v>1.86</v>
      </c>
      <c r="AG1359">
        <v>0</v>
      </c>
      <c r="AH1359">
        <v>0</v>
      </c>
      <c r="AI1359" s="4">
        <v>42552</v>
      </c>
    </row>
    <row r="1360" spans="1:35">
      <c r="A1360">
        <v>1359</v>
      </c>
      <c r="B1360" t="str">
        <f>"600664"</f>
        <v>600664</v>
      </c>
      <c r="C1360" t="s">
        <v>7749</v>
      </c>
      <c r="D1360" s="4">
        <v>43190</v>
      </c>
      <c r="E1360" t="s">
        <v>2542</v>
      </c>
      <c r="F1360" t="s">
        <v>1294</v>
      </c>
      <c r="G1360" t="s">
        <v>7750</v>
      </c>
      <c r="H1360">
        <v>0.06</v>
      </c>
      <c r="I1360">
        <v>2.33</v>
      </c>
      <c r="J1360">
        <v>1.97</v>
      </c>
      <c r="K1360" t="s">
        <v>2941</v>
      </c>
      <c r="L1360">
        <v>-7.38</v>
      </c>
      <c r="M1360" t="s">
        <v>618</v>
      </c>
      <c r="N1360">
        <v>0</v>
      </c>
      <c r="O1360" t="s">
        <v>193</v>
      </c>
      <c r="P1360" t="s">
        <v>1974</v>
      </c>
      <c r="Q1360">
        <v>201.22</v>
      </c>
      <c r="R1360" t="s">
        <v>1313</v>
      </c>
      <c r="S1360">
        <v>0.6</v>
      </c>
      <c r="T1360">
        <v>28.65</v>
      </c>
      <c r="U1360" t="s">
        <v>246</v>
      </c>
      <c r="V1360" t="s">
        <v>5856</v>
      </c>
      <c r="W1360" t="s">
        <v>2093</v>
      </c>
      <c r="X1360">
        <v>1.97</v>
      </c>
      <c r="Y1360" t="s">
        <v>1081</v>
      </c>
      <c r="Z1360" t="s">
        <v>799</v>
      </c>
      <c r="AA1360" t="s">
        <v>2304</v>
      </c>
      <c r="AB1360">
        <v>1.75</v>
      </c>
      <c r="AC1360" t="s">
        <v>2797</v>
      </c>
      <c r="AD1360">
        <v>52.41</v>
      </c>
      <c r="AE1360" t="s">
        <v>6262</v>
      </c>
      <c r="AF1360">
        <v>0.3</v>
      </c>
      <c r="AG1360">
        <v>0</v>
      </c>
      <c r="AH1360">
        <v>0</v>
      </c>
      <c r="AI1360" s="4">
        <v>34149</v>
      </c>
    </row>
    <row r="1361" spans="1:35">
      <c r="A1361">
        <v>1360</v>
      </c>
      <c r="B1361" t="str">
        <f>"600006"</f>
        <v>600006</v>
      </c>
      <c r="C1361" t="s">
        <v>7751</v>
      </c>
      <c r="D1361" s="4">
        <v>43190</v>
      </c>
      <c r="E1361" t="s">
        <v>1000</v>
      </c>
      <c r="F1361" t="s">
        <v>1000</v>
      </c>
      <c r="G1361" t="s">
        <v>1381</v>
      </c>
      <c r="H1361">
        <v>0.06</v>
      </c>
      <c r="I1361">
        <v>3.39</v>
      </c>
      <c r="J1361">
        <v>1.97</v>
      </c>
      <c r="K1361" t="s">
        <v>1516</v>
      </c>
      <c r="L1361">
        <v>-35.92</v>
      </c>
      <c r="M1361" t="s">
        <v>1974</v>
      </c>
      <c r="N1361" t="s">
        <v>71</v>
      </c>
      <c r="O1361" t="s">
        <v>657</v>
      </c>
      <c r="P1361" t="s">
        <v>1038</v>
      </c>
      <c r="Q1361">
        <v>84.17</v>
      </c>
      <c r="R1361" t="s">
        <v>1127</v>
      </c>
      <c r="S1361">
        <v>1.67</v>
      </c>
      <c r="T1361">
        <v>14.72</v>
      </c>
      <c r="U1361" t="s">
        <v>1278</v>
      </c>
      <c r="V1361" t="s">
        <v>2504</v>
      </c>
      <c r="W1361" t="s">
        <v>1062</v>
      </c>
      <c r="X1361">
        <v>1.97</v>
      </c>
      <c r="Y1361" t="s">
        <v>716</v>
      </c>
      <c r="Z1361" t="s">
        <v>7752</v>
      </c>
      <c r="AA1361" t="s">
        <v>4962</v>
      </c>
      <c r="AB1361">
        <v>1.17</v>
      </c>
      <c r="AC1361" t="s">
        <v>3826</v>
      </c>
      <c r="AD1361">
        <v>39.43</v>
      </c>
      <c r="AE1361" t="s">
        <v>1330</v>
      </c>
      <c r="AF1361">
        <v>0.31</v>
      </c>
      <c r="AG1361">
        <v>0</v>
      </c>
      <c r="AH1361">
        <v>0</v>
      </c>
      <c r="AI1361" s="4">
        <v>36368</v>
      </c>
    </row>
    <row r="1362" spans="1:35">
      <c r="A1362">
        <v>1361</v>
      </c>
      <c r="B1362" t="str">
        <f>"002762"</f>
        <v>002762</v>
      </c>
      <c r="C1362" t="s">
        <v>7753</v>
      </c>
      <c r="D1362" s="4">
        <v>43190</v>
      </c>
      <c r="E1362" t="s">
        <v>1383</v>
      </c>
      <c r="F1362" t="s">
        <v>905</v>
      </c>
      <c r="G1362">
        <v>3823</v>
      </c>
      <c r="H1362">
        <v>0.06</v>
      </c>
      <c r="I1362">
        <v>2.67</v>
      </c>
      <c r="J1362">
        <v>1.97</v>
      </c>
      <c r="K1362" t="s">
        <v>7754</v>
      </c>
      <c r="L1362">
        <v>10.92</v>
      </c>
      <c r="M1362" t="s">
        <v>6465</v>
      </c>
      <c r="N1362" t="s">
        <v>7755</v>
      </c>
      <c r="O1362" t="s">
        <v>5051</v>
      </c>
      <c r="P1362" t="s">
        <v>7756</v>
      </c>
      <c r="Q1362">
        <v>22.64</v>
      </c>
      <c r="R1362" t="s">
        <v>806</v>
      </c>
      <c r="S1362">
        <v>1.1000000000000001</v>
      </c>
      <c r="T1362">
        <v>53.28</v>
      </c>
      <c r="U1362" t="s">
        <v>323</v>
      </c>
      <c r="V1362" t="s">
        <v>805</v>
      </c>
      <c r="W1362" t="s">
        <v>920</v>
      </c>
      <c r="X1362">
        <v>1.97</v>
      </c>
      <c r="Y1362" t="s">
        <v>2603</v>
      </c>
      <c r="Z1362" t="s">
        <v>2603</v>
      </c>
      <c r="AA1362">
        <v>0</v>
      </c>
      <c r="AB1362">
        <v>5</v>
      </c>
      <c r="AC1362" t="s">
        <v>6610</v>
      </c>
      <c r="AD1362">
        <v>88.71</v>
      </c>
      <c r="AE1362" t="s">
        <v>559</v>
      </c>
      <c r="AF1362">
        <v>0.47</v>
      </c>
      <c r="AG1362">
        <v>0</v>
      </c>
      <c r="AH1362">
        <v>0</v>
      </c>
      <c r="AI1362" s="4">
        <v>42165</v>
      </c>
    </row>
    <row r="1363" spans="1:35">
      <c r="A1363">
        <v>1362</v>
      </c>
      <c r="B1363" t="str">
        <f>"002033"</f>
        <v>002033</v>
      </c>
      <c r="C1363" t="s">
        <v>7757</v>
      </c>
      <c r="D1363" s="4">
        <v>43190</v>
      </c>
      <c r="E1363" t="s">
        <v>2413</v>
      </c>
      <c r="F1363" t="s">
        <v>2413</v>
      </c>
      <c r="G1363" t="s">
        <v>70</v>
      </c>
      <c r="H1363">
        <v>0.08</v>
      </c>
      <c r="I1363">
        <v>4.16</v>
      </c>
      <c r="J1363">
        <v>1.97</v>
      </c>
      <c r="K1363" t="s">
        <v>372</v>
      </c>
      <c r="L1363">
        <v>-4.76</v>
      </c>
      <c r="M1363" t="s">
        <v>7758</v>
      </c>
      <c r="N1363" t="s">
        <v>7268</v>
      </c>
      <c r="O1363" t="s">
        <v>7759</v>
      </c>
      <c r="P1363" t="s">
        <v>7760</v>
      </c>
      <c r="Q1363">
        <v>-1.62</v>
      </c>
      <c r="R1363" t="s">
        <v>1223</v>
      </c>
      <c r="S1363">
        <v>1.83</v>
      </c>
      <c r="T1363">
        <v>70.64</v>
      </c>
      <c r="U1363" t="s">
        <v>1386</v>
      </c>
      <c r="V1363" t="s">
        <v>350</v>
      </c>
      <c r="W1363" t="s">
        <v>1644</v>
      </c>
      <c r="X1363">
        <v>1.97</v>
      </c>
      <c r="Y1363" t="s">
        <v>415</v>
      </c>
      <c r="Z1363" t="s">
        <v>975</v>
      </c>
      <c r="AA1363" t="s">
        <v>5298</v>
      </c>
      <c r="AB1363">
        <v>1.73</v>
      </c>
      <c r="AC1363" t="s">
        <v>2273</v>
      </c>
      <c r="AD1363">
        <v>87.63</v>
      </c>
      <c r="AE1363" t="s">
        <v>695</v>
      </c>
      <c r="AF1363">
        <v>1.02</v>
      </c>
      <c r="AG1363">
        <v>0</v>
      </c>
      <c r="AH1363">
        <v>0</v>
      </c>
      <c r="AI1363" s="4">
        <v>38224</v>
      </c>
    </row>
    <row r="1364" spans="1:35">
      <c r="A1364">
        <v>1363</v>
      </c>
      <c r="B1364" t="str">
        <f>"601098"</f>
        <v>601098</v>
      </c>
      <c r="C1364" t="s">
        <v>7761</v>
      </c>
      <c r="D1364" s="4">
        <v>43190</v>
      </c>
      <c r="E1364" t="s">
        <v>757</v>
      </c>
      <c r="F1364" t="s">
        <v>757</v>
      </c>
      <c r="G1364" t="s">
        <v>7762</v>
      </c>
      <c r="H1364">
        <v>0.15</v>
      </c>
      <c r="I1364">
        <v>7.56</v>
      </c>
      <c r="J1364">
        <v>1.96</v>
      </c>
      <c r="K1364" t="s">
        <v>76</v>
      </c>
      <c r="L1364">
        <v>-23.31</v>
      </c>
      <c r="M1364" t="s">
        <v>36</v>
      </c>
      <c r="N1364" t="s">
        <v>4346</v>
      </c>
      <c r="O1364" t="s">
        <v>205</v>
      </c>
      <c r="P1364" t="s">
        <v>2387</v>
      </c>
      <c r="Q1364">
        <v>-25.32</v>
      </c>
      <c r="R1364" t="s">
        <v>2180</v>
      </c>
      <c r="S1364">
        <v>3.6</v>
      </c>
      <c r="T1364">
        <v>46.05</v>
      </c>
      <c r="U1364" t="s">
        <v>761</v>
      </c>
      <c r="V1364" t="s">
        <v>2050</v>
      </c>
      <c r="W1364" t="s">
        <v>924</v>
      </c>
      <c r="X1364">
        <v>1.96</v>
      </c>
      <c r="Y1364" t="s">
        <v>3159</v>
      </c>
      <c r="Z1364" t="s">
        <v>1858</v>
      </c>
      <c r="AA1364" t="s">
        <v>372</v>
      </c>
      <c r="AB1364">
        <v>1.69</v>
      </c>
      <c r="AC1364" t="s">
        <v>413</v>
      </c>
      <c r="AD1364">
        <v>69.25</v>
      </c>
      <c r="AE1364" t="s">
        <v>738</v>
      </c>
      <c r="AF1364">
        <v>2.46</v>
      </c>
      <c r="AG1364">
        <v>0</v>
      </c>
      <c r="AH1364">
        <v>0</v>
      </c>
      <c r="AI1364" s="4">
        <v>40479</v>
      </c>
    </row>
    <row r="1365" spans="1:35">
      <c r="A1365">
        <v>1364</v>
      </c>
      <c r="B1365" t="str">
        <f>"300746"</f>
        <v>300746</v>
      </c>
      <c r="C1365" t="s">
        <v>7763</v>
      </c>
      <c r="D1365" s="4">
        <v>43190</v>
      </c>
      <c r="E1365" t="s">
        <v>118</v>
      </c>
      <c r="F1365" t="s">
        <v>7764</v>
      </c>
      <c r="G1365">
        <v>0</v>
      </c>
      <c r="H1365">
        <v>0.06</v>
      </c>
      <c r="I1365">
        <v>4.03</v>
      </c>
      <c r="J1365">
        <v>1.96</v>
      </c>
      <c r="K1365" t="s">
        <v>1366</v>
      </c>
      <c r="L1365">
        <v>70.989999999999995</v>
      </c>
      <c r="M1365" t="s">
        <v>7765</v>
      </c>
      <c r="N1365" t="s">
        <v>992</v>
      </c>
      <c r="O1365" t="s">
        <v>7766</v>
      </c>
      <c r="P1365" t="s">
        <v>7767</v>
      </c>
      <c r="Q1365">
        <v>60.82</v>
      </c>
      <c r="R1365" t="s">
        <v>205</v>
      </c>
      <c r="S1365">
        <v>1.4</v>
      </c>
      <c r="T1365">
        <v>18.7</v>
      </c>
      <c r="U1365" t="s">
        <v>1173</v>
      </c>
      <c r="V1365" t="s">
        <v>661</v>
      </c>
      <c r="W1365" t="s">
        <v>1689</v>
      </c>
      <c r="X1365">
        <v>1.96</v>
      </c>
      <c r="Y1365" t="s">
        <v>262</v>
      </c>
      <c r="Z1365" t="s">
        <v>1004</v>
      </c>
      <c r="AA1365" t="s">
        <v>2724</v>
      </c>
      <c r="AB1365">
        <v>8.98</v>
      </c>
      <c r="AC1365" t="s">
        <v>4279</v>
      </c>
      <c r="AD1365">
        <v>72.11</v>
      </c>
      <c r="AE1365" t="s">
        <v>1459</v>
      </c>
      <c r="AF1365">
        <v>1.39</v>
      </c>
      <c r="AG1365">
        <v>0</v>
      </c>
      <c r="AH1365">
        <v>0</v>
      </c>
      <c r="AI1365" s="4">
        <v>43245</v>
      </c>
    </row>
    <row r="1366" spans="1:35">
      <c r="A1366">
        <v>1365</v>
      </c>
      <c r="B1366" t="str">
        <f>"300633"</f>
        <v>300633</v>
      </c>
      <c r="C1366" t="s">
        <v>7768</v>
      </c>
      <c r="D1366" s="4">
        <v>43190</v>
      </c>
      <c r="E1366" t="s">
        <v>150</v>
      </c>
      <c r="F1366" t="s">
        <v>209</v>
      </c>
      <c r="G1366">
        <v>4523</v>
      </c>
      <c r="H1366">
        <v>0.05</v>
      </c>
      <c r="I1366">
        <v>2.64</v>
      </c>
      <c r="J1366">
        <v>1.96</v>
      </c>
      <c r="K1366" t="s">
        <v>4614</v>
      </c>
      <c r="L1366">
        <v>44.44</v>
      </c>
      <c r="M1366" t="s">
        <v>7769</v>
      </c>
      <c r="N1366" t="s">
        <v>7770</v>
      </c>
      <c r="O1366" t="s">
        <v>7769</v>
      </c>
      <c r="P1366" t="s">
        <v>7756</v>
      </c>
      <c r="Q1366">
        <v>107.92</v>
      </c>
      <c r="R1366" t="s">
        <v>48</v>
      </c>
      <c r="S1366">
        <v>0.97</v>
      </c>
      <c r="T1366">
        <v>71.760000000000005</v>
      </c>
      <c r="U1366" t="s">
        <v>1307</v>
      </c>
      <c r="V1366" t="s">
        <v>521</v>
      </c>
      <c r="W1366" t="s">
        <v>7771</v>
      </c>
      <c r="X1366">
        <v>1.96</v>
      </c>
      <c r="Y1366" t="s">
        <v>531</v>
      </c>
      <c r="Z1366" t="s">
        <v>698</v>
      </c>
      <c r="AA1366" t="s">
        <v>7772</v>
      </c>
      <c r="AB1366">
        <v>12.25</v>
      </c>
      <c r="AC1366" t="s">
        <v>295</v>
      </c>
      <c r="AD1366">
        <v>81.62</v>
      </c>
      <c r="AE1366" t="s">
        <v>1011</v>
      </c>
      <c r="AF1366">
        <v>0.53</v>
      </c>
      <c r="AG1366">
        <v>0</v>
      </c>
      <c r="AH1366">
        <v>0</v>
      </c>
      <c r="AI1366" s="4">
        <v>42831</v>
      </c>
    </row>
    <row r="1367" spans="1:35">
      <c r="A1367">
        <v>1366</v>
      </c>
      <c r="B1367" t="str">
        <f>"002903"</f>
        <v>002903</v>
      </c>
      <c r="C1367" t="s">
        <v>7773</v>
      </c>
      <c r="D1367" s="4">
        <v>43190</v>
      </c>
      <c r="E1367" t="s">
        <v>609</v>
      </c>
      <c r="F1367" t="s">
        <v>5405</v>
      </c>
      <c r="G1367">
        <v>1171</v>
      </c>
      <c r="H1367">
        <v>0.08</v>
      </c>
      <c r="I1367">
        <v>3.97</v>
      </c>
      <c r="J1367">
        <v>1.96</v>
      </c>
      <c r="K1367" t="s">
        <v>7774</v>
      </c>
      <c r="L1367">
        <v>35.92</v>
      </c>
      <c r="M1367" t="s">
        <v>7775</v>
      </c>
      <c r="N1367" t="s">
        <v>2520</v>
      </c>
      <c r="O1367" t="s">
        <v>7042</v>
      </c>
      <c r="P1367" t="s">
        <v>6697</v>
      </c>
      <c r="Q1367">
        <v>8.5299999999999994</v>
      </c>
      <c r="R1367" t="s">
        <v>95</v>
      </c>
      <c r="S1367">
        <v>1.08</v>
      </c>
      <c r="T1367">
        <v>42.12</v>
      </c>
      <c r="U1367" t="s">
        <v>130</v>
      </c>
      <c r="V1367" t="s">
        <v>563</v>
      </c>
      <c r="W1367" t="s">
        <v>7776</v>
      </c>
      <c r="X1367">
        <v>1.96</v>
      </c>
      <c r="Y1367" t="s">
        <v>326</v>
      </c>
      <c r="Z1367" t="s">
        <v>2306</v>
      </c>
      <c r="AA1367" t="s">
        <v>7777</v>
      </c>
      <c r="AB1367">
        <v>8.99</v>
      </c>
      <c r="AC1367" t="s">
        <v>2517</v>
      </c>
      <c r="AD1367">
        <v>79.540000000000006</v>
      </c>
      <c r="AE1367" t="s">
        <v>205</v>
      </c>
      <c r="AF1367">
        <v>1.63</v>
      </c>
      <c r="AG1367">
        <v>0</v>
      </c>
      <c r="AH1367">
        <v>0</v>
      </c>
      <c r="AI1367" s="4">
        <v>43021</v>
      </c>
    </row>
    <row r="1368" spans="1:35">
      <c r="A1368">
        <v>1367</v>
      </c>
      <c r="B1368" t="str">
        <f>"002690"</f>
        <v>002690</v>
      </c>
      <c r="C1368" t="s">
        <v>7778</v>
      </c>
      <c r="D1368" s="4">
        <v>43190</v>
      </c>
      <c r="E1368" t="s">
        <v>1671</v>
      </c>
      <c r="F1368" t="s">
        <v>1400</v>
      </c>
      <c r="G1368" t="s">
        <v>2323</v>
      </c>
      <c r="H1368">
        <v>0.06</v>
      </c>
      <c r="I1368">
        <v>2.81</v>
      </c>
      <c r="J1368">
        <v>1.96</v>
      </c>
      <c r="K1368" t="s">
        <v>863</v>
      </c>
      <c r="L1368">
        <v>0.43</v>
      </c>
      <c r="M1368" t="s">
        <v>7779</v>
      </c>
      <c r="N1368" t="s">
        <v>7780</v>
      </c>
      <c r="O1368" t="s">
        <v>7779</v>
      </c>
      <c r="P1368" t="s">
        <v>7781</v>
      </c>
      <c r="Q1368">
        <v>5.63</v>
      </c>
      <c r="R1368" t="s">
        <v>782</v>
      </c>
      <c r="S1368">
        <v>0.71</v>
      </c>
      <c r="T1368">
        <v>52.03</v>
      </c>
      <c r="U1368" t="s">
        <v>1943</v>
      </c>
      <c r="V1368" t="s">
        <v>1390</v>
      </c>
      <c r="W1368" t="s">
        <v>696</v>
      </c>
      <c r="X1368">
        <v>1.96</v>
      </c>
      <c r="Y1368" t="s">
        <v>486</v>
      </c>
      <c r="Z1368" t="s">
        <v>986</v>
      </c>
      <c r="AA1368" t="s">
        <v>7782</v>
      </c>
      <c r="AB1368">
        <v>7.55</v>
      </c>
      <c r="AC1368" t="s">
        <v>243</v>
      </c>
      <c r="AD1368">
        <v>88.58</v>
      </c>
      <c r="AE1368" t="s">
        <v>2915</v>
      </c>
      <c r="AF1368">
        <v>0.59</v>
      </c>
      <c r="AG1368">
        <v>0</v>
      </c>
      <c r="AH1368">
        <v>0</v>
      </c>
      <c r="AI1368" s="4">
        <v>41121</v>
      </c>
    </row>
    <row r="1369" spans="1:35">
      <c r="A1369">
        <v>1368</v>
      </c>
      <c r="B1369" t="str">
        <f>"600655"</f>
        <v>600655</v>
      </c>
      <c r="C1369" t="s">
        <v>7783</v>
      </c>
      <c r="D1369" s="4">
        <v>43190</v>
      </c>
      <c r="E1369" t="s">
        <v>161</v>
      </c>
      <c r="F1369" t="s">
        <v>161</v>
      </c>
      <c r="G1369" t="s">
        <v>1440</v>
      </c>
      <c r="H1369">
        <v>0.15</v>
      </c>
      <c r="I1369">
        <v>7.65</v>
      </c>
      <c r="J1369">
        <v>1.95</v>
      </c>
      <c r="K1369" t="s">
        <v>110</v>
      </c>
      <c r="L1369">
        <v>3</v>
      </c>
      <c r="M1369" t="s">
        <v>1732</v>
      </c>
      <c r="N1369" t="s">
        <v>7784</v>
      </c>
      <c r="O1369" t="s">
        <v>2132</v>
      </c>
      <c r="P1369" t="s">
        <v>696</v>
      </c>
      <c r="Q1369">
        <v>11.09</v>
      </c>
      <c r="R1369" t="s">
        <v>1592</v>
      </c>
      <c r="S1369">
        <v>4.46</v>
      </c>
      <c r="T1369">
        <v>15.43</v>
      </c>
      <c r="U1369" t="s">
        <v>7509</v>
      </c>
      <c r="V1369" t="s">
        <v>7584</v>
      </c>
      <c r="W1369" t="s">
        <v>308</v>
      </c>
      <c r="X1369">
        <v>1.95</v>
      </c>
      <c r="Y1369" t="s">
        <v>1741</v>
      </c>
      <c r="Z1369" t="s">
        <v>1189</v>
      </c>
      <c r="AA1369" t="s">
        <v>1143</v>
      </c>
      <c r="AB1369">
        <v>1.2</v>
      </c>
      <c r="AC1369" t="s">
        <v>3449</v>
      </c>
      <c r="AD1369">
        <v>42.48</v>
      </c>
      <c r="AE1369" t="s">
        <v>392</v>
      </c>
      <c r="AF1369">
        <v>0.68</v>
      </c>
      <c r="AG1369">
        <v>0</v>
      </c>
      <c r="AH1369">
        <v>0</v>
      </c>
      <c r="AI1369" s="4">
        <v>33849</v>
      </c>
    </row>
    <row r="1370" spans="1:35">
      <c r="A1370">
        <v>1369</v>
      </c>
      <c r="B1370" t="str">
        <f>"600713"</f>
        <v>600713</v>
      </c>
      <c r="C1370" t="s">
        <v>7785</v>
      </c>
      <c r="D1370" s="4">
        <v>43190</v>
      </c>
      <c r="E1370" t="s">
        <v>919</v>
      </c>
      <c r="F1370" t="s">
        <v>6545</v>
      </c>
      <c r="G1370" t="s">
        <v>5706</v>
      </c>
      <c r="H1370">
        <v>0.06</v>
      </c>
      <c r="I1370">
        <v>3.52</v>
      </c>
      <c r="J1370">
        <v>1.95</v>
      </c>
      <c r="K1370" t="s">
        <v>3473</v>
      </c>
      <c r="L1370">
        <v>12.64</v>
      </c>
      <c r="M1370" t="s">
        <v>355</v>
      </c>
      <c r="N1370" t="s">
        <v>7786</v>
      </c>
      <c r="O1370" t="s">
        <v>804</v>
      </c>
      <c r="P1370" t="s">
        <v>7787</v>
      </c>
      <c r="Q1370">
        <v>10.64</v>
      </c>
      <c r="R1370" t="s">
        <v>1444</v>
      </c>
      <c r="S1370">
        <v>0.53</v>
      </c>
      <c r="T1370">
        <v>6.35</v>
      </c>
      <c r="U1370" t="s">
        <v>1550</v>
      </c>
      <c r="V1370" t="s">
        <v>2634</v>
      </c>
      <c r="W1370" t="s">
        <v>1651</v>
      </c>
      <c r="X1370">
        <v>1.95</v>
      </c>
      <c r="Y1370" t="s">
        <v>229</v>
      </c>
      <c r="Z1370" t="s">
        <v>413</v>
      </c>
      <c r="AA1370" t="s">
        <v>985</v>
      </c>
      <c r="AB1370">
        <v>1.34</v>
      </c>
      <c r="AC1370" t="s">
        <v>2136</v>
      </c>
      <c r="AD1370">
        <v>20.83</v>
      </c>
      <c r="AE1370" t="s">
        <v>183</v>
      </c>
      <c r="AF1370">
        <v>1.82</v>
      </c>
      <c r="AG1370">
        <v>0</v>
      </c>
      <c r="AH1370">
        <v>0</v>
      </c>
      <c r="AI1370" s="4">
        <v>35247</v>
      </c>
    </row>
    <row r="1371" spans="1:35">
      <c r="A1371">
        <v>1370</v>
      </c>
      <c r="B1371" t="str">
        <f>"603979"</f>
        <v>603979</v>
      </c>
      <c r="C1371" t="s">
        <v>7788</v>
      </c>
      <c r="D1371" s="4">
        <v>43190</v>
      </c>
      <c r="E1371" t="s">
        <v>6809</v>
      </c>
      <c r="F1371" t="s">
        <v>3674</v>
      </c>
      <c r="G1371">
        <v>7603</v>
      </c>
      <c r="H1371">
        <v>0.13</v>
      </c>
      <c r="I1371">
        <v>6.56</v>
      </c>
      <c r="J1371">
        <v>1.95</v>
      </c>
      <c r="K1371" t="s">
        <v>852</v>
      </c>
      <c r="L1371">
        <v>21.04</v>
      </c>
      <c r="M1371" t="s">
        <v>7789</v>
      </c>
      <c r="N1371">
        <v>0</v>
      </c>
      <c r="O1371" t="s">
        <v>7790</v>
      </c>
      <c r="P1371" t="s">
        <v>7791</v>
      </c>
      <c r="Q1371">
        <v>42.78</v>
      </c>
      <c r="R1371" t="s">
        <v>391</v>
      </c>
      <c r="S1371">
        <v>2.5499999999999998</v>
      </c>
      <c r="T1371">
        <v>28.99</v>
      </c>
      <c r="U1371" t="s">
        <v>2272</v>
      </c>
      <c r="V1371" t="s">
        <v>1291</v>
      </c>
      <c r="W1371" t="s">
        <v>1496</v>
      </c>
      <c r="X1371">
        <v>1.95</v>
      </c>
      <c r="Y1371" t="s">
        <v>757</v>
      </c>
      <c r="Z1371" t="s">
        <v>162</v>
      </c>
      <c r="AA1371" t="s">
        <v>2751</v>
      </c>
      <c r="AB1371">
        <v>1.32</v>
      </c>
      <c r="AC1371" t="s">
        <v>948</v>
      </c>
      <c r="AD1371">
        <v>68.05</v>
      </c>
      <c r="AE1371" t="s">
        <v>50</v>
      </c>
      <c r="AF1371">
        <v>2.74</v>
      </c>
      <c r="AG1371">
        <v>0</v>
      </c>
      <c r="AH1371">
        <v>0</v>
      </c>
      <c r="AI1371" s="4">
        <v>42185</v>
      </c>
    </row>
    <row r="1372" spans="1:35">
      <c r="A1372">
        <v>1371</v>
      </c>
      <c r="B1372" t="str">
        <f>"300656"</f>
        <v>300656</v>
      </c>
      <c r="C1372" t="s">
        <v>7792</v>
      </c>
      <c r="D1372" s="4">
        <v>43190</v>
      </c>
      <c r="E1372" t="s">
        <v>374</v>
      </c>
      <c r="F1372" t="s">
        <v>7793</v>
      </c>
      <c r="G1372">
        <v>2481</v>
      </c>
      <c r="H1372">
        <v>0.09</v>
      </c>
      <c r="I1372">
        <v>4.6399999999999997</v>
      </c>
      <c r="J1372">
        <v>1.95</v>
      </c>
      <c r="K1372" t="s">
        <v>7794</v>
      </c>
      <c r="L1372">
        <v>10</v>
      </c>
      <c r="M1372" t="s">
        <v>5859</v>
      </c>
      <c r="N1372" t="s">
        <v>2473</v>
      </c>
      <c r="O1372" t="s">
        <v>4954</v>
      </c>
      <c r="P1372" t="s">
        <v>7623</v>
      </c>
      <c r="Q1372">
        <v>9.3000000000000007</v>
      </c>
      <c r="R1372" t="s">
        <v>209</v>
      </c>
      <c r="S1372">
        <v>1.22</v>
      </c>
      <c r="T1372">
        <v>47.45</v>
      </c>
      <c r="U1372" t="s">
        <v>3067</v>
      </c>
      <c r="V1372" t="s">
        <v>1827</v>
      </c>
      <c r="W1372" t="s">
        <v>7795</v>
      </c>
      <c r="X1372">
        <v>1.95</v>
      </c>
      <c r="Y1372" t="s">
        <v>7796</v>
      </c>
      <c r="Z1372" t="s">
        <v>7797</v>
      </c>
      <c r="AA1372" t="s">
        <v>2473</v>
      </c>
      <c r="AB1372">
        <v>5.29</v>
      </c>
      <c r="AC1372" t="s">
        <v>1706</v>
      </c>
      <c r="AD1372">
        <v>94.54</v>
      </c>
      <c r="AE1372" t="s">
        <v>986</v>
      </c>
      <c r="AF1372">
        <v>2.2000000000000002</v>
      </c>
      <c r="AG1372">
        <v>0</v>
      </c>
      <c r="AH1372">
        <v>0</v>
      </c>
      <c r="AI1372" s="4">
        <v>42874</v>
      </c>
    </row>
    <row r="1373" spans="1:35">
      <c r="A1373">
        <v>1372</v>
      </c>
      <c r="B1373" t="str">
        <f>"300538"</f>
        <v>300538</v>
      </c>
      <c r="C1373" t="s">
        <v>7798</v>
      </c>
      <c r="D1373" s="4">
        <v>43190</v>
      </c>
      <c r="E1373" t="s">
        <v>7799</v>
      </c>
      <c r="F1373" t="s">
        <v>7800</v>
      </c>
      <c r="G1373">
        <v>2203</v>
      </c>
      <c r="H1373">
        <v>0.09</v>
      </c>
      <c r="I1373">
        <v>4.7300000000000004</v>
      </c>
      <c r="J1373">
        <v>1.95</v>
      </c>
      <c r="K1373" t="s">
        <v>2102</v>
      </c>
      <c r="L1373">
        <v>32.51</v>
      </c>
      <c r="M1373" t="s">
        <v>7801</v>
      </c>
      <c r="N1373" t="s">
        <v>7802</v>
      </c>
      <c r="O1373" t="s">
        <v>5331</v>
      </c>
      <c r="P1373" t="s">
        <v>7803</v>
      </c>
      <c r="Q1373">
        <v>42.11</v>
      </c>
      <c r="R1373" t="s">
        <v>993</v>
      </c>
      <c r="S1373">
        <v>1.55</v>
      </c>
      <c r="T1373">
        <v>10.78</v>
      </c>
      <c r="U1373" t="s">
        <v>1874</v>
      </c>
      <c r="V1373" t="s">
        <v>2647</v>
      </c>
      <c r="W1373" t="s">
        <v>7804</v>
      </c>
      <c r="X1373">
        <v>1.95</v>
      </c>
      <c r="Y1373" t="s">
        <v>292</v>
      </c>
      <c r="Z1373" t="s">
        <v>292</v>
      </c>
      <c r="AA1373">
        <v>0</v>
      </c>
      <c r="AB1373">
        <v>5.3</v>
      </c>
      <c r="AC1373" t="s">
        <v>338</v>
      </c>
      <c r="AD1373">
        <v>66.540000000000006</v>
      </c>
      <c r="AE1373" t="s">
        <v>682</v>
      </c>
      <c r="AF1373">
        <v>2.29</v>
      </c>
      <c r="AG1373">
        <v>0</v>
      </c>
      <c r="AH1373">
        <v>0</v>
      </c>
      <c r="AI1373" s="4">
        <v>42608</v>
      </c>
    </row>
    <row r="1374" spans="1:35">
      <c r="A1374">
        <v>1373</v>
      </c>
      <c r="B1374" t="str">
        <f>"300509"</f>
        <v>300509</v>
      </c>
      <c r="C1374" t="s">
        <v>7805</v>
      </c>
      <c r="D1374" s="4">
        <v>43190</v>
      </c>
      <c r="E1374" t="s">
        <v>1936</v>
      </c>
      <c r="F1374" t="s">
        <v>7806</v>
      </c>
      <c r="G1374">
        <v>2159</v>
      </c>
      <c r="H1374">
        <v>0.08</v>
      </c>
      <c r="I1374">
        <v>3.72</v>
      </c>
      <c r="J1374">
        <v>1.95</v>
      </c>
      <c r="K1374" t="s">
        <v>677</v>
      </c>
      <c r="L1374">
        <v>9.92</v>
      </c>
      <c r="M1374" t="s">
        <v>3026</v>
      </c>
      <c r="N1374">
        <v>0</v>
      </c>
      <c r="O1374" t="s">
        <v>1632</v>
      </c>
      <c r="P1374" t="s">
        <v>7807</v>
      </c>
      <c r="Q1374">
        <v>-0.15</v>
      </c>
      <c r="R1374" t="s">
        <v>293</v>
      </c>
      <c r="S1374">
        <v>1</v>
      </c>
      <c r="T1374">
        <v>33.200000000000003</v>
      </c>
      <c r="U1374" t="s">
        <v>1082</v>
      </c>
      <c r="V1374" t="s">
        <v>7808</v>
      </c>
      <c r="W1374" t="s">
        <v>7809</v>
      </c>
      <c r="X1374">
        <v>1.95</v>
      </c>
      <c r="Y1374" t="s">
        <v>504</v>
      </c>
      <c r="Z1374" t="s">
        <v>1491</v>
      </c>
      <c r="AA1374" t="s">
        <v>7810</v>
      </c>
      <c r="AB1374">
        <v>3.03</v>
      </c>
      <c r="AC1374" t="s">
        <v>1241</v>
      </c>
      <c r="AD1374">
        <v>48.4</v>
      </c>
      <c r="AE1374" t="s">
        <v>1152</v>
      </c>
      <c r="AF1374">
        <v>1.54</v>
      </c>
      <c r="AG1374">
        <v>0</v>
      </c>
      <c r="AH1374">
        <v>0</v>
      </c>
      <c r="AI1374" s="4">
        <v>42485</v>
      </c>
    </row>
    <row r="1375" spans="1:35">
      <c r="A1375">
        <v>1374</v>
      </c>
      <c r="B1375" t="str">
        <f>"300340"</f>
        <v>300340</v>
      </c>
      <c r="C1375" t="s">
        <v>7811</v>
      </c>
      <c r="D1375" s="4">
        <v>43190</v>
      </c>
      <c r="E1375" t="s">
        <v>1626</v>
      </c>
      <c r="F1375" t="s">
        <v>7812</v>
      </c>
      <c r="G1375">
        <v>3930</v>
      </c>
      <c r="H1375">
        <v>0.24</v>
      </c>
      <c r="I1375">
        <v>12.57</v>
      </c>
      <c r="J1375">
        <v>1.95</v>
      </c>
      <c r="K1375" t="s">
        <v>1874</v>
      </c>
      <c r="L1375">
        <v>87.18</v>
      </c>
      <c r="M1375" t="s">
        <v>3186</v>
      </c>
      <c r="N1375" t="s">
        <v>7813</v>
      </c>
      <c r="O1375" t="s">
        <v>7814</v>
      </c>
      <c r="P1375" t="s">
        <v>670</v>
      </c>
      <c r="Q1375">
        <v>37.24</v>
      </c>
      <c r="R1375" t="s">
        <v>52</v>
      </c>
      <c r="S1375">
        <v>2.85</v>
      </c>
      <c r="T1375">
        <v>14.62</v>
      </c>
      <c r="U1375" t="s">
        <v>1486</v>
      </c>
      <c r="V1375" t="s">
        <v>2542</v>
      </c>
      <c r="W1375" t="s">
        <v>234</v>
      </c>
      <c r="X1375">
        <v>1.95</v>
      </c>
      <c r="Y1375" t="s">
        <v>578</v>
      </c>
      <c r="Z1375" t="s">
        <v>576</v>
      </c>
      <c r="AA1375" t="s">
        <v>382</v>
      </c>
      <c r="AB1375">
        <v>2.86</v>
      </c>
      <c r="AC1375" t="s">
        <v>141</v>
      </c>
      <c r="AD1375">
        <v>39.53</v>
      </c>
      <c r="AE1375" t="s">
        <v>2767</v>
      </c>
      <c r="AF1375">
        <v>8.16</v>
      </c>
      <c r="AG1375">
        <v>0</v>
      </c>
      <c r="AH1375">
        <v>0</v>
      </c>
      <c r="AI1375" s="4">
        <v>41116</v>
      </c>
    </row>
    <row r="1376" spans="1:35">
      <c r="A1376">
        <v>1375</v>
      </c>
      <c r="B1376" t="str">
        <f>"300119"</f>
        <v>300119</v>
      </c>
      <c r="C1376" t="s">
        <v>7815</v>
      </c>
      <c r="D1376" s="4">
        <v>43190</v>
      </c>
      <c r="E1376" t="s">
        <v>78</v>
      </c>
      <c r="F1376" t="s">
        <v>844</v>
      </c>
      <c r="G1376" t="s">
        <v>6699</v>
      </c>
      <c r="H1376">
        <v>0.1</v>
      </c>
      <c r="I1376">
        <v>4.7699999999999996</v>
      </c>
      <c r="J1376">
        <v>1.95</v>
      </c>
      <c r="K1376" t="s">
        <v>205</v>
      </c>
      <c r="L1376">
        <v>28.38</v>
      </c>
      <c r="M1376" t="s">
        <v>7816</v>
      </c>
      <c r="N1376" t="s">
        <v>5979</v>
      </c>
      <c r="O1376" t="s">
        <v>6636</v>
      </c>
      <c r="P1376" t="s">
        <v>7817</v>
      </c>
      <c r="Q1376">
        <v>22.19</v>
      </c>
      <c r="R1376" t="s">
        <v>2398</v>
      </c>
      <c r="S1376">
        <v>1.25</v>
      </c>
      <c r="T1376">
        <v>47.53</v>
      </c>
      <c r="U1376" t="s">
        <v>1158</v>
      </c>
      <c r="V1376" t="s">
        <v>840</v>
      </c>
      <c r="W1376" t="s">
        <v>6799</v>
      </c>
      <c r="X1376">
        <v>1.95</v>
      </c>
      <c r="Y1376" t="s">
        <v>1394</v>
      </c>
      <c r="Z1376" t="s">
        <v>1874</v>
      </c>
      <c r="AA1376" t="s">
        <v>7818</v>
      </c>
      <c r="AB1376">
        <v>1.8</v>
      </c>
      <c r="AC1376" t="s">
        <v>119</v>
      </c>
      <c r="AD1376">
        <v>68.180000000000007</v>
      </c>
      <c r="AE1376" t="s">
        <v>4224</v>
      </c>
      <c r="AF1376">
        <v>2.34</v>
      </c>
      <c r="AG1376">
        <v>0</v>
      </c>
      <c r="AH1376">
        <v>0</v>
      </c>
      <c r="AI1376" s="4">
        <v>40438</v>
      </c>
    </row>
    <row r="1377" spans="1:35">
      <c r="A1377">
        <v>1376</v>
      </c>
      <c r="B1377" t="str">
        <f>"002631"</f>
        <v>002631</v>
      </c>
      <c r="C1377" t="s">
        <v>7819</v>
      </c>
      <c r="D1377" s="4">
        <v>43190</v>
      </c>
      <c r="E1377" t="s">
        <v>1044</v>
      </c>
      <c r="F1377" t="s">
        <v>359</v>
      </c>
      <c r="G1377" t="s">
        <v>268</v>
      </c>
      <c r="H1377">
        <v>0.05</v>
      </c>
      <c r="I1377">
        <v>2.4</v>
      </c>
      <c r="J1377">
        <v>1.95</v>
      </c>
      <c r="K1377" t="s">
        <v>679</v>
      </c>
      <c r="L1377">
        <v>12.48</v>
      </c>
      <c r="M1377" t="s">
        <v>7820</v>
      </c>
      <c r="N1377" t="s">
        <v>7821</v>
      </c>
      <c r="O1377" t="s">
        <v>5370</v>
      </c>
      <c r="P1377" t="s">
        <v>7822</v>
      </c>
      <c r="Q1377">
        <v>-33.159999999999997</v>
      </c>
      <c r="R1377" t="s">
        <v>1867</v>
      </c>
      <c r="S1377">
        <v>1.0900000000000001</v>
      </c>
      <c r="T1377">
        <v>31.33</v>
      </c>
      <c r="U1377" t="s">
        <v>2568</v>
      </c>
      <c r="V1377" t="s">
        <v>350</v>
      </c>
      <c r="W1377" t="s">
        <v>2625</v>
      </c>
      <c r="X1377">
        <v>1.95</v>
      </c>
      <c r="Y1377" t="s">
        <v>1212</v>
      </c>
      <c r="Z1377" t="s">
        <v>1799</v>
      </c>
      <c r="AA1377" t="s">
        <v>5288</v>
      </c>
      <c r="AB1377">
        <v>3</v>
      </c>
      <c r="AC1377" t="s">
        <v>1367</v>
      </c>
      <c r="AD1377">
        <v>71.88</v>
      </c>
      <c r="AE1377" t="s">
        <v>1365</v>
      </c>
      <c r="AF1377">
        <v>0.19</v>
      </c>
      <c r="AG1377">
        <v>0</v>
      </c>
      <c r="AH1377">
        <v>0</v>
      </c>
      <c r="AI1377" s="4">
        <v>40858</v>
      </c>
    </row>
    <row r="1378" spans="1:35">
      <c r="A1378">
        <v>1377</v>
      </c>
      <c r="B1378" t="str">
        <f>"002360"</f>
        <v>002360</v>
      </c>
      <c r="C1378" t="s">
        <v>7823</v>
      </c>
      <c r="D1378" s="4">
        <v>43190</v>
      </c>
      <c r="E1378" t="s">
        <v>2590</v>
      </c>
      <c r="F1378" t="s">
        <v>1810</v>
      </c>
      <c r="G1378" t="s">
        <v>5347</v>
      </c>
      <c r="H1378">
        <v>0.05</v>
      </c>
      <c r="I1378">
        <v>2.56</v>
      </c>
      <c r="J1378">
        <v>1.95</v>
      </c>
      <c r="K1378" t="s">
        <v>1724</v>
      </c>
      <c r="L1378">
        <v>13.67</v>
      </c>
      <c r="M1378" t="s">
        <v>7824</v>
      </c>
      <c r="N1378">
        <v>0</v>
      </c>
      <c r="O1378" t="s">
        <v>7825</v>
      </c>
      <c r="P1378" t="s">
        <v>7429</v>
      </c>
      <c r="Q1378">
        <v>87.7</v>
      </c>
      <c r="R1378" t="s">
        <v>318</v>
      </c>
      <c r="S1378">
        <v>1.24</v>
      </c>
      <c r="T1378">
        <v>45.44</v>
      </c>
      <c r="U1378" t="s">
        <v>80</v>
      </c>
      <c r="V1378" t="s">
        <v>675</v>
      </c>
      <c r="W1378" t="s">
        <v>138</v>
      </c>
      <c r="X1378">
        <v>1.95</v>
      </c>
      <c r="Y1378" t="s">
        <v>1028</v>
      </c>
      <c r="Z1378" t="s">
        <v>188</v>
      </c>
      <c r="AA1378" t="s">
        <v>7826</v>
      </c>
      <c r="AB1378">
        <v>1.93</v>
      </c>
      <c r="AC1378" t="s">
        <v>521</v>
      </c>
      <c r="AD1378">
        <v>72.08</v>
      </c>
      <c r="AE1378" t="s">
        <v>6662</v>
      </c>
      <c r="AF1378">
        <v>0.08</v>
      </c>
      <c r="AG1378">
        <v>0</v>
      </c>
      <c r="AH1378">
        <v>0</v>
      </c>
      <c r="AI1378" s="4">
        <v>40240</v>
      </c>
    </row>
    <row r="1379" spans="1:35">
      <c r="A1379">
        <v>1378</v>
      </c>
      <c r="B1379" t="str">
        <f>"000669"</f>
        <v>000669</v>
      </c>
      <c r="C1379" t="s">
        <v>7827</v>
      </c>
      <c r="D1379" s="4">
        <v>43190</v>
      </c>
      <c r="E1379" t="s">
        <v>3293</v>
      </c>
      <c r="F1379" t="s">
        <v>563</v>
      </c>
      <c r="G1379" t="s">
        <v>2572</v>
      </c>
      <c r="H1379">
        <v>0.13</v>
      </c>
      <c r="I1379">
        <v>6.18</v>
      </c>
      <c r="J1379">
        <v>1.95</v>
      </c>
      <c r="K1379" t="s">
        <v>1368</v>
      </c>
      <c r="L1379">
        <v>45.31</v>
      </c>
      <c r="M1379" t="s">
        <v>2306</v>
      </c>
      <c r="N1379" t="s">
        <v>7211</v>
      </c>
      <c r="O1379" t="s">
        <v>2306</v>
      </c>
      <c r="P1379" t="s">
        <v>7828</v>
      </c>
      <c r="Q1379">
        <v>1.73</v>
      </c>
      <c r="R1379" t="s">
        <v>754</v>
      </c>
      <c r="S1379">
        <v>2.68</v>
      </c>
      <c r="T1379">
        <v>25.28</v>
      </c>
      <c r="U1379" t="s">
        <v>719</v>
      </c>
      <c r="V1379" t="s">
        <v>1752</v>
      </c>
      <c r="W1379" t="s">
        <v>4807</v>
      </c>
      <c r="X1379">
        <v>1.95</v>
      </c>
      <c r="Y1379" t="s">
        <v>4188</v>
      </c>
      <c r="Z1379" t="s">
        <v>408</v>
      </c>
      <c r="AA1379" t="s">
        <v>2643</v>
      </c>
      <c r="AB1379">
        <v>1.17</v>
      </c>
      <c r="AC1379" t="s">
        <v>737</v>
      </c>
      <c r="AD1379">
        <v>32.43</v>
      </c>
      <c r="AE1379" t="s">
        <v>303</v>
      </c>
      <c r="AF1379">
        <v>2.35</v>
      </c>
      <c r="AG1379">
        <v>0</v>
      </c>
      <c r="AH1379">
        <v>0</v>
      </c>
      <c r="AI1379" s="4">
        <v>35409</v>
      </c>
    </row>
    <row r="1380" spans="1:35">
      <c r="A1380">
        <v>1379</v>
      </c>
      <c r="B1380" t="str">
        <f>"603725"</f>
        <v>603725</v>
      </c>
      <c r="C1380" t="s">
        <v>7829</v>
      </c>
      <c r="D1380" s="4">
        <v>43190</v>
      </c>
      <c r="E1380" t="s">
        <v>745</v>
      </c>
      <c r="F1380" t="s">
        <v>4448</v>
      </c>
      <c r="G1380">
        <v>2027</v>
      </c>
      <c r="H1380">
        <v>0.1</v>
      </c>
      <c r="I1380">
        <v>5.33</v>
      </c>
      <c r="J1380">
        <v>1.94</v>
      </c>
      <c r="K1380" t="s">
        <v>1287</v>
      </c>
      <c r="L1380">
        <v>22.02</v>
      </c>
      <c r="M1380" t="s">
        <v>729</v>
      </c>
      <c r="N1380" t="s">
        <v>7830</v>
      </c>
      <c r="O1380" t="s">
        <v>5396</v>
      </c>
      <c r="P1380" t="s">
        <v>7831</v>
      </c>
      <c r="Q1380">
        <v>117.68</v>
      </c>
      <c r="R1380" t="s">
        <v>618</v>
      </c>
      <c r="S1380">
        <v>1.29</v>
      </c>
      <c r="T1380">
        <v>23.38</v>
      </c>
      <c r="U1380" t="s">
        <v>924</v>
      </c>
      <c r="V1380" t="s">
        <v>2428</v>
      </c>
      <c r="W1380" t="s">
        <v>1794</v>
      </c>
      <c r="X1380">
        <v>1.94</v>
      </c>
      <c r="Y1380" t="s">
        <v>1166</v>
      </c>
      <c r="Z1380" t="s">
        <v>3496</v>
      </c>
      <c r="AA1380" t="s">
        <v>4986</v>
      </c>
      <c r="AB1380">
        <v>3.22</v>
      </c>
      <c r="AC1380" t="s">
        <v>539</v>
      </c>
      <c r="AD1380">
        <v>59.48</v>
      </c>
      <c r="AE1380" t="s">
        <v>662</v>
      </c>
      <c r="AF1380">
        <v>2.88</v>
      </c>
      <c r="AG1380">
        <v>0</v>
      </c>
      <c r="AH1380">
        <v>0</v>
      </c>
      <c r="AI1380" s="4">
        <v>42984</v>
      </c>
    </row>
    <row r="1381" spans="1:35">
      <c r="A1381">
        <v>1380</v>
      </c>
      <c r="B1381" t="str">
        <f>"600965"</f>
        <v>600965</v>
      </c>
      <c r="C1381" t="s">
        <v>7832</v>
      </c>
      <c r="D1381" s="4">
        <v>43190</v>
      </c>
      <c r="E1381" t="s">
        <v>2428</v>
      </c>
      <c r="F1381" t="s">
        <v>769</v>
      </c>
      <c r="G1381" t="s">
        <v>1261</v>
      </c>
      <c r="H1381">
        <v>0.04</v>
      </c>
      <c r="I1381">
        <v>2.2400000000000002</v>
      </c>
      <c r="J1381">
        <v>1.94</v>
      </c>
      <c r="K1381" t="s">
        <v>1001</v>
      </c>
      <c r="L1381">
        <v>17.649999999999999</v>
      </c>
      <c r="M1381" t="s">
        <v>7833</v>
      </c>
      <c r="N1381" t="s">
        <v>7834</v>
      </c>
      <c r="O1381" t="s">
        <v>7835</v>
      </c>
      <c r="P1381" t="s">
        <v>7836</v>
      </c>
      <c r="Q1381">
        <v>46.46</v>
      </c>
      <c r="R1381" t="s">
        <v>3196</v>
      </c>
      <c r="S1381">
        <v>0.8</v>
      </c>
      <c r="T1381">
        <v>32.159999999999997</v>
      </c>
      <c r="U1381" t="s">
        <v>706</v>
      </c>
      <c r="V1381" t="s">
        <v>162</v>
      </c>
      <c r="W1381" t="s">
        <v>1972</v>
      </c>
      <c r="X1381">
        <v>1.94</v>
      </c>
      <c r="Y1381" t="s">
        <v>1685</v>
      </c>
      <c r="Z1381" t="s">
        <v>633</v>
      </c>
      <c r="AA1381" t="s">
        <v>5529</v>
      </c>
      <c r="AB1381">
        <v>4.74</v>
      </c>
      <c r="AC1381" t="s">
        <v>308</v>
      </c>
      <c r="AD1381">
        <v>77.099999999999994</v>
      </c>
      <c r="AE1381" t="s">
        <v>1810</v>
      </c>
      <c r="AF1381">
        <v>0.36</v>
      </c>
      <c r="AG1381">
        <v>0</v>
      </c>
      <c r="AH1381">
        <v>0</v>
      </c>
      <c r="AI1381" s="4">
        <v>38181</v>
      </c>
    </row>
    <row r="1382" spans="1:35">
      <c r="A1382">
        <v>1381</v>
      </c>
      <c r="B1382" t="str">
        <f>"300131"</f>
        <v>300131</v>
      </c>
      <c r="C1382" t="s">
        <v>7837</v>
      </c>
      <c r="D1382" s="4">
        <v>43190</v>
      </c>
      <c r="E1382" t="s">
        <v>295</v>
      </c>
      <c r="F1382" t="s">
        <v>2532</v>
      </c>
      <c r="G1382" t="s">
        <v>4665</v>
      </c>
      <c r="H1382">
        <v>0.03</v>
      </c>
      <c r="I1382">
        <v>1.77</v>
      </c>
      <c r="J1382">
        <v>1.94</v>
      </c>
      <c r="K1382" t="s">
        <v>1687</v>
      </c>
      <c r="L1382">
        <v>101.63</v>
      </c>
      <c r="M1382" t="s">
        <v>7838</v>
      </c>
      <c r="N1382" t="s">
        <v>7839</v>
      </c>
      <c r="O1382" t="s">
        <v>7840</v>
      </c>
      <c r="P1382" t="s">
        <v>7841</v>
      </c>
      <c r="Q1382">
        <v>11.91</v>
      </c>
      <c r="R1382" t="s">
        <v>2729</v>
      </c>
      <c r="S1382">
        <v>0.24</v>
      </c>
      <c r="T1382">
        <v>6.02</v>
      </c>
      <c r="U1382" t="s">
        <v>2060</v>
      </c>
      <c r="V1382" t="s">
        <v>2600</v>
      </c>
      <c r="W1382" t="s">
        <v>7842</v>
      </c>
      <c r="X1382">
        <v>1.94</v>
      </c>
      <c r="Y1382" t="s">
        <v>638</v>
      </c>
      <c r="Z1382" t="s">
        <v>1205</v>
      </c>
      <c r="AA1382" t="s">
        <v>89</v>
      </c>
      <c r="AB1382">
        <v>3.21</v>
      </c>
      <c r="AC1382" t="s">
        <v>702</v>
      </c>
      <c r="AD1382">
        <v>35.450000000000003</v>
      </c>
      <c r="AE1382" t="s">
        <v>1611</v>
      </c>
      <c r="AF1382">
        <v>0.49</v>
      </c>
      <c r="AG1382">
        <v>0</v>
      </c>
      <c r="AH1382">
        <v>0</v>
      </c>
      <c r="AI1382" s="4">
        <v>40470</v>
      </c>
    </row>
    <row r="1383" spans="1:35">
      <c r="A1383">
        <v>1382</v>
      </c>
      <c r="B1383" t="str">
        <f>"002444"</f>
        <v>002444</v>
      </c>
      <c r="C1383" t="s">
        <v>7843</v>
      </c>
      <c r="D1383" s="4">
        <v>43190</v>
      </c>
      <c r="E1383" t="s">
        <v>699</v>
      </c>
      <c r="F1383" t="s">
        <v>1094</v>
      </c>
      <c r="G1383" t="s">
        <v>3475</v>
      </c>
      <c r="H1383">
        <v>0.11</v>
      </c>
      <c r="I1383">
        <v>5.62</v>
      </c>
      <c r="J1383">
        <v>1.94</v>
      </c>
      <c r="K1383" t="s">
        <v>274</v>
      </c>
      <c r="L1383">
        <v>18.45</v>
      </c>
      <c r="M1383" t="s">
        <v>1365</v>
      </c>
      <c r="N1383" t="s">
        <v>7844</v>
      </c>
      <c r="O1383" t="s">
        <v>2360</v>
      </c>
      <c r="P1383" t="s">
        <v>642</v>
      </c>
      <c r="Q1383">
        <v>10.039999999999999</v>
      </c>
      <c r="R1383" t="s">
        <v>1785</v>
      </c>
      <c r="S1383">
        <v>2.46</v>
      </c>
      <c r="T1383">
        <v>32.28</v>
      </c>
      <c r="U1383" t="s">
        <v>634</v>
      </c>
      <c r="V1383" t="s">
        <v>1231</v>
      </c>
      <c r="W1383" t="s">
        <v>539</v>
      </c>
      <c r="X1383">
        <v>1.94</v>
      </c>
      <c r="Y1383" t="s">
        <v>538</v>
      </c>
      <c r="Z1383" t="s">
        <v>2731</v>
      </c>
      <c r="AA1383" t="s">
        <v>157</v>
      </c>
      <c r="AB1383">
        <v>1.94</v>
      </c>
      <c r="AC1383" t="s">
        <v>577</v>
      </c>
      <c r="AD1383">
        <v>79.84</v>
      </c>
      <c r="AE1383" t="s">
        <v>1284</v>
      </c>
      <c r="AF1383">
        <v>1.83</v>
      </c>
      <c r="AG1383">
        <v>0</v>
      </c>
      <c r="AH1383">
        <v>0</v>
      </c>
      <c r="AI1383" s="4">
        <v>40372</v>
      </c>
    </row>
    <row r="1384" spans="1:35">
      <c r="A1384">
        <v>1383</v>
      </c>
      <c r="B1384" t="str">
        <f>"002111"</f>
        <v>002111</v>
      </c>
      <c r="C1384" t="s">
        <v>7845</v>
      </c>
      <c r="D1384" s="4">
        <v>43190</v>
      </c>
      <c r="E1384" t="s">
        <v>375</v>
      </c>
      <c r="F1384" t="s">
        <v>2729</v>
      </c>
      <c r="G1384">
        <v>9648</v>
      </c>
      <c r="H1384">
        <v>0.13</v>
      </c>
      <c r="I1384">
        <v>6.96</v>
      </c>
      <c r="J1384">
        <v>1.94</v>
      </c>
      <c r="K1384" t="s">
        <v>165</v>
      </c>
      <c r="L1384">
        <v>15.45</v>
      </c>
      <c r="M1384" t="s">
        <v>4775</v>
      </c>
      <c r="N1384" t="s">
        <v>2874</v>
      </c>
      <c r="O1384" t="s">
        <v>7846</v>
      </c>
      <c r="P1384" t="s">
        <v>7847</v>
      </c>
      <c r="Q1384">
        <v>24.3</v>
      </c>
      <c r="R1384" t="s">
        <v>1362</v>
      </c>
      <c r="S1384">
        <v>2.0699999999999998</v>
      </c>
      <c r="T1384">
        <v>35.96</v>
      </c>
      <c r="U1384" t="s">
        <v>893</v>
      </c>
      <c r="V1384" t="s">
        <v>1329</v>
      </c>
      <c r="W1384" t="s">
        <v>4790</v>
      </c>
      <c r="X1384">
        <v>1.94</v>
      </c>
      <c r="Y1384" t="s">
        <v>646</v>
      </c>
      <c r="Z1384" t="s">
        <v>983</v>
      </c>
      <c r="AA1384" t="s">
        <v>282</v>
      </c>
      <c r="AB1384">
        <v>1.58</v>
      </c>
      <c r="AC1384" t="s">
        <v>1308</v>
      </c>
      <c r="AD1384">
        <v>60.01</v>
      </c>
      <c r="AE1384" t="s">
        <v>971</v>
      </c>
      <c r="AF1384">
        <v>3.59</v>
      </c>
      <c r="AG1384">
        <v>0</v>
      </c>
      <c r="AH1384">
        <v>0</v>
      </c>
      <c r="AI1384" s="4">
        <v>39108</v>
      </c>
    </row>
    <row r="1385" spans="1:35">
      <c r="A1385">
        <v>1384</v>
      </c>
      <c r="B1385" t="str">
        <f>"603268"</f>
        <v>603268</v>
      </c>
      <c r="C1385" t="s">
        <v>7848</v>
      </c>
      <c r="D1385" s="4">
        <v>43190</v>
      </c>
      <c r="E1385" t="s">
        <v>2603</v>
      </c>
      <c r="F1385" t="s">
        <v>2360</v>
      </c>
      <c r="G1385" t="s">
        <v>1228</v>
      </c>
      <c r="H1385">
        <v>0.09</v>
      </c>
      <c r="I1385">
        <v>4.66</v>
      </c>
      <c r="J1385">
        <v>1.93</v>
      </c>
      <c r="K1385" t="s">
        <v>595</v>
      </c>
      <c r="L1385">
        <v>39.840000000000003</v>
      </c>
      <c r="M1385" t="s">
        <v>4842</v>
      </c>
      <c r="N1385" t="s">
        <v>3991</v>
      </c>
      <c r="O1385" t="s">
        <v>7849</v>
      </c>
      <c r="P1385" t="s">
        <v>7850</v>
      </c>
      <c r="Q1385">
        <v>72.290000000000006</v>
      </c>
      <c r="R1385" t="s">
        <v>217</v>
      </c>
      <c r="S1385">
        <v>1.94</v>
      </c>
      <c r="T1385">
        <v>38.950000000000003</v>
      </c>
      <c r="U1385" t="s">
        <v>164</v>
      </c>
      <c r="V1385" t="s">
        <v>1959</v>
      </c>
      <c r="W1385" t="s">
        <v>1999</v>
      </c>
      <c r="X1385">
        <v>1.93</v>
      </c>
      <c r="Y1385" t="s">
        <v>569</v>
      </c>
      <c r="Z1385" t="s">
        <v>1706</v>
      </c>
      <c r="AA1385" t="s">
        <v>3768</v>
      </c>
      <c r="AB1385">
        <v>3.16</v>
      </c>
      <c r="AC1385" t="s">
        <v>1058</v>
      </c>
      <c r="AD1385">
        <v>47.57</v>
      </c>
      <c r="AE1385" t="s">
        <v>126</v>
      </c>
      <c r="AF1385">
        <v>1.72</v>
      </c>
      <c r="AG1385">
        <v>0</v>
      </c>
      <c r="AH1385">
        <v>0</v>
      </c>
      <c r="AI1385" s="4">
        <v>42082</v>
      </c>
    </row>
    <row r="1386" spans="1:35">
      <c r="A1386">
        <v>1385</v>
      </c>
      <c r="B1386" t="str">
        <f>"600963"</f>
        <v>600963</v>
      </c>
      <c r="C1386" t="s">
        <v>7851</v>
      </c>
      <c r="D1386" s="4">
        <v>43190</v>
      </c>
      <c r="E1386" t="s">
        <v>538</v>
      </c>
      <c r="F1386" t="s">
        <v>919</v>
      </c>
      <c r="G1386" t="s">
        <v>2506</v>
      </c>
      <c r="H1386">
        <v>0.11</v>
      </c>
      <c r="I1386">
        <v>5.69</v>
      </c>
      <c r="J1386">
        <v>1.93</v>
      </c>
      <c r="K1386" t="s">
        <v>50</v>
      </c>
      <c r="L1386">
        <v>35.01</v>
      </c>
      <c r="M1386" t="s">
        <v>698</v>
      </c>
      <c r="N1386" t="s">
        <v>7852</v>
      </c>
      <c r="O1386" t="s">
        <v>2769</v>
      </c>
      <c r="P1386" t="s">
        <v>452</v>
      </c>
      <c r="Q1386">
        <v>938.45</v>
      </c>
      <c r="R1386" t="s">
        <v>2625</v>
      </c>
      <c r="S1386">
        <v>0.28999999999999998</v>
      </c>
      <c r="T1386">
        <v>23.22</v>
      </c>
      <c r="U1386" t="s">
        <v>1885</v>
      </c>
      <c r="V1386" t="s">
        <v>6654</v>
      </c>
      <c r="W1386" t="s">
        <v>1090</v>
      </c>
      <c r="X1386">
        <v>1.93</v>
      </c>
      <c r="Y1386" t="s">
        <v>1172</v>
      </c>
      <c r="Z1386" t="s">
        <v>2243</v>
      </c>
      <c r="AA1386" t="s">
        <v>3752</v>
      </c>
      <c r="AB1386">
        <v>0.88</v>
      </c>
      <c r="AC1386" t="s">
        <v>4108</v>
      </c>
      <c r="AD1386">
        <v>51.46</v>
      </c>
      <c r="AE1386" t="s">
        <v>530</v>
      </c>
      <c r="AF1386">
        <v>4.26</v>
      </c>
      <c r="AG1386">
        <v>0</v>
      </c>
      <c r="AH1386">
        <v>0</v>
      </c>
      <c r="AI1386" s="4">
        <v>38132</v>
      </c>
    </row>
    <row r="1387" spans="1:35">
      <c r="A1387">
        <v>1386</v>
      </c>
      <c r="B1387" t="str">
        <f>"600710"</f>
        <v>600710</v>
      </c>
      <c r="C1387" t="s">
        <v>7853</v>
      </c>
      <c r="D1387" s="4">
        <v>43190</v>
      </c>
      <c r="E1387" t="s">
        <v>840</v>
      </c>
      <c r="F1387" t="s">
        <v>1849</v>
      </c>
      <c r="G1387" t="s">
        <v>3138</v>
      </c>
      <c r="H1387">
        <v>0.06</v>
      </c>
      <c r="I1387">
        <v>3.06</v>
      </c>
      <c r="J1387">
        <v>1.93</v>
      </c>
      <c r="K1387" t="s">
        <v>1278</v>
      </c>
      <c r="L1387">
        <v>4.88</v>
      </c>
      <c r="M1387" t="s">
        <v>998</v>
      </c>
      <c r="N1387" t="s">
        <v>3995</v>
      </c>
      <c r="O1387" t="s">
        <v>1664</v>
      </c>
      <c r="P1387" t="s">
        <v>7854</v>
      </c>
      <c r="Q1387">
        <v>7.59</v>
      </c>
      <c r="R1387" t="s">
        <v>1025</v>
      </c>
      <c r="S1387">
        <v>0.95</v>
      </c>
      <c r="T1387">
        <v>5.07</v>
      </c>
      <c r="U1387" t="s">
        <v>7855</v>
      </c>
      <c r="V1387" t="s">
        <v>7380</v>
      </c>
      <c r="W1387" t="s">
        <v>2832</v>
      </c>
      <c r="X1387">
        <v>1.93</v>
      </c>
      <c r="Y1387" t="s">
        <v>5632</v>
      </c>
      <c r="Z1387" t="s">
        <v>1955</v>
      </c>
      <c r="AA1387" t="s">
        <v>1443</v>
      </c>
      <c r="AB1387">
        <v>1.41</v>
      </c>
      <c r="AC1387" t="s">
        <v>2513</v>
      </c>
      <c r="AD1387">
        <v>9.31</v>
      </c>
      <c r="AE1387" t="s">
        <v>300</v>
      </c>
      <c r="AF1387">
        <v>0.96</v>
      </c>
      <c r="AG1387">
        <v>0</v>
      </c>
      <c r="AH1387">
        <v>0</v>
      </c>
      <c r="AI1387" s="4">
        <v>35247</v>
      </c>
    </row>
    <row r="1388" spans="1:35">
      <c r="A1388">
        <v>1387</v>
      </c>
      <c r="B1388" t="str">
        <f>"300376"</f>
        <v>300376</v>
      </c>
      <c r="C1388" t="s">
        <v>7856</v>
      </c>
      <c r="D1388" s="4">
        <v>43190</v>
      </c>
      <c r="E1388" t="s">
        <v>1039</v>
      </c>
      <c r="F1388" t="s">
        <v>316</v>
      </c>
      <c r="G1388" t="s">
        <v>3195</v>
      </c>
      <c r="H1388">
        <v>0.04</v>
      </c>
      <c r="I1388">
        <v>1.91</v>
      </c>
      <c r="J1388">
        <v>1.93</v>
      </c>
      <c r="K1388" t="s">
        <v>2414</v>
      </c>
      <c r="L1388">
        <v>8.18</v>
      </c>
      <c r="M1388" t="s">
        <v>7857</v>
      </c>
      <c r="N1388" t="s">
        <v>7349</v>
      </c>
      <c r="O1388" t="s">
        <v>7858</v>
      </c>
      <c r="P1388" t="s">
        <v>7859</v>
      </c>
      <c r="Q1388">
        <v>42.94</v>
      </c>
      <c r="R1388" t="s">
        <v>79</v>
      </c>
      <c r="S1388">
        <v>0.74</v>
      </c>
      <c r="T1388">
        <v>25.16</v>
      </c>
      <c r="U1388" t="s">
        <v>1820</v>
      </c>
      <c r="V1388" t="s">
        <v>3877</v>
      </c>
      <c r="W1388" t="s">
        <v>1881</v>
      </c>
      <c r="X1388">
        <v>1.93</v>
      </c>
      <c r="Y1388" t="s">
        <v>1783</v>
      </c>
      <c r="Z1388" t="s">
        <v>3159</v>
      </c>
      <c r="AA1388" t="s">
        <v>155</v>
      </c>
      <c r="AB1388">
        <v>2.46</v>
      </c>
      <c r="AC1388" t="s">
        <v>1233</v>
      </c>
      <c r="AD1388">
        <v>42.96</v>
      </c>
      <c r="AE1388" t="s">
        <v>976</v>
      </c>
      <c r="AF1388">
        <v>0.15</v>
      </c>
      <c r="AG1388">
        <v>0</v>
      </c>
      <c r="AH1388">
        <v>0</v>
      </c>
      <c r="AI1388" s="4">
        <v>41666</v>
      </c>
    </row>
    <row r="1389" spans="1:35">
      <c r="A1389">
        <v>1388</v>
      </c>
      <c r="B1389" t="str">
        <f>"002403"</f>
        <v>002403</v>
      </c>
      <c r="C1389" t="s">
        <v>7860</v>
      </c>
      <c r="D1389" s="4">
        <v>43190</v>
      </c>
      <c r="E1389" t="s">
        <v>218</v>
      </c>
      <c r="F1389" t="s">
        <v>486</v>
      </c>
      <c r="G1389" t="s">
        <v>3789</v>
      </c>
      <c r="H1389">
        <v>0.12</v>
      </c>
      <c r="I1389">
        <v>6.34</v>
      </c>
      <c r="J1389">
        <v>1.93</v>
      </c>
      <c r="K1389" t="s">
        <v>4354</v>
      </c>
      <c r="L1389">
        <v>9.4</v>
      </c>
      <c r="M1389" t="s">
        <v>7861</v>
      </c>
      <c r="N1389" t="s">
        <v>7048</v>
      </c>
      <c r="O1389" t="s">
        <v>3179</v>
      </c>
      <c r="P1389" t="s">
        <v>7862</v>
      </c>
      <c r="Q1389">
        <v>-19.36</v>
      </c>
      <c r="R1389" t="s">
        <v>107</v>
      </c>
      <c r="S1389">
        <v>1.68</v>
      </c>
      <c r="T1389">
        <v>38.549999999999997</v>
      </c>
      <c r="U1389" t="s">
        <v>3926</v>
      </c>
      <c r="V1389" t="s">
        <v>710</v>
      </c>
      <c r="W1389" t="s">
        <v>1849</v>
      </c>
      <c r="X1389">
        <v>1.93</v>
      </c>
      <c r="Y1389" t="s">
        <v>1704</v>
      </c>
      <c r="Z1389" t="s">
        <v>50</v>
      </c>
      <c r="AA1389" t="s">
        <v>2693</v>
      </c>
      <c r="AB1389">
        <v>1.44</v>
      </c>
      <c r="AC1389" t="s">
        <v>728</v>
      </c>
      <c r="AD1389">
        <v>47.91</v>
      </c>
      <c r="AE1389" t="s">
        <v>300</v>
      </c>
      <c r="AF1389">
        <v>3.56</v>
      </c>
      <c r="AG1389">
        <v>0</v>
      </c>
      <c r="AH1389">
        <v>0</v>
      </c>
      <c r="AI1389" s="4">
        <v>40309</v>
      </c>
    </row>
    <row r="1390" spans="1:35">
      <c r="A1390">
        <v>1389</v>
      </c>
      <c r="B1390" t="str">
        <f>"002109"</f>
        <v>002109</v>
      </c>
      <c r="C1390" t="s">
        <v>7863</v>
      </c>
      <c r="D1390" s="4">
        <v>43190</v>
      </c>
      <c r="E1390" t="s">
        <v>407</v>
      </c>
      <c r="F1390" t="s">
        <v>1166</v>
      </c>
      <c r="G1390">
        <v>6936</v>
      </c>
      <c r="H1390">
        <v>0.06</v>
      </c>
      <c r="I1390">
        <v>3.23</v>
      </c>
      <c r="J1390">
        <v>1.93</v>
      </c>
      <c r="K1390" t="s">
        <v>633</v>
      </c>
      <c r="L1390">
        <v>8.36</v>
      </c>
      <c r="M1390" t="s">
        <v>7864</v>
      </c>
      <c r="N1390">
        <v>0</v>
      </c>
      <c r="O1390" t="s">
        <v>7864</v>
      </c>
      <c r="P1390" t="s">
        <v>7865</v>
      </c>
      <c r="Q1390">
        <v>12.84</v>
      </c>
      <c r="R1390" t="s">
        <v>7866</v>
      </c>
      <c r="S1390">
        <v>-0.05</v>
      </c>
      <c r="T1390">
        <v>22.48</v>
      </c>
      <c r="U1390" t="s">
        <v>2642</v>
      </c>
      <c r="V1390" t="s">
        <v>2646</v>
      </c>
      <c r="W1390" t="s">
        <v>907</v>
      </c>
      <c r="X1390">
        <v>1.93</v>
      </c>
      <c r="Y1390" t="s">
        <v>7533</v>
      </c>
      <c r="Z1390" t="s">
        <v>7533</v>
      </c>
      <c r="AA1390">
        <v>0</v>
      </c>
      <c r="AB1390">
        <v>1.1100000000000001</v>
      </c>
      <c r="AC1390" t="s">
        <v>1127</v>
      </c>
      <c r="AD1390">
        <v>81.73</v>
      </c>
      <c r="AE1390" t="s">
        <v>1504</v>
      </c>
      <c r="AF1390">
        <v>2.12</v>
      </c>
      <c r="AG1390">
        <v>0</v>
      </c>
      <c r="AH1390">
        <v>0</v>
      </c>
      <c r="AI1390" s="4">
        <v>39108</v>
      </c>
    </row>
    <row r="1391" spans="1:35">
      <c r="A1391">
        <v>1390</v>
      </c>
      <c r="B1391" t="str">
        <f>"002074"</f>
        <v>002074</v>
      </c>
      <c r="C1391" t="s">
        <v>7867</v>
      </c>
      <c r="D1391" s="4">
        <v>43190</v>
      </c>
      <c r="E1391" t="s">
        <v>354</v>
      </c>
      <c r="F1391" t="s">
        <v>323</v>
      </c>
      <c r="G1391">
        <v>9723</v>
      </c>
      <c r="H1391">
        <v>0.14000000000000001</v>
      </c>
      <c r="I1391">
        <v>7.38</v>
      </c>
      <c r="J1391">
        <v>1.93</v>
      </c>
      <c r="K1391" t="s">
        <v>521</v>
      </c>
      <c r="L1391">
        <v>-4.32</v>
      </c>
      <c r="M1391" t="s">
        <v>1360</v>
      </c>
      <c r="N1391" t="s">
        <v>7868</v>
      </c>
      <c r="O1391" t="s">
        <v>2069</v>
      </c>
      <c r="P1391" t="s">
        <v>136</v>
      </c>
      <c r="Q1391">
        <v>-20.329999999999998</v>
      </c>
      <c r="R1391" t="s">
        <v>450</v>
      </c>
      <c r="S1391">
        <v>2.44</v>
      </c>
      <c r="T1391">
        <v>32.869999999999997</v>
      </c>
      <c r="U1391" t="s">
        <v>3446</v>
      </c>
      <c r="V1391" t="s">
        <v>252</v>
      </c>
      <c r="W1391" t="s">
        <v>1488</v>
      </c>
      <c r="X1391">
        <v>1.93</v>
      </c>
      <c r="Y1391" t="s">
        <v>2495</v>
      </c>
      <c r="Z1391" t="s">
        <v>6837</v>
      </c>
      <c r="AA1391" t="s">
        <v>710</v>
      </c>
      <c r="AB1391">
        <v>1.77</v>
      </c>
      <c r="AC1391" t="s">
        <v>3536</v>
      </c>
      <c r="AD1391">
        <v>49.68</v>
      </c>
      <c r="AE1391" t="s">
        <v>1090</v>
      </c>
      <c r="AF1391">
        <v>4.03</v>
      </c>
      <c r="AG1391">
        <v>0</v>
      </c>
      <c r="AH1391">
        <v>0</v>
      </c>
      <c r="AI1391" s="4">
        <v>39008</v>
      </c>
    </row>
    <row r="1392" spans="1:35">
      <c r="A1392">
        <v>1391</v>
      </c>
      <c r="B1392" t="str">
        <f>"603926"</f>
        <v>603926</v>
      </c>
      <c r="C1392" t="s">
        <v>7869</v>
      </c>
      <c r="D1392" s="4">
        <v>43190</v>
      </c>
      <c r="E1392" t="s">
        <v>1365</v>
      </c>
      <c r="F1392" t="s">
        <v>7870</v>
      </c>
      <c r="G1392">
        <v>2085</v>
      </c>
      <c r="H1392">
        <v>0.18</v>
      </c>
      <c r="I1392">
        <v>7.39</v>
      </c>
      <c r="J1392">
        <v>1.92</v>
      </c>
      <c r="K1392" t="s">
        <v>698</v>
      </c>
      <c r="L1392">
        <v>-3.06</v>
      </c>
      <c r="M1392" t="s">
        <v>7871</v>
      </c>
      <c r="N1392" t="s">
        <v>904</v>
      </c>
      <c r="O1392" t="s">
        <v>5664</v>
      </c>
      <c r="P1392" t="s">
        <v>7872</v>
      </c>
      <c r="Q1392">
        <v>-17.559999999999999</v>
      </c>
      <c r="R1392" t="s">
        <v>188</v>
      </c>
      <c r="S1392">
        <v>1.22</v>
      </c>
      <c r="T1392">
        <v>29.79</v>
      </c>
      <c r="U1392" t="s">
        <v>538</v>
      </c>
      <c r="V1392" t="s">
        <v>1496</v>
      </c>
      <c r="W1392" t="s">
        <v>531</v>
      </c>
      <c r="X1392">
        <v>1.92</v>
      </c>
      <c r="Y1392" t="s">
        <v>678</v>
      </c>
      <c r="Z1392" t="s">
        <v>325</v>
      </c>
      <c r="AA1392" t="s">
        <v>7873</v>
      </c>
      <c r="AB1392">
        <v>2.58</v>
      </c>
      <c r="AC1392" t="s">
        <v>407</v>
      </c>
      <c r="AD1392">
        <v>75.42</v>
      </c>
      <c r="AE1392" t="s">
        <v>2490</v>
      </c>
      <c r="AF1392">
        <v>4.62</v>
      </c>
      <c r="AG1392">
        <v>0</v>
      </c>
      <c r="AH1392">
        <v>0</v>
      </c>
      <c r="AI1392" s="4">
        <v>42865</v>
      </c>
    </row>
    <row r="1393" spans="1:35">
      <c r="A1393">
        <v>1392</v>
      </c>
      <c r="B1393" t="str">
        <f>"603535"</f>
        <v>603535</v>
      </c>
      <c r="C1393" t="s">
        <v>7874</v>
      </c>
      <c r="D1393" s="4">
        <v>43190</v>
      </c>
      <c r="E1393" t="s">
        <v>609</v>
      </c>
      <c r="F1393" t="s">
        <v>7875</v>
      </c>
      <c r="G1393">
        <v>2327</v>
      </c>
      <c r="H1393">
        <v>0.18</v>
      </c>
      <c r="I1393">
        <v>9.15</v>
      </c>
      <c r="J1393">
        <v>1.92</v>
      </c>
      <c r="K1393" t="s">
        <v>1970</v>
      </c>
      <c r="L1393">
        <v>20.56</v>
      </c>
      <c r="M1393" t="s">
        <v>7876</v>
      </c>
      <c r="N1393" t="s">
        <v>7877</v>
      </c>
      <c r="O1393" t="s">
        <v>6293</v>
      </c>
      <c r="P1393" t="s">
        <v>7878</v>
      </c>
      <c r="Q1393">
        <v>28.98</v>
      </c>
      <c r="R1393" t="s">
        <v>127</v>
      </c>
      <c r="S1393">
        <v>3.43</v>
      </c>
      <c r="T1393">
        <v>27.35</v>
      </c>
      <c r="U1393" t="s">
        <v>1569</v>
      </c>
      <c r="V1393" t="s">
        <v>1094</v>
      </c>
      <c r="W1393" t="s">
        <v>1461</v>
      </c>
      <c r="X1393">
        <v>1.92</v>
      </c>
      <c r="Y1393" t="s">
        <v>1049</v>
      </c>
      <c r="Z1393" t="s">
        <v>219</v>
      </c>
      <c r="AA1393" t="s">
        <v>7879</v>
      </c>
      <c r="AB1393">
        <v>2.88</v>
      </c>
      <c r="AC1393" t="s">
        <v>1384</v>
      </c>
      <c r="AD1393">
        <v>83.6</v>
      </c>
      <c r="AE1393" t="s">
        <v>852</v>
      </c>
      <c r="AF1393">
        <v>4.21</v>
      </c>
      <c r="AG1393">
        <v>0</v>
      </c>
      <c r="AH1393">
        <v>0</v>
      </c>
      <c r="AI1393" s="4">
        <v>42955</v>
      </c>
    </row>
    <row r="1394" spans="1:35">
      <c r="A1394">
        <v>1393</v>
      </c>
      <c r="B1394" t="str">
        <f>"603008"</f>
        <v>603008</v>
      </c>
      <c r="C1394" t="s">
        <v>7880</v>
      </c>
      <c r="D1394" s="4">
        <v>43190</v>
      </c>
      <c r="E1394" t="s">
        <v>2468</v>
      </c>
      <c r="F1394" t="s">
        <v>186</v>
      </c>
      <c r="G1394" t="s">
        <v>5183</v>
      </c>
      <c r="H1394">
        <v>0.14000000000000001</v>
      </c>
      <c r="I1394">
        <v>6.99</v>
      </c>
      <c r="J1394">
        <v>1.92</v>
      </c>
      <c r="K1394" t="s">
        <v>2233</v>
      </c>
      <c r="L1394">
        <v>83.57</v>
      </c>
      <c r="M1394" t="s">
        <v>7881</v>
      </c>
      <c r="N1394" t="s">
        <v>2508</v>
      </c>
      <c r="O1394" t="s">
        <v>7882</v>
      </c>
      <c r="P1394" t="s">
        <v>1371</v>
      </c>
      <c r="Q1394">
        <v>23.63</v>
      </c>
      <c r="R1394" t="s">
        <v>3184</v>
      </c>
      <c r="S1394">
        <v>2.39</v>
      </c>
      <c r="T1394">
        <v>31.48</v>
      </c>
      <c r="U1394" t="s">
        <v>2633</v>
      </c>
      <c r="V1394" t="s">
        <v>3073</v>
      </c>
      <c r="W1394" t="s">
        <v>625</v>
      </c>
      <c r="X1394">
        <v>1.92</v>
      </c>
      <c r="Y1394" t="s">
        <v>2535</v>
      </c>
      <c r="Z1394" t="s">
        <v>864</v>
      </c>
      <c r="AA1394" t="s">
        <v>2733</v>
      </c>
      <c r="AB1394">
        <v>2.71</v>
      </c>
      <c r="AC1394" t="s">
        <v>2523</v>
      </c>
      <c r="AD1394">
        <v>45.13</v>
      </c>
      <c r="AE1394" t="s">
        <v>161</v>
      </c>
      <c r="AF1394">
        <v>3.65</v>
      </c>
      <c r="AG1394">
        <v>0</v>
      </c>
      <c r="AH1394">
        <v>0</v>
      </c>
      <c r="AI1394" s="4">
        <v>41107</v>
      </c>
    </row>
    <row r="1395" spans="1:35">
      <c r="A1395">
        <v>1394</v>
      </c>
      <c r="B1395" t="str">
        <f>"601010"</f>
        <v>601010</v>
      </c>
      <c r="C1395" t="s">
        <v>7883</v>
      </c>
      <c r="D1395" s="4">
        <v>43190</v>
      </c>
      <c r="E1395" t="s">
        <v>510</v>
      </c>
      <c r="F1395" t="s">
        <v>510</v>
      </c>
      <c r="G1395" t="s">
        <v>974</v>
      </c>
      <c r="H1395">
        <v>0.05</v>
      </c>
      <c r="I1395">
        <v>2.35</v>
      </c>
      <c r="J1395">
        <v>1.92</v>
      </c>
      <c r="K1395" t="s">
        <v>119</v>
      </c>
      <c r="L1395">
        <v>-2.79</v>
      </c>
      <c r="M1395" t="s">
        <v>280</v>
      </c>
      <c r="N1395">
        <v>0</v>
      </c>
      <c r="O1395" t="s">
        <v>2603</v>
      </c>
      <c r="P1395" t="s">
        <v>7884</v>
      </c>
      <c r="Q1395">
        <v>-6.49</v>
      </c>
      <c r="R1395" t="s">
        <v>350</v>
      </c>
      <c r="S1395">
        <v>0.69</v>
      </c>
      <c r="T1395">
        <v>19.489999999999998</v>
      </c>
      <c r="U1395" t="s">
        <v>1107</v>
      </c>
      <c r="V1395" t="s">
        <v>1126</v>
      </c>
      <c r="W1395" t="s">
        <v>1396</v>
      </c>
      <c r="X1395">
        <v>1.92</v>
      </c>
      <c r="Y1395" t="s">
        <v>183</v>
      </c>
      <c r="Z1395" t="s">
        <v>516</v>
      </c>
      <c r="AA1395" t="s">
        <v>7885</v>
      </c>
      <c r="AB1395">
        <v>1.3</v>
      </c>
      <c r="AC1395" t="s">
        <v>1233</v>
      </c>
      <c r="AD1395">
        <v>70.14</v>
      </c>
      <c r="AE1395" t="s">
        <v>1802</v>
      </c>
      <c r="AF1395">
        <v>0.46</v>
      </c>
      <c r="AG1395">
        <v>0</v>
      </c>
      <c r="AH1395">
        <v>0</v>
      </c>
      <c r="AI1395" s="4">
        <v>40697</v>
      </c>
    </row>
    <row r="1396" spans="1:35">
      <c r="A1396">
        <v>1395</v>
      </c>
      <c r="B1396" t="str">
        <f>"300705"</f>
        <v>300705</v>
      </c>
      <c r="C1396" t="s">
        <v>7886</v>
      </c>
      <c r="D1396" s="4">
        <v>43190</v>
      </c>
      <c r="E1396" t="s">
        <v>1999</v>
      </c>
      <c r="F1396" t="s">
        <v>7887</v>
      </c>
      <c r="G1396">
        <v>1381</v>
      </c>
      <c r="H1396">
        <v>0.05</v>
      </c>
      <c r="I1396">
        <v>2.81</v>
      </c>
      <c r="J1396">
        <v>1.92</v>
      </c>
      <c r="K1396" t="s">
        <v>337</v>
      </c>
      <c r="L1396">
        <v>87.72</v>
      </c>
      <c r="M1396" t="s">
        <v>7888</v>
      </c>
      <c r="N1396">
        <v>0</v>
      </c>
      <c r="O1396" t="s">
        <v>7831</v>
      </c>
      <c r="P1396" t="s">
        <v>7889</v>
      </c>
      <c r="Q1396">
        <v>26.09</v>
      </c>
      <c r="R1396" t="s">
        <v>1974</v>
      </c>
      <c r="S1396">
        <v>0.54</v>
      </c>
      <c r="T1396">
        <v>56.69</v>
      </c>
      <c r="U1396" t="s">
        <v>4397</v>
      </c>
      <c r="V1396" t="s">
        <v>442</v>
      </c>
      <c r="W1396" t="s">
        <v>118</v>
      </c>
      <c r="X1396">
        <v>1.92</v>
      </c>
      <c r="Y1396" t="s">
        <v>1525</v>
      </c>
      <c r="Z1396" t="s">
        <v>7890</v>
      </c>
      <c r="AA1396" t="s">
        <v>7891</v>
      </c>
      <c r="AB1396">
        <v>7.71</v>
      </c>
      <c r="AC1396" t="s">
        <v>5080</v>
      </c>
      <c r="AD1396">
        <v>84.79</v>
      </c>
      <c r="AE1396" t="s">
        <v>2953</v>
      </c>
      <c r="AF1396">
        <v>1.19</v>
      </c>
      <c r="AG1396">
        <v>0</v>
      </c>
      <c r="AH1396">
        <v>0</v>
      </c>
      <c r="AI1396" s="4">
        <v>43018</v>
      </c>
    </row>
    <row r="1397" spans="1:35">
      <c r="A1397">
        <v>1396</v>
      </c>
      <c r="B1397" t="str">
        <f>"300267"</f>
        <v>300267</v>
      </c>
      <c r="C1397" t="s">
        <v>7892</v>
      </c>
      <c r="D1397" s="4">
        <v>43190</v>
      </c>
      <c r="E1397" t="s">
        <v>251</v>
      </c>
      <c r="F1397" t="s">
        <v>323</v>
      </c>
      <c r="G1397" t="s">
        <v>7893</v>
      </c>
      <c r="H1397">
        <v>0.05</v>
      </c>
      <c r="I1397">
        <v>2.63</v>
      </c>
      <c r="J1397">
        <v>1.92</v>
      </c>
      <c r="K1397" t="s">
        <v>2036</v>
      </c>
      <c r="L1397">
        <v>-36.82</v>
      </c>
      <c r="M1397" t="s">
        <v>355</v>
      </c>
      <c r="N1397" t="s">
        <v>671</v>
      </c>
      <c r="O1397" t="s">
        <v>1349</v>
      </c>
      <c r="P1397" t="s">
        <v>197</v>
      </c>
      <c r="Q1397">
        <v>-52.87</v>
      </c>
      <c r="R1397" t="s">
        <v>244</v>
      </c>
      <c r="S1397">
        <v>1.1399999999999999</v>
      </c>
      <c r="T1397">
        <v>47.4</v>
      </c>
      <c r="U1397" t="s">
        <v>1134</v>
      </c>
      <c r="V1397" t="s">
        <v>1329</v>
      </c>
      <c r="W1397" t="s">
        <v>79</v>
      </c>
      <c r="X1397">
        <v>1.92</v>
      </c>
      <c r="Y1397" t="s">
        <v>186</v>
      </c>
      <c r="Z1397" t="s">
        <v>641</v>
      </c>
      <c r="AA1397" t="s">
        <v>7894</v>
      </c>
      <c r="AB1397">
        <v>1.86</v>
      </c>
      <c r="AC1397" t="s">
        <v>3377</v>
      </c>
      <c r="AD1397">
        <v>93.83</v>
      </c>
      <c r="AE1397" t="s">
        <v>3839</v>
      </c>
      <c r="AF1397">
        <v>0.46</v>
      </c>
      <c r="AG1397">
        <v>0</v>
      </c>
      <c r="AH1397">
        <v>0</v>
      </c>
      <c r="AI1397" s="4">
        <v>40813</v>
      </c>
    </row>
    <row r="1398" spans="1:35">
      <c r="A1398">
        <v>1397</v>
      </c>
      <c r="B1398" t="str">
        <f>"002716"</f>
        <v>002716</v>
      </c>
      <c r="C1398" t="s">
        <v>7895</v>
      </c>
      <c r="D1398" s="4">
        <v>43190</v>
      </c>
      <c r="E1398" t="s">
        <v>106</v>
      </c>
      <c r="F1398" t="s">
        <v>1461</v>
      </c>
      <c r="G1398">
        <v>5391</v>
      </c>
      <c r="H1398">
        <v>0.12</v>
      </c>
      <c r="I1398">
        <v>6.39</v>
      </c>
      <c r="J1398">
        <v>1.92</v>
      </c>
      <c r="K1398" t="s">
        <v>223</v>
      </c>
      <c r="L1398">
        <v>8.5500000000000007</v>
      </c>
      <c r="M1398" t="s">
        <v>7896</v>
      </c>
      <c r="N1398" t="s">
        <v>7897</v>
      </c>
      <c r="O1398" t="s">
        <v>7898</v>
      </c>
      <c r="P1398" t="s">
        <v>7899</v>
      </c>
      <c r="Q1398">
        <v>43.43</v>
      </c>
      <c r="R1398" t="s">
        <v>250</v>
      </c>
      <c r="S1398">
        <v>2.09</v>
      </c>
      <c r="T1398">
        <v>8.16</v>
      </c>
      <c r="U1398" t="s">
        <v>7584</v>
      </c>
      <c r="V1398" t="s">
        <v>1418</v>
      </c>
      <c r="W1398" t="s">
        <v>924</v>
      </c>
      <c r="X1398">
        <v>1.92</v>
      </c>
      <c r="Y1398" t="s">
        <v>1494</v>
      </c>
      <c r="Z1398" t="s">
        <v>371</v>
      </c>
      <c r="AA1398" t="s">
        <v>223</v>
      </c>
      <c r="AB1398">
        <v>2.64</v>
      </c>
      <c r="AC1398" t="s">
        <v>940</v>
      </c>
      <c r="AD1398">
        <v>39.33</v>
      </c>
      <c r="AE1398" t="s">
        <v>1052</v>
      </c>
      <c r="AF1398">
        <v>2.93</v>
      </c>
      <c r="AG1398">
        <v>0</v>
      </c>
      <c r="AH1398">
        <v>0</v>
      </c>
      <c r="AI1398" s="4">
        <v>41667</v>
      </c>
    </row>
    <row r="1399" spans="1:35">
      <c r="A1399">
        <v>1398</v>
      </c>
      <c r="B1399" t="str">
        <f>"600736"</f>
        <v>600736</v>
      </c>
      <c r="C1399" t="s">
        <v>7900</v>
      </c>
      <c r="D1399" s="4">
        <v>43190</v>
      </c>
      <c r="E1399" t="s">
        <v>1033</v>
      </c>
      <c r="F1399" t="s">
        <v>1033</v>
      </c>
      <c r="G1399" t="s">
        <v>4988</v>
      </c>
      <c r="H1399">
        <v>0.12</v>
      </c>
      <c r="I1399">
        <v>5</v>
      </c>
      <c r="J1399">
        <v>1.92</v>
      </c>
      <c r="K1399" t="s">
        <v>3740</v>
      </c>
      <c r="L1399">
        <v>18.489999999999998</v>
      </c>
      <c r="M1399" t="s">
        <v>593</v>
      </c>
      <c r="N1399" t="s">
        <v>7901</v>
      </c>
      <c r="O1399" t="s">
        <v>593</v>
      </c>
      <c r="P1399" t="s">
        <v>1974</v>
      </c>
      <c r="Q1399">
        <v>34.04</v>
      </c>
      <c r="R1399" t="s">
        <v>2542</v>
      </c>
      <c r="S1399">
        <v>1.99</v>
      </c>
      <c r="T1399">
        <v>32.19</v>
      </c>
      <c r="U1399" t="s">
        <v>5468</v>
      </c>
      <c r="V1399" t="s">
        <v>2896</v>
      </c>
      <c r="W1399" t="s">
        <v>115</v>
      </c>
      <c r="X1399">
        <v>1.92</v>
      </c>
      <c r="Y1399" t="s">
        <v>2179</v>
      </c>
      <c r="Z1399" t="s">
        <v>1894</v>
      </c>
      <c r="AA1399" t="s">
        <v>1134</v>
      </c>
      <c r="AB1399">
        <v>1.17</v>
      </c>
      <c r="AC1399" t="s">
        <v>3068</v>
      </c>
      <c r="AD1399">
        <v>24.5</v>
      </c>
      <c r="AE1399" t="s">
        <v>1126</v>
      </c>
      <c r="AF1399">
        <v>1.48</v>
      </c>
      <c r="AG1399">
        <v>0</v>
      </c>
      <c r="AH1399">
        <v>0</v>
      </c>
      <c r="AI1399" s="4">
        <v>35292</v>
      </c>
    </row>
    <row r="1400" spans="1:35">
      <c r="A1400">
        <v>1399</v>
      </c>
      <c r="B1400" t="str">
        <f>"603718"</f>
        <v>603718</v>
      </c>
      <c r="C1400" t="s">
        <v>7902</v>
      </c>
      <c r="D1400" s="4">
        <v>43190</v>
      </c>
      <c r="E1400" t="s">
        <v>941</v>
      </c>
      <c r="F1400" t="s">
        <v>941</v>
      </c>
      <c r="G1400" t="s">
        <v>1639</v>
      </c>
      <c r="H1400">
        <v>0.03</v>
      </c>
      <c r="I1400">
        <v>1.69</v>
      </c>
      <c r="J1400">
        <v>1.91</v>
      </c>
      <c r="K1400" t="s">
        <v>7903</v>
      </c>
      <c r="L1400">
        <v>-15.52</v>
      </c>
      <c r="M1400" t="s">
        <v>7904</v>
      </c>
      <c r="N1400" t="s">
        <v>7905</v>
      </c>
      <c r="O1400" t="s">
        <v>6286</v>
      </c>
      <c r="P1400" t="s">
        <v>7906</v>
      </c>
      <c r="Q1400">
        <v>-17.34</v>
      </c>
      <c r="R1400" t="s">
        <v>985</v>
      </c>
      <c r="S1400">
        <v>0.36</v>
      </c>
      <c r="T1400">
        <v>63.3</v>
      </c>
      <c r="U1400" t="s">
        <v>1244</v>
      </c>
      <c r="V1400" t="s">
        <v>1802</v>
      </c>
      <c r="W1400" t="s">
        <v>1035</v>
      </c>
      <c r="X1400">
        <v>1.91</v>
      </c>
      <c r="Y1400" t="s">
        <v>128</v>
      </c>
      <c r="Z1400" t="s">
        <v>735</v>
      </c>
      <c r="AA1400" t="s">
        <v>7907</v>
      </c>
      <c r="AB1400">
        <v>7.88</v>
      </c>
      <c r="AC1400" t="s">
        <v>1223</v>
      </c>
      <c r="AD1400">
        <v>66.89</v>
      </c>
      <c r="AE1400" t="s">
        <v>745</v>
      </c>
      <c r="AF1400">
        <v>0.23</v>
      </c>
      <c r="AG1400">
        <v>0</v>
      </c>
      <c r="AH1400">
        <v>0</v>
      </c>
      <c r="AI1400" s="4">
        <v>42139</v>
      </c>
    </row>
    <row r="1401" spans="1:35">
      <c r="A1401">
        <v>1400</v>
      </c>
      <c r="B1401" t="str">
        <f>"603515"</f>
        <v>603515</v>
      </c>
      <c r="C1401" t="s">
        <v>7908</v>
      </c>
      <c r="D1401" s="4">
        <v>43190</v>
      </c>
      <c r="E1401" t="s">
        <v>1965</v>
      </c>
      <c r="F1401" t="s">
        <v>7909</v>
      </c>
      <c r="G1401">
        <v>8702</v>
      </c>
      <c r="H1401">
        <v>0.12</v>
      </c>
      <c r="I1401">
        <v>6.45</v>
      </c>
      <c r="J1401">
        <v>1.91</v>
      </c>
      <c r="K1401" t="s">
        <v>141</v>
      </c>
      <c r="L1401">
        <v>23.55</v>
      </c>
      <c r="M1401" t="s">
        <v>7910</v>
      </c>
      <c r="N1401" t="s">
        <v>7911</v>
      </c>
      <c r="O1401" t="s">
        <v>7912</v>
      </c>
      <c r="P1401" t="s">
        <v>7913</v>
      </c>
      <c r="Q1401">
        <v>42.2</v>
      </c>
      <c r="R1401" t="s">
        <v>1101</v>
      </c>
      <c r="S1401">
        <v>3.15</v>
      </c>
      <c r="T1401">
        <v>37.78</v>
      </c>
      <c r="U1401" t="s">
        <v>4228</v>
      </c>
      <c r="V1401" t="s">
        <v>830</v>
      </c>
      <c r="W1401" t="s">
        <v>1223</v>
      </c>
      <c r="X1401">
        <v>1.91</v>
      </c>
      <c r="Y1401" t="s">
        <v>306</v>
      </c>
      <c r="Z1401" t="s">
        <v>223</v>
      </c>
      <c r="AA1401" t="s">
        <v>4490</v>
      </c>
      <c r="AB1401">
        <v>7.44</v>
      </c>
      <c r="AC1401" t="s">
        <v>2725</v>
      </c>
      <c r="AD1401">
        <v>60.43</v>
      </c>
      <c r="AE1401" t="s">
        <v>407</v>
      </c>
      <c r="AF1401">
        <v>1.88</v>
      </c>
      <c r="AG1401">
        <v>0</v>
      </c>
      <c r="AH1401">
        <v>0</v>
      </c>
      <c r="AI1401" s="4">
        <v>42601</v>
      </c>
    </row>
    <row r="1402" spans="1:35">
      <c r="A1402">
        <v>1401</v>
      </c>
      <c r="B1402" t="str">
        <f>"603456"</f>
        <v>603456</v>
      </c>
      <c r="C1402" t="s">
        <v>7914</v>
      </c>
      <c r="D1402" s="4">
        <v>43190</v>
      </c>
      <c r="E1402" t="s">
        <v>353</v>
      </c>
      <c r="F1402" t="s">
        <v>2908</v>
      </c>
      <c r="G1402" t="s">
        <v>1092</v>
      </c>
      <c r="H1402">
        <v>0.06</v>
      </c>
      <c r="I1402">
        <v>3.28</v>
      </c>
      <c r="J1402">
        <v>1.91</v>
      </c>
      <c r="K1402" t="s">
        <v>611</v>
      </c>
      <c r="L1402">
        <v>20.51</v>
      </c>
      <c r="M1402" t="s">
        <v>7915</v>
      </c>
      <c r="N1402" t="s">
        <v>7916</v>
      </c>
      <c r="O1402" t="s">
        <v>7915</v>
      </c>
      <c r="P1402" t="s">
        <v>7917</v>
      </c>
      <c r="Q1402">
        <v>22.25</v>
      </c>
      <c r="R1402" t="s">
        <v>4384</v>
      </c>
      <c r="S1402">
        <v>0.98</v>
      </c>
      <c r="T1402">
        <v>35.74</v>
      </c>
      <c r="U1402" t="s">
        <v>1391</v>
      </c>
      <c r="V1402" t="s">
        <v>847</v>
      </c>
      <c r="W1402" t="s">
        <v>538</v>
      </c>
      <c r="X1402">
        <v>1.91</v>
      </c>
      <c r="Y1402" t="s">
        <v>941</v>
      </c>
      <c r="Z1402" t="s">
        <v>2429</v>
      </c>
      <c r="AA1402" t="s">
        <v>7918</v>
      </c>
      <c r="AB1402">
        <v>2.93</v>
      </c>
      <c r="AC1402" t="s">
        <v>426</v>
      </c>
      <c r="AD1402">
        <v>80.81</v>
      </c>
      <c r="AE1402" t="s">
        <v>101</v>
      </c>
      <c r="AF1402">
        <v>1.1599999999999999</v>
      </c>
      <c r="AG1402">
        <v>0</v>
      </c>
      <c r="AH1402">
        <v>0</v>
      </c>
      <c r="AI1402" s="4">
        <v>41922</v>
      </c>
    </row>
    <row r="1403" spans="1:35">
      <c r="A1403">
        <v>1402</v>
      </c>
      <c r="B1403" t="str">
        <f>"600530"</f>
        <v>600530</v>
      </c>
      <c r="C1403" t="s">
        <v>7919</v>
      </c>
      <c r="D1403" s="4">
        <v>43190</v>
      </c>
      <c r="E1403" t="s">
        <v>1019</v>
      </c>
      <c r="F1403" t="s">
        <v>1019</v>
      </c>
      <c r="G1403" t="s">
        <v>1639</v>
      </c>
      <c r="H1403">
        <v>0.04</v>
      </c>
      <c r="I1403">
        <v>2.06</v>
      </c>
      <c r="J1403">
        <v>1.91</v>
      </c>
      <c r="K1403" t="s">
        <v>7920</v>
      </c>
      <c r="L1403">
        <v>4.21</v>
      </c>
      <c r="M1403" t="s">
        <v>4670</v>
      </c>
      <c r="N1403" t="s">
        <v>7921</v>
      </c>
      <c r="O1403" t="s">
        <v>7922</v>
      </c>
      <c r="P1403" t="s">
        <v>7923</v>
      </c>
      <c r="Q1403">
        <v>-8.07</v>
      </c>
      <c r="R1403" t="s">
        <v>204</v>
      </c>
      <c r="S1403">
        <v>0.46</v>
      </c>
      <c r="T1403">
        <v>56.56</v>
      </c>
      <c r="U1403" t="s">
        <v>876</v>
      </c>
      <c r="V1403" t="s">
        <v>1621</v>
      </c>
      <c r="W1403" t="s">
        <v>7924</v>
      </c>
      <c r="X1403">
        <v>1.91</v>
      </c>
      <c r="Y1403" t="s">
        <v>2915</v>
      </c>
      <c r="Z1403" t="s">
        <v>1797</v>
      </c>
      <c r="AA1403" t="s">
        <v>7925</v>
      </c>
      <c r="AB1403">
        <v>2.65</v>
      </c>
      <c r="AC1403" t="s">
        <v>847</v>
      </c>
      <c r="AD1403">
        <v>76.34</v>
      </c>
      <c r="AE1403" t="s">
        <v>209</v>
      </c>
      <c r="AF1403">
        <v>0.16</v>
      </c>
      <c r="AG1403">
        <v>0</v>
      </c>
      <c r="AH1403">
        <v>0</v>
      </c>
      <c r="AI1403" s="4">
        <v>37074</v>
      </c>
    </row>
    <row r="1404" spans="1:35">
      <c r="A1404">
        <v>1403</v>
      </c>
      <c r="B1404" t="str">
        <f>"300570"</f>
        <v>300570</v>
      </c>
      <c r="C1404" t="s">
        <v>7926</v>
      </c>
      <c r="D1404" s="4">
        <v>43190</v>
      </c>
      <c r="E1404" t="s">
        <v>985</v>
      </c>
      <c r="F1404" t="s">
        <v>7927</v>
      </c>
      <c r="G1404">
        <v>4355</v>
      </c>
      <c r="H1404">
        <v>0.09</v>
      </c>
      <c r="I1404">
        <v>4.9400000000000004</v>
      </c>
      <c r="J1404">
        <v>1.91</v>
      </c>
      <c r="K1404" t="s">
        <v>711</v>
      </c>
      <c r="L1404">
        <v>25.43</v>
      </c>
      <c r="M1404" t="s">
        <v>7928</v>
      </c>
      <c r="N1404" t="s">
        <v>7929</v>
      </c>
      <c r="O1404" t="s">
        <v>6806</v>
      </c>
      <c r="P1404" t="s">
        <v>191</v>
      </c>
      <c r="Q1404">
        <v>1.2</v>
      </c>
      <c r="R1404" t="s">
        <v>344</v>
      </c>
      <c r="S1404">
        <v>1.48</v>
      </c>
      <c r="T1404">
        <v>32.64</v>
      </c>
      <c r="U1404" t="s">
        <v>840</v>
      </c>
      <c r="V1404" t="s">
        <v>919</v>
      </c>
      <c r="W1404" t="s">
        <v>7930</v>
      </c>
      <c r="X1404">
        <v>1.91</v>
      </c>
      <c r="Y1404" t="s">
        <v>2069</v>
      </c>
      <c r="Z1404" t="s">
        <v>3111</v>
      </c>
      <c r="AA1404" t="s">
        <v>7931</v>
      </c>
      <c r="AB1404">
        <v>3.28</v>
      </c>
      <c r="AC1404" t="s">
        <v>354</v>
      </c>
      <c r="AD1404">
        <v>86.47</v>
      </c>
      <c r="AE1404" t="s">
        <v>2255</v>
      </c>
      <c r="AF1404">
        <v>2.23</v>
      </c>
      <c r="AG1404">
        <v>0</v>
      </c>
      <c r="AH1404">
        <v>0</v>
      </c>
      <c r="AI1404" s="4">
        <v>42710</v>
      </c>
    </row>
    <row r="1405" spans="1:35">
      <c r="A1405">
        <v>1404</v>
      </c>
      <c r="B1405" t="str">
        <f>"002406"</f>
        <v>002406</v>
      </c>
      <c r="C1405" t="s">
        <v>7932</v>
      </c>
      <c r="D1405" s="4">
        <v>43190</v>
      </c>
      <c r="E1405" t="s">
        <v>1685</v>
      </c>
      <c r="F1405" t="s">
        <v>104</v>
      </c>
      <c r="G1405">
        <v>7975</v>
      </c>
      <c r="H1405">
        <v>0.08</v>
      </c>
      <c r="I1405">
        <v>4.26</v>
      </c>
      <c r="J1405">
        <v>1.91</v>
      </c>
      <c r="K1405" t="s">
        <v>160</v>
      </c>
      <c r="L1405">
        <v>21.98</v>
      </c>
      <c r="M1405" t="s">
        <v>7933</v>
      </c>
      <c r="N1405">
        <v>0</v>
      </c>
      <c r="O1405" t="s">
        <v>6210</v>
      </c>
      <c r="P1405" t="s">
        <v>7934</v>
      </c>
      <c r="Q1405">
        <v>34.630000000000003</v>
      </c>
      <c r="R1405" t="s">
        <v>2984</v>
      </c>
      <c r="S1405">
        <v>1.43</v>
      </c>
      <c r="T1405">
        <v>30.06</v>
      </c>
      <c r="U1405" t="s">
        <v>450</v>
      </c>
      <c r="V1405" t="s">
        <v>867</v>
      </c>
      <c r="W1405" t="s">
        <v>598</v>
      </c>
      <c r="X1405">
        <v>1.91</v>
      </c>
      <c r="Y1405" t="s">
        <v>2665</v>
      </c>
      <c r="Z1405" t="s">
        <v>2268</v>
      </c>
      <c r="AA1405" t="s">
        <v>7935</v>
      </c>
      <c r="AB1405">
        <v>1.27</v>
      </c>
      <c r="AC1405" t="s">
        <v>440</v>
      </c>
      <c r="AD1405">
        <v>86.3</v>
      </c>
      <c r="AE1405" t="s">
        <v>1917</v>
      </c>
      <c r="AF1405">
        <v>1.59</v>
      </c>
      <c r="AG1405">
        <v>0</v>
      </c>
      <c r="AH1405">
        <v>0</v>
      </c>
      <c r="AI1405" s="4">
        <v>40316</v>
      </c>
    </row>
    <row r="1406" spans="1:35">
      <c r="A1406">
        <v>1405</v>
      </c>
      <c r="B1406" t="str">
        <f>"000778"</f>
        <v>000778</v>
      </c>
      <c r="C1406" t="s">
        <v>7936</v>
      </c>
      <c r="D1406" s="4">
        <v>43190</v>
      </c>
      <c r="E1406" t="s">
        <v>1031</v>
      </c>
      <c r="F1406" t="s">
        <v>1859</v>
      </c>
      <c r="G1406" t="s">
        <v>6102</v>
      </c>
      <c r="H1406">
        <v>0.09</v>
      </c>
      <c r="I1406">
        <v>4.97</v>
      </c>
      <c r="J1406">
        <v>1.91</v>
      </c>
      <c r="K1406" t="s">
        <v>5259</v>
      </c>
      <c r="L1406">
        <v>-21.57</v>
      </c>
      <c r="M1406" t="s">
        <v>3490</v>
      </c>
      <c r="N1406" t="s">
        <v>7937</v>
      </c>
      <c r="O1406" t="s">
        <v>1018</v>
      </c>
      <c r="P1406" t="s">
        <v>2224</v>
      </c>
      <c r="Q1406">
        <v>63.75</v>
      </c>
      <c r="R1406" t="s">
        <v>6920</v>
      </c>
      <c r="S1406">
        <v>1.64</v>
      </c>
      <c r="T1406">
        <v>14.21</v>
      </c>
      <c r="U1406" t="s">
        <v>1147</v>
      </c>
      <c r="V1406" t="s">
        <v>1468</v>
      </c>
      <c r="W1406" t="s">
        <v>1540</v>
      </c>
      <c r="X1406">
        <v>1.91</v>
      </c>
      <c r="Y1406" t="s">
        <v>3407</v>
      </c>
      <c r="Z1406" t="s">
        <v>1193</v>
      </c>
      <c r="AA1406" t="s">
        <v>713</v>
      </c>
      <c r="AB1406">
        <v>0.84</v>
      </c>
      <c r="AC1406" t="s">
        <v>957</v>
      </c>
      <c r="AD1406">
        <v>40.51</v>
      </c>
      <c r="AE1406" t="s">
        <v>4089</v>
      </c>
      <c r="AF1406">
        <v>2.1800000000000002</v>
      </c>
      <c r="AG1406">
        <v>0</v>
      </c>
      <c r="AH1406">
        <v>0</v>
      </c>
      <c r="AI1406" s="4">
        <v>35587</v>
      </c>
    </row>
    <row r="1407" spans="1:35">
      <c r="A1407">
        <v>1406</v>
      </c>
      <c r="B1407" t="str">
        <f>"603709"</f>
        <v>603709</v>
      </c>
      <c r="C1407" t="s">
        <v>7938</v>
      </c>
      <c r="D1407" s="4">
        <v>43190</v>
      </c>
      <c r="E1407" t="s">
        <v>2575</v>
      </c>
      <c r="F1407" t="s">
        <v>2576</v>
      </c>
      <c r="G1407">
        <v>1444</v>
      </c>
      <c r="H1407">
        <v>7.0000000000000007E-2</v>
      </c>
      <c r="I1407">
        <v>6.6</v>
      </c>
      <c r="J1407">
        <v>1.9</v>
      </c>
      <c r="K1407" t="s">
        <v>368</v>
      </c>
      <c r="L1407">
        <v>-3.81</v>
      </c>
      <c r="M1407" t="s">
        <v>7939</v>
      </c>
      <c r="N1407" t="s">
        <v>6907</v>
      </c>
      <c r="O1407" t="s">
        <v>6593</v>
      </c>
      <c r="P1407" t="s">
        <v>4566</v>
      </c>
      <c r="Q1407">
        <v>-45.1</v>
      </c>
      <c r="R1407" t="s">
        <v>7940</v>
      </c>
      <c r="S1407">
        <v>1.1200000000000001</v>
      </c>
      <c r="T1407">
        <v>24.54</v>
      </c>
      <c r="U1407" t="s">
        <v>4000</v>
      </c>
      <c r="V1407" t="s">
        <v>456</v>
      </c>
      <c r="W1407" t="s">
        <v>552</v>
      </c>
      <c r="X1407">
        <v>1.9</v>
      </c>
      <c r="Y1407" t="s">
        <v>2774</v>
      </c>
      <c r="Z1407" t="s">
        <v>2774</v>
      </c>
      <c r="AA1407">
        <v>0</v>
      </c>
      <c r="AB1407">
        <v>4.1900000000000004</v>
      </c>
      <c r="AC1407" t="s">
        <v>769</v>
      </c>
      <c r="AD1407">
        <v>65.930000000000007</v>
      </c>
      <c r="AE1407" t="s">
        <v>143</v>
      </c>
      <c r="AF1407">
        <v>4.28</v>
      </c>
      <c r="AG1407">
        <v>0</v>
      </c>
      <c r="AH1407">
        <v>0</v>
      </c>
      <c r="AI1407" s="4">
        <v>43139</v>
      </c>
    </row>
    <row r="1408" spans="1:35">
      <c r="A1408">
        <v>1407</v>
      </c>
      <c r="B1408" t="str">
        <f>"600318"</f>
        <v>600318</v>
      </c>
      <c r="C1408" t="s">
        <v>7941</v>
      </c>
      <c r="D1408" s="4">
        <v>43190</v>
      </c>
      <c r="E1408" t="s">
        <v>616</v>
      </c>
      <c r="F1408" t="s">
        <v>616</v>
      </c>
      <c r="G1408" t="s">
        <v>1958</v>
      </c>
      <c r="H1408">
        <v>0.04</v>
      </c>
      <c r="I1408">
        <v>1.76</v>
      </c>
      <c r="J1408">
        <v>1.9</v>
      </c>
      <c r="K1408" t="s">
        <v>711</v>
      </c>
      <c r="L1408">
        <v>-13.97</v>
      </c>
      <c r="M1408" t="s">
        <v>7942</v>
      </c>
      <c r="N1408" t="s">
        <v>5250</v>
      </c>
      <c r="O1408" t="s">
        <v>7943</v>
      </c>
      <c r="P1408" t="s">
        <v>4518</v>
      </c>
      <c r="Q1408">
        <v>-9.98</v>
      </c>
      <c r="R1408" t="s">
        <v>507</v>
      </c>
      <c r="S1408">
        <v>0.54</v>
      </c>
      <c r="T1408">
        <v>82.54</v>
      </c>
      <c r="U1408" t="s">
        <v>4158</v>
      </c>
      <c r="V1408" t="s">
        <v>2414</v>
      </c>
      <c r="W1408" t="s">
        <v>7944</v>
      </c>
      <c r="X1408">
        <v>1.9</v>
      </c>
      <c r="Y1408" t="s">
        <v>2513</v>
      </c>
      <c r="Z1408" t="s">
        <v>981</v>
      </c>
      <c r="AA1408" t="s">
        <v>1792</v>
      </c>
      <c r="AB1408">
        <v>6.29</v>
      </c>
      <c r="AC1408" t="s">
        <v>3557</v>
      </c>
      <c r="AD1408">
        <v>13.62</v>
      </c>
      <c r="AE1408" t="s">
        <v>415</v>
      </c>
      <c r="AF1408">
        <v>0.43</v>
      </c>
      <c r="AG1408">
        <v>0</v>
      </c>
      <c r="AH1408">
        <v>0</v>
      </c>
      <c r="AI1408" s="4">
        <v>36868</v>
      </c>
    </row>
    <row r="1409" spans="1:35">
      <c r="A1409">
        <v>1408</v>
      </c>
      <c r="B1409" t="str">
        <f>"300314"</f>
        <v>300314</v>
      </c>
      <c r="C1409" t="s">
        <v>7945</v>
      </c>
      <c r="D1409" s="4">
        <v>43190</v>
      </c>
      <c r="E1409" t="s">
        <v>188</v>
      </c>
      <c r="F1409" t="s">
        <v>905</v>
      </c>
      <c r="G1409">
        <v>7243</v>
      </c>
      <c r="H1409">
        <v>0.05</v>
      </c>
      <c r="I1409">
        <v>2.7</v>
      </c>
      <c r="J1409">
        <v>1.9</v>
      </c>
      <c r="K1409" t="s">
        <v>5896</v>
      </c>
      <c r="L1409">
        <v>-11.29</v>
      </c>
      <c r="M1409" t="s">
        <v>7946</v>
      </c>
      <c r="N1409" t="s">
        <v>7947</v>
      </c>
      <c r="O1409" t="s">
        <v>7948</v>
      </c>
      <c r="P1409" t="s">
        <v>7148</v>
      </c>
      <c r="Q1409">
        <v>-25.82</v>
      </c>
      <c r="R1409" t="s">
        <v>1067</v>
      </c>
      <c r="S1409">
        <v>0.93</v>
      </c>
      <c r="T1409">
        <v>48.88</v>
      </c>
      <c r="U1409" t="s">
        <v>906</v>
      </c>
      <c r="V1409" t="s">
        <v>858</v>
      </c>
      <c r="W1409" t="s">
        <v>1999</v>
      </c>
      <c r="X1409">
        <v>1.9</v>
      </c>
      <c r="Y1409" t="s">
        <v>7949</v>
      </c>
      <c r="Z1409" t="s">
        <v>7950</v>
      </c>
      <c r="AA1409" t="s">
        <v>7951</v>
      </c>
      <c r="AB1409">
        <v>3.56</v>
      </c>
      <c r="AC1409" t="s">
        <v>4599</v>
      </c>
      <c r="AD1409">
        <v>91.73</v>
      </c>
      <c r="AE1409" t="s">
        <v>603</v>
      </c>
      <c r="AF1409">
        <v>0.61</v>
      </c>
      <c r="AG1409">
        <v>0</v>
      </c>
      <c r="AH1409">
        <v>0</v>
      </c>
      <c r="AI1409" s="4">
        <v>41037</v>
      </c>
    </row>
    <row r="1410" spans="1:35">
      <c r="A1410">
        <v>1409</v>
      </c>
      <c r="B1410" t="str">
        <f>"300307"</f>
        <v>300307</v>
      </c>
      <c r="C1410" t="s">
        <v>7952</v>
      </c>
      <c r="D1410" s="4">
        <v>43190</v>
      </c>
      <c r="E1410" t="s">
        <v>4009</v>
      </c>
      <c r="F1410" t="s">
        <v>4599</v>
      </c>
      <c r="G1410" t="s">
        <v>224</v>
      </c>
      <c r="H1410">
        <v>0.1</v>
      </c>
      <c r="I1410">
        <v>4.9400000000000004</v>
      </c>
      <c r="J1410">
        <v>1.9</v>
      </c>
      <c r="K1410" t="s">
        <v>375</v>
      </c>
      <c r="L1410">
        <v>12.06</v>
      </c>
      <c r="M1410" t="s">
        <v>7953</v>
      </c>
      <c r="N1410" t="s">
        <v>7954</v>
      </c>
      <c r="O1410" t="s">
        <v>7955</v>
      </c>
      <c r="P1410" t="s">
        <v>7956</v>
      </c>
      <c r="Q1410">
        <v>11.77</v>
      </c>
      <c r="R1410" t="s">
        <v>192</v>
      </c>
      <c r="S1410">
        <v>1.26</v>
      </c>
      <c r="T1410">
        <v>33.6</v>
      </c>
      <c r="U1410" t="s">
        <v>739</v>
      </c>
      <c r="V1410" t="s">
        <v>2339</v>
      </c>
      <c r="W1410" t="s">
        <v>2781</v>
      </c>
      <c r="X1410">
        <v>1.9</v>
      </c>
      <c r="Y1410" t="s">
        <v>625</v>
      </c>
      <c r="Z1410" t="s">
        <v>4568</v>
      </c>
      <c r="AA1410" t="s">
        <v>798</v>
      </c>
      <c r="AB1410">
        <v>1.17</v>
      </c>
      <c r="AC1410" t="s">
        <v>2452</v>
      </c>
      <c r="AD1410">
        <v>77.25</v>
      </c>
      <c r="AE1410" t="s">
        <v>1752</v>
      </c>
      <c r="AF1410">
        <v>2.4</v>
      </c>
      <c r="AG1410">
        <v>0</v>
      </c>
      <c r="AH1410">
        <v>0</v>
      </c>
      <c r="AI1410" s="4">
        <v>40997</v>
      </c>
    </row>
    <row r="1411" spans="1:35">
      <c r="A1411">
        <v>1410</v>
      </c>
      <c r="B1411" t="str">
        <f>"300255"</f>
        <v>300255</v>
      </c>
      <c r="C1411" t="s">
        <v>7957</v>
      </c>
      <c r="D1411" s="4">
        <v>43190</v>
      </c>
      <c r="E1411" t="s">
        <v>2134</v>
      </c>
      <c r="F1411" t="s">
        <v>4279</v>
      </c>
      <c r="G1411" t="s">
        <v>53</v>
      </c>
      <c r="H1411">
        <v>0.05</v>
      </c>
      <c r="I1411">
        <v>2.58</v>
      </c>
      <c r="J1411">
        <v>1.9</v>
      </c>
      <c r="K1411" t="s">
        <v>593</v>
      </c>
      <c r="L1411">
        <v>28.36</v>
      </c>
      <c r="M1411" t="s">
        <v>7958</v>
      </c>
      <c r="N1411">
        <v>0</v>
      </c>
      <c r="O1411" t="s">
        <v>7959</v>
      </c>
      <c r="P1411" t="s">
        <v>6804</v>
      </c>
      <c r="Q1411">
        <v>5.55</v>
      </c>
      <c r="R1411" t="s">
        <v>7960</v>
      </c>
      <c r="S1411">
        <v>0.93</v>
      </c>
      <c r="T1411">
        <v>71.52</v>
      </c>
      <c r="U1411" t="s">
        <v>4558</v>
      </c>
      <c r="V1411" t="s">
        <v>440</v>
      </c>
      <c r="W1411" t="s">
        <v>1056</v>
      </c>
      <c r="X1411">
        <v>1.9</v>
      </c>
      <c r="Y1411" t="s">
        <v>192</v>
      </c>
      <c r="Z1411" t="s">
        <v>906</v>
      </c>
      <c r="AA1411" t="s">
        <v>342</v>
      </c>
      <c r="AB1411">
        <v>1.99</v>
      </c>
      <c r="AC1411" t="s">
        <v>1213</v>
      </c>
      <c r="AD1411">
        <v>66.099999999999994</v>
      </c>
      <c r="AE1411" t="s">
        <v>3420</v>
      </c>
      <c r="AF1411">
        <v>0.61</v>
      </c>
      <c r="AG1411">
        <v>0</v>
      </c>
      <c r="AH1411">
        <v>0</v>
      </c>
      <c r="AI1411" s="4">
        <v>40774</v>
      </c>
    </row>
    <row r="1412" spans="1:35">
      <c r="A1412">
        <v>1411</v>
      </c>
      <c r="B1412" t="str">
        <f>"300001"</f>
        <v>300001</v>
      </c>
      <c r="C1412" t="s">
        <v>7961</v>
      </c>
      <c r="D1412" s="4">
        <v>43190</v>
      </c>
      <c r="E1412" t="s">
        <v>894</v>
      </c>
      <c r="F1412" t="s">
        <v>125</v>
      </c>
      <c r="G1412" t="s">
        <v>4386</v>
      </c>
      <c r="H1412">
        <v>0.06</v>
      </c>
      <c r="I1412">
        <v>2.99</v>
      </c>
      <c r="J1412">
        <v>1.9</v>
      </c>
      <c r="K1412" t="s">
        <v>625</v>
      </c>
      <c r="L1412">
        <v>26.93</v>
      </c>
      <c r="M1412" t="s">
        <v>6885</v>
      </c>
      <c r="N1412" t="s">
        <v>7962</v>
      </c>
      <c r="O1412" t="s">
        <v>7963</v>
      </c>
      <c r="P1412" t="s">
        <v>7964</v>
      </c>
      <c r="Q1412">
        <v>2.37</v>
      </c>
      <c r="R1412" t="s">
        <v>407</v>
      </c>
      <c r="S1412">
        <v>1</v>
      </c>
      <c r="T1412">
        <v>21.73</v>
      </c>
      <c r="U1412" t="s">
        <v>1745</v>
      </c>
      <c r="V1412" t="s">
        <v>3261</v>
      </c>
      <c r="W1412" t="s">
        <v>141</v>
      </c>
      <c r="X1412">
        <v>1.9</v>
      </c>
      <c r="Y1412" t="s">
        <v>3086</v>
      </c>
      <c r="Z1412" t="s">
        <v>795</v>
      </c>
      <c r="AA1412" t="s">
        <v>602</v>
      </c>
      <c r="AB1412">
        <v>3.85</v>
      </c>
      <c r="AC1412" t="s">
        <v>570</v>
      </c>
      <c r="AD1412">
        <v>24.24</v>
      </c>
      <c r="AE1412" t="s">
        <v>1722</v>
      </c>
      <c r="AF1412">
        <v>0.85</v>
      </c>
      <c r="AG1412">
        <v>0</v>
      </c>
      <c r="AH1412">
        <v>0</v>
      </c>
      <c r="AI1412" s="4">
        <v>40116</v>
      </c>
    </row>
    <row r="1413" spans="1:35">
      <c r="A1413">
        <v>1412</v>
      </c>
      <c r="B1413" t="str">
        <f>"002384"</f>
        <v>002384</v>
      </c>
      <c r="C1413" t="s">
        <v>7965</v>
      </c>
      <c r="D1413" s="4">
        <v>43190</v>
      </c>
      <c r="E1413" t="s">
        <v>295</v>
      </c>
      <c r="F1413" t="s">
        <v>2790</v>
      </c>
      <c r="G1413" t="s">
        <v>7966</v>
      </c>
      <c r="H1413">
        <v>0.14000000000000001</v>
      </c>
      <c r="I1413">
        <v>7.6</v>
      </c>
      <c r="J1413">
        <v>1.9</v>
      </c>
      <c r="K1413" t="s">
        <v>431</v>
      </c>
      <c r="L1413">
        <v>25.27</v>
      </c>
      <c r="M1413" t="s">
        <v>1360</v>
      </c>
      <c r="N1413" t="s">
        <v>7967</v>
      </c>
      <c r="O1413" t="s">
        <v>321</v>
      </c>
      <c r="P1413" t="s">
        <v>2034</v>
      </c>
      <c r="Q1413">
        <v>605.54</v>
      </c>
      <c r="R1413" t="s">
        <v>1084</v>
      </c>
      <c r="S1413">
        <v>0.9</v>
      </c>
      <c r="T1413">
        <v>14.33</v>
      </c>
      <c r="U1413" t="s">
        <v>2804</v>
      </c>
      <c r="V1413" t="s">
        <v>1222</v>
      </c>
      <c r="W1413" t="s">
        <v>2452</v>
      </c>
      <c r="X1413">
        <v>1.9</v>
      </c>
      <c r="Y1413" t="s">
        <v>788</v>
      </c>
      <c r="Z1413" t="s">
        <v>1453</v>
      </c>
      <c r="AA1413" t="s">
        <v>3757</v>
      </c>
      <c r="AB1413">
        <v>2.99</v>
      </c>
      <c r="AC1413" t="s">
        <v>635</v>
      </c>
      <c r="AD1413">
        <v>34.4</v>
      </c>
      <c r="AE1413" t="s">
        <v>3877</v>
      </c>
      <c r="AF1413">
        <v>5.48</v>
      </c>
      <c r="AG1413">
        <v>0</v>
      </c>
      <c r="AH1413">
        <v>0</v>
      </c>
      <c r="AI1413" s="4">
        <v>40277</v>
      </c>
    </row>
    <row r="1414" spans="1:35">
      <c r="A1414">
        <v>1413</v>
      </c>
      <c r="B1414" t="str">
        <f>"000065"</f>
        <v>000065</v>
      </c>
      <c r="C1414" t="s">
        <v>7968</v>
      </c>
      <c r="D1414" s="4">
        <v>43190</v>
      </c>
      <c r="E1414" t="s">
        <v>3570</v>
      </c>
      <c r="F1414" t="s">
        <v>1941</v>
      </c>
      <c r="G1414" t="s">
        <v>2531</v>
      </c>
      <c r="H1414">
        <v>0.09</v>
      </c>
      <c r="I1414">
        <v>4.75</v>
      </c>
      <c r="J1414">
        <v>1.9</v>
      </c>
      <c r="K1414" t="s">
        <v>1693</v>
      </c>
      <c r="L1414">
        <v>-7.97</v>
      </c>
      <c r="M1414" t="s">
        <v>7969</v>
      </c>
      <c r="N1414" t="s">
        <v>7970</v>
      </c>
      <c r="O1414" t="s">
        <v>7971</v>
      </c>
      <c r="P1414" t="s">
        <v>5025</v>
      </c>
      <c r="Q1414">
        <v>0.24</v>
      </c>
      <c r="R1414" t="s">
        <v>389</v>
      </c>
      <c r="S1414">
        <v>2.41</v>
      </c>
      <c r="T1414">
        <v>18.809999999999999</v>
      </c>
      <c r="U1414" t="s">
        <v>404</v>
      </c>
      <c r="V1414" t="s">
        <v>7731</v>
      </c>
      <c r="W1414" t="s">
        <v>922</v>
      </c>
      <c r="X1414">
        <v>1.9</v>
      </c>
      <c r="Y1414" t="s">
        <v>2492</v>
      </c>
      <c r="Z1414" t="s">
        <v>2044</v>
      </c>
      <c r="AA1414" t="s">
        <v>960</v>
      </c>
      <c r="AB1414">
        <v>1.5</v>
      </c>
      <c r="AC1414" t="s">
        <v>1164</v>
      </c>
      <c r="AD1414">
        <v>32.49</v>
      </c>
      <c r="AE1414" t="s">
        <v>192</v>
      </c>
      <c r="AF1414">
        <v>1.19</v>
      </c>
      <c r="AG1414">
        <v>0</v>
      </c>
      <c r="AH1414">
        <v>0</v>
      </c>
      <c r="AI1414" s="4">
        <v>35951</v>
      </c>
    </row>
    <row r="1415" spans="1:35">
      <c r="A1415">
        <v>1414</v>
      </c>
      <c r="B1415" t="str">
        <f>"603937"</f>
        <v>603937</v>
      </c>
      <c r="C1415" t="s">
        <v>7972</v>
      </c>
      <c r="D1415" s="4">
        <v>43190</v>
      </c>
      <c r="E1415" t="s">
        <v>193</v>
      </c>
      <c r="F1415" t="s">
        <v>7314</v>
      </c>
      <c r="G1415">
        <v>1843</v>
      </c>
      <c r="H1415">
        <v>0.11</v>
      </c>
      <c r="I1415">
        <v>5.93</v>
      </c>
      <c r="J1415">
        <v>1.89</v>
      </c>
      <c r="K1415" t="s">
        <v>1732</v>
      </c>
      <c r="L1415">
        <v>17.45</v>
      </c>
      <c r="M1415" t="s">
        <v>5516</v>
      </c>
      <c r="N1415" t="s">
        <v>6597</v>
      </c>
      <c r="O1415" t="s">
        <v>3186</v>
      </c>
      <c r="P1415" t="s">
        <v>5854</v>
      </c>
      <c r="Q1415">
        <v>15.4</v>
      </c>
      <c r="R1415" t="s">
        <v>1476</v>
      </c>
      <c r="S1415">
        <v>2.08</v>
      </c>
      <c r="T1415">
        <v>14.86</v>
      </c>
      <c r="U1415" t="s">
        <v>759</v>
      </c>
      <c r="V1415" t="s">
        <v>840</v>
      </c>
      <c r="W1415" t="s">
        <v>209</v>
      </c>
      <c r="X1415">
        <v>1.89</v>
      </c>
      <c r="Y1415" t="s">
        <v>998</v>
      </c>
      <c r="Z1415" t="s">
        <v>998</v>
      </c>
      <c r="AA1415">
        <v>0</v>
      </c>
      <c r="AB1415">
        <v>3.04</v>
      </c>
      <c r="AC1415" t="s">
        <v>548</v>
      </c>
      <c r="AD1415">
        <v>83.06</v>
      </c>
      <c r="AE1415" t="s">
        <v>1972</v>
      </c>
      <c r="AF1415">
        <v>2.64</v>
      </c>
      <c r="AG1415">
        <v>0</v>
      </c>
      <c r="AH1415">
        <v>0</v>
      </c>
      <c r="AI1415" s="4">
        <v>43041</v>
      </c>
    </row>
    <row r="1416" spans="1:35">
      <c r="A1416">
        <v>1415</v>
      </c>
      <c r="B1416" t="str">
        <f>"603336"</f>
        <v>603336</v>
      </c>
      <c r="C1416" t="s">
        <v>7973</v>
      </c>
      <c r="D1416" s="4">
        <v>43190</v>
      </c>
      <c r="E1416" t="s">
        <v>1855</v>
      </c>
      <c r="F1416" t="s">
        <v>7974</v>
      </c>
      <c r="G1416">
        <v>2507</v>
      </c>
      <c r="H1416">
        <v>0.09</v>
      </c>
      <c r="I1416">
        <v>4.42</v>
      </c>
      <c r="J1416">
        <v>1.89</v>
      </c>
      <c r="K1416" t="s">
        <v>136</v>
      </c>
      <c r="L1416">
        <v>0.87</v>
      </c>
      <c r="M1416" t="s">
        <v>7975</v>
      </c>
      <c r="N1416" t="s">
        <v>7976</v>
      </c>
      <c r="O1416" t="s">
        <v>1640</v>
      </c>
      <c r="P1416" t="s">
        <v>7977</v>
      </c>
      <c r="Q1416">
        <v>-21.69</v>
      </c>
      <c r="R1416" t="s">
        <v>1712</v>
      </c>
      <c r="S1416">
        <v>1.87</v>
      </c>
      <c r="T1416">
        <v>18.11</v>
      </c>
      <c r="U1416" t="s">
        <v>544</v>
      </c>
      <c r="V1416" t="s">
        <v>3250</v>
      </c>
      <c r="W1416" t="s">
        <v>256</v>
      </c>
      <c r="X1416">
        <v>1.89</v>
      </c>
      <c r="Y1416" t="s">
        <v>3360</v>
      </c>
      <c r="Z1416" t="s">
        <v>7978</v>
      </c>
      <c r="AA1416" t="s">
        <v>7979</v>
      </c>
      <c r="AB1416">
        <v>6.38</v>
      </c>
      <c r="AC1416" t="s">
        <v>4599</v>
      </c>
      <c r="AD1416">
        <v>96.5</v>
      </c>
      <c r="AE1416" t="s">
        <v>486</v>
      </c>
      <c r="AF1416">
        <v>1.44</v>
      </c>
      <c r="AG1416">
        <v>0</v>
      </c>
      <c r="AH1416">
        <v>0</v>
      </c>
      <c r="AI1416" s="4">
        <v>42698</v>
      </c>
    </row>
    <row r="1417" spans="1:35">
      <c r="A1417">
        <v>1416</v>
      </c>
      <c r="B1417" t="str">
        <f>"300434"</f>
        <v>300434</v>
      </c>
      <c r="C1417" t="s">
        <v>7980</v>
      </c>
      <c r="D1417" s="4">
        <v>43190</v>
      </c>
      <c r="E1417" t="s">
        <v>1435</v>
      </c>
      <c r="F1417" t="s">
        <v>7981</v>
      </c>
      <c r="G1417">
        <v>4502</v>
      </c>
      <c r="H1417">
        <v>0.22</v>
      </c>
      <c r="I1417">
        <v>11.5</v>
      </c>
      <c r="J1417">
        <v>1.89</v>
      </c>
      <c r="K1417" t="s">
        <v>1049</v>
      </c>
      <c r="L1417">
        <v>745.72</v>
      </c>
      <c r="M1417" t="s">
        <v>7982</v>
      </c>
      <c r="N1417" t="s">
        <v>3019</v>
      </c>
      <c r="O1417" t="s">
        <v>7983</v>
      </c>
      <c r="P1417" t="s">
        <v>4152</v>
      </c>
      <c r="Q1417">
        <v>960.54</v>
      </c>
      <c r="R1417" t="s">
        <v>593</v>
      </c>
      <c r="S1417">
        <v>1.47</v>
      </c>
      <c r="T1417">
        <v>69.25</v>
      </c>
      <c r="U1417" t="s">
        <v>946</v>
      </c>
      <c r="V1417" t="s">
        <v>175</v>
      </c>
      <c r="W1417" t="s">
        <v>1076</v>
      </c>
      <c r="X1417">
        <v>1.89</v>
      </c>
      <c r="Y1417" t="s">
        <v>1806</v>
      </c>
      <c r="Z1417" t="s">
        <v>160</v>
      </c>
      <c r="AA1417" t="s">
        <v>443</v>
      </c>
      <c r="AB1417">
        <v>2.17</v>
      </c>
      <c r="AC1417" t="s">
        <v>710</v>
      </c>
      <c r="AD1417">
        <v>83.4</v>
      </c>
      <c r="AE1417" t="s">
        <v>119</v>
      </c>
      <c r="AF1417">
        <v>8.93</v>
      </c>
      <c r="AG1417">
        <v>0</v>
      </c>
      <c r="AH1417">
        <v>0</v>
      </c>
      <c r="AI1417" s="4">
        <v>42118</v>
      </c>
    </row>
    <row r="1418" spans="1:35">
      <c r="A1418">
        <v>1417</v>
      </c>
      <c r="B1418" t="str">
        <f>"300284"</f>
        <v>300284</v>
      </c>
      <c r="C1418" t="s">
        <v>7984</v>
      </c>
      <c r="D1418" s="4">
        <v>43190</v>
      </c>
      <c r="E1418" t="s">
        <v>767</v>
      </c>
      <c r="F1418" t="s">
        <v>666</v>
      </c>
      <c r="G1418" t="s">
        <v>4495</v>
      </c>
      <c r="H1418">
        <v>0.09</v>
      </c>
      <c r="I1418">
        <v>4.51</v>
      </c>
      <c r="J1418">
        <v>1.89</v>
      </c>
      <c r="K1418" t="s">
        <v>973</v>
      </c>
      <c r="L1418">
        <v>10.94</v>
      </c>
      <c r="M1418" t="s">
        <v>7985</v>
      </c>
      <c r="N1418" t="s">
        <v>7986</v>
      </c>
      <c r="O1418" t="s">
        <v>7987</v>
      </c>
      <c r="P1418" t="s">
        <v>7988</v>
      </c>
      <c r="Q1418">
        <v>25.51</v>
      </c>
      <c r="R1418" t="s">
        <v>76</v>
      </c>
      <c r="S1418">
        <v>1.91</v>
      </c>
      <c r="T1418">
        <v>26.14</v>
      </c>
      <c r="U1418" t="s">
        <v>252</v>
      </c>
      <c r="V1418" t="s">
        <v>2740</v>
      </c>
      <c r="W1418" t="s">
        <v>6052</v>
      </c>
      <c r="X1418">
        <v>1.89</v>
      </c>
      <c r="Y1418" t="s">
        <v>879</v>
      </c>
      <c r="Z1418" t="s">
        <v>2043</v>
      </c>
      <c r="AA1418" t="s">
        <v>538</v>
      </c>
      <c r="AB1418">
        <v>1.85</v>
      </c>
      <c r="AC1418" t="s">
        <v>2989</v>
      </c>
      <c r="AD1418">
        <v>35.86</v>
      </c>
      <c r="AE1418" t="s">
        <v>1384</v>
      </c>
      <c r="AF1418">
        <v>1.46</v>
      </c>
      <c r="AG1418">
        <v>0</v>
      </c>
      <c r="AH1418">
        <v>0</v>
      </c>
      <c r="AI1418" s="4">
        <v>40918</v>
      </c>
    </row>
    <row r="1419" spans="1:35">
      <c r="A1419">
        <v>1418</v>
      </c>
      <c r="B1419" t="str">
        <f>"300052"</f>
        <v>300052</v>
      </c>
      <c r="C1419" t="s">
        <v>7989</v>
      </c>
      <c r="D1419" s="4">
        <v>43190</v>
      </c>
      <c r="E1419" t="s">
        <v>492</v>
      </c>
      <c r="F1419" t="s">
        <v>1049</v>
      </c>
      <c r="G1419">
        <v>6622</v>
      </c>
      <c r="H1419">
        <v>0.06</v>
      </c>
      <c r="I1419">
        <v>2.92</v>
      </c>
      <c r="J1419">
        <v>1.89</v>
      </c>
      <c r="K1419" t="s">
        <v>7990</v>
      </c>
      <c r="L1419">
        <v>-10.97</v>
      </c>
      <c r="M1419" t="s">
        <v>7991</v>
      </c>
      <c r="N1419" t="s">
        <v>7430</v>
      </c>
      <c r="O1419" t="s">
        <v>6256</v>
      </c>
      <c r="P1419" t="s">
        <v>3021</v>
      </c>
      <c r="Q1419">
        <v>143.16</v>
      </c>
      <c r="R1419" t="s">
        <v>642</v>
      </c>
      <c r="S1419">
        <v>0.43</v>
      </c>
      <c r="T1419">
        <v>57.49</v>
      </c>
      <c r="U1419" t="s">
        <v>354</v>
      </c>
      <c r="V1419" t="s">
        <v>771</v>
      </c>
      <c r="W1419" t="s">
        <v>209</v>
      </c>
      <c r="X1419">
        <v>1.89</v>
      </c>
      <c r="Y1419" t="s">
        <v>2041</v>
      </c>
      <c r="Z1419" t="s">
        <v>121</v>
      </c>
      <c r="AA1419" t="s">
        <v>5903</v>
      </c>
      <c r="AB1419">
        <v>3.64</v>
      </c>
      <c r="AC1419" t="s">
        <v>2693</v>
      </c>
      <c r="AD1419">
        <v>67.12</v>
      </c>
      <c r="AE1419" t="s">
        <v>1967</v>
      </c>
      <c r="AF1419">
        <v>1.28</v>
      </c>
      <c r="AG1419">
        <v>0</v>
      </c>
      <c r="AH1419">
        <v>0</v>
      </c>
      <c r="AI1419" s="4">
        <v>40220</v>
      </c>
    </row>
    <row r="1420" spans="1:35">
      <c r="A1420">
        <v>1419</v>
      </c>
      <c r="B1420" t="str">
        <f>"002303"</f>
        <v>002303</v>
      </c>
      <c r="C1420" t="s">
        <v>7992</v>
      </c>
      <c r="D1420" s="4">
        <v>43190</v>
      </c>
      <c r="E1420" t="s">
        <v>833</v>
      </c>
      <c r="F1420" t="s">
        <v>833</v>
      </c>
      <c r="G1420" t="s">
        <v>2097</v>
      </c>
      <c r="H1420">
        <v>0.05</v>
      </c>
      <c r="I1420">
        <v>2.73</v>
      </c>
      <c r="J1420">
        <v>1.89</v>
      </c>
      <c r="K1420" t="s">
        <v>116</v>
      </c>
      <c r="L1420">
        <v>22.56</v>
      </c>
      <c r="M1420" t="s">
        <v>5418</v>
      </c>
      <c r="N1420">
        <v>0</v>
      </c>
      <c r="O1420" t="s">
        <v>7993</v>
      </c>
      <c r="P1420" t="s">
        <v>7994</v>
      </c>
      <c r="Q1420">
        <v>56.74</v>
      </c>
      <c r="R1420" t="s">
        <v>624</v>
      </c>
      <c r="S1420">
        <v>0.77</v>
      </c>
      <c r="T1420">
        <v>37.24</v>
      </c>
      <c r="U1420" t="s">
        <v>2390</v>
      </c>
      <c r="V1420" t="s">
        <v>948</v>
      </c>
      <c r="W1420" t="s">
        <v>648</v>
      </c>
      <c r="X1420">
        <v>1.89</v>
      </c>
      <c r="Y1420" t="s">
        <v>584</v>
      </c>
      <c r="Z1420" t="s">
        <v>1214</v>
      </c>
      <c r="AA1420" t="s">
        <v>355</v>
      </c>
      <c r="AB1420">
        <v>1.91</v>
      </c>
      <c r="AC1420" t="s">
        <v>738</v>
      </c>
      <c r="AD1420">
        <v>73.599999999999994</v>
      </c>
      <c r="AE1420" t="s">
        <v>101</v>
      </c>
      <c r="AF1420">
        <v>0.84</v>
      </c>
      <c r="AG1420">
        <v>0</v>
      </c>
      <c r="AH1420">
        <v>0</v>
      </c>
      <c r="AI1420" s="4">
        <v>40120</v>
      </c>
    </row>
    <row r="1421" spans="1:35">
      <c r="A1421">
        <v>1420</v>
      </c>
      <c r="B1421" t="str">
        <f>"000875"</f>
        <v>000875</v>
      </c>
      <c r="C1421" t="s">
        <v>7995</v>
      </c>
      <c r="D1421" s="4">
        <v>43190</v>
      </c>
      <c r="E1421" t="s">
        <v>449</v>
      </c>
      <c r="F1421" t="s">
        <v>275</v>
      </c>
      <c r="G1421" t="s">
        <v>2645</v>
      </c>
      <c r="H1421">
        <v>7.0000000000000007E-2</v>
      </c>
      <c r="I1421">
        <v>3.48</v>
      </c>
      <c r="J1421">
        <v>1.89</v>
      </c>
      <c r="K1421" t="s">
        <v>1255</v>
      </c>
      <c r="L1421">
        <v>39.130000000000003</v>
      </c>
      <c r="M1421" t="s">
        <v>2069</v>
      </c>
      <c r="N1421" t="s">
        <v>4580</v>
      </c>
      <c r="O1421" t="s">
        <v>1597</v>
      </c>
      <c r="P1421" t="s">
        <v>1974</v>
      </c>
      <c r="Q1421">
        <v>103.3</v>
      </c>
      <c r="R1421" t="s">
        <v>7996</v>
      </c>
      <c r="S1421">
        <v>-0.24</v>
      </c>
      <c r="T1421">
        <v>22.28</v>
      </c>
      <c r="U1421" t="s">
        <v>4699</v>
      </c>
      <c r="V1421" t="s">
        <v>3422</v>
      </c>
      <c r="W1421" t="s">
        <v>1739</v>
      </c>
      <c r="X1421">
        <v>1.89</v>
      </c>
      <c r="Y1421" t="s">
        <v>439</v>
      </c>
      <c r="Z1421" t="s">
        <v>929</v>
      </c>
      <c r="AA1421" t="s">
        <v>410</v>
      </c>
      <c r="AB1421">
        <v>0.79</v>
      </c>
      <c r="AC1421" t="s">
        <v>1986</v>
      </c>
      <c r="AD1421">
        <v>21.07</v>
      </c>
      <c r="AE1421" t="s">
        <v>1599</v>
      </c>
      <c r="AF1421">
        <v>2.67</v>
      </c>
      <c r="AG1421">
        <v>0</v>
      </c>
      <c r="AH1421">
        <v>0</v>
      </c>
      <c r="AI1421" s="4">
        <v>37525</v>
      </c>
    </row>
    <row r="1422" spans="1:35">
      <c r="A1422">
        <v>1421</v>
      </c>
      <c r="B1422" t="str">
        <f>"603339"</f>
        <v>603339</v>
      </c>
      <c r="C1422" t="s">
        <v>7997</v>
      </c>
      <c r="D1422" s="4">
        <v>43190</v>
      </c>
      <c r="E1422" t="s">
        <v>862</v>
      </c>
      <c r="F1422" t="s">
        <v>7998</v>
      </c>
      <c r="G1422">
        <v>2465</v>
      </c>
      <c r="H1422">
        <v>0.13</v>
      </c>
      <c r="I1422">
        <v>7.09</v>
      </c>
      <c r="J1422">
        <v>1.88</v>
      </c>
      <c r="K1422" t="s">
        <v>916</v>
      </c>
      <c r="L1422">
        <v>14.69</v>
      </c>
      <c r="M1422" t="s">
        <v>7999</v>
      </c>
      <c r="N1422" t="s">
        <v>7582</v>
      </c>
      <c r="O1422" t="s">
        <v>8000</v>
      </c>
      <c r="P1422" t="s">
        <v>8001</v>
      </c>
      <c r="Q1422">
        <v>-29.66</v>
      </c>
      <c r="R1422" t="s">
        <v>175</v>
      </c>
      <c r="S1422">
        <v>3.51</v>
      </c>
      <c r="T1422">
        <v>30.52</v>
      </c>
      <c r="U1422" t="s">
        <v>1455</v>
      </c>
      <c r="V1422" t="s">
        <v>1307</v>
      </c>
      <c r="W1422" t="s">
        <v>1349</v>
      </c>
      <c r="X1422">
        <v>1.88</v>
      </c>
      <c r="Y1422" t="s">
        <v>1964</v>
      </c>
      <c r="Z1422" t="s">
        <v>167</v>
      </c>
      <c r="AA1422" t="s">
        <v>61</v>
      </c>
      <c r="AB1422">
        <v>2.76</v>
      </c>
      <c r="AC1422" t="s">
        <v>855</v>
      </c>
      <c r="AD1422">
        <v>82.5</v>
      </c>
      <c r="AE1422" t="s">
        <v>3420</v>
      </c>
      <c r="AF1422">
        <v>2.69</v>
      </c>
      <c r="AG1422">
        <v>0</v>
      </c>
      <c r="AH1422">
        <v>0</v>
      </c>
      <c r="AI1422" s="4">
        <v>42509</v>
      </c>
    </row>
    <row r="1423" spans="1:35">
      <c r="A1423">
        <v>1422</v>
      </c>
      <c r="B1423" t="str">
        <f>"600350"</f>
        <v>600350</v>
      </c>
      <c r="C1423" t="s">
        <v>8002</v>
      </c>
      <c r="D1423" s="4">
        <v>43190</v>
      </c>
      <c r="E1423" t="s">
        <v>5794</v>
      </c>
      <c r="F1423" t="s">
        <v>5794</v>
      </c>
      <c r="G1423" t="s">
        <v>8003</v>
      </c>
      <c r="H1423">
        <v>0.1</v>
      </c>
      <c r="I1423">
        <v>5.46</v>
      </c>
      <c r="J1423">
        <v>1.88</v>
      </c>
      <c r="K1423" t="s">
        <v>973</v>
      </c>
      <c r="L1423">
        <v>-27.94</v>
      </c>
      <c r="M1423" t="s">
        <v>1216</v>
      </c>
      <c r="N1423" t="s">
        <v>8004</v>
      </c>
      <c r="O1423" t="s">
        <v>3900</v>
      </c>
      <c r="P1423" t="s">
        <v>1128</v>
      </c>
      <c r="Q1423">
        <v>-12.17</v>
      </c>
      <c r="R1423" t="s">
        <v>1741</v>
      </c>
      <c r="S1423">
        <v>2.93</v>
      </c>
      <c r="T1423">
        <v>58.9</v>
      </c>
      <c r="U1423" t="s">
        <v>5041</v>
      </c>
      <c r="V1423" t="s">
        <v>232</v>
      </c>
      <c r="W1423" t="s">
        <v>742</v>
      </c>
      <c r="X1423">
        <v>1.88</v>
      </c>
      <c r="Y1423" t="s">
        <v>3242</v>
      </c>
      <c r="Z1423" t="s">
        <v>8005</v>
      </c>
      <c r="AA1423" t="s">
        <v>1750</v>
      </c>
      <c r="AB1423">
        <v>0.74</v>
      </c>
      <c r="AC1423" t="s">
        <v>8006</v>
      </c>
      <c r="AD1423">
        <v>52.54</v>
      </c>
      <c r="AE1423" t="s">
        <v>1738</v>
      </c>
      <c r="AF1423">
        <v>0.96</v>
      </c>
      <c r="AG1423">
        <v>0</v>
      </c>
      <c r="AH1423">
        <v>0</v>
      </c>
      <c r="AI1423" s="4">
        <v>37333</v>
      </c>
    </row>
    <row r="1424" spans="1:35">
      <c r="A1424">
        <v>1423</v>
      </c>
      <c r="B1424" t="str">
        <f>"600066"</f>
        <v>600066</v>
      </c>
      <c r="C1424" t="s">
        <v>8007</v>
      </c>
      <c r="D1424" s="4">
        <v>43190</v>
      </c>
      <c r="E1424" t="s">
        <v>1390</v>
      </c>
      <c r="F1424" t="s">
        <v>1390</v>
      </c>
      <c r="G1424" t="s">
        <v>2712</v>
      </c>
      <c r="H1424">
        <v>0.13</v>
      </c>
      <c r="I1424">
        <v>6.68</v>
      </c>
      <c r="J1424">
        <v>1.88</v>
      </c>
      <c r="K1424" t="s">
        <v>1231</v>
      </c>
      <c r="L1424">
        <v>20.440000000000001</v>
      </c>
      <c r="M1424" t="s">
        <v>5614</v>
      </c>
      <c r="N1424" t="s">
        <v>2845</v>
      </c>
      <c r="O1424" t="s">
        <v>1324</v>
      </c>
      <c r="P1424" t="s">
        <v>535</v>
      </c>
      <c r="Q1424">
        <v>-6.81</v>
      </c>
      <c r="R1424" t="s">
        <v>3381</v>
      </c>
      <c r="S1424">
        <v>4.08</v>
      </c>
      <c r="T1424">
        <v>22.69</v>
      </c>
      <c r="U1424" t="s">
        <v>436</v>
      </c>
      <c r="V1424" t="s">
        <v>4461</v>
      </c>
      <c r="W1424" t="s">
        <v>3122</v>
      </c>
      <c r="X1424">
        <v>1.88</v>
      </c>
      <c r="Y1424" t="s">
        <v>838</v>
      </c>
      <c r="Z1424" t="s">
        <v>2050</v>
      </c>
      <c r="AA1424" t="s">
        <v>570</v>
      </c>
      <c r="AB1424">
        <v>3.15</v>
      </c>
      <c r="AC1424" t="s">
        <v>310</v>
      </c>
      <c r="AD1424">
        <v>44.39</v>
      </c>
      <c r="AE1424" t="s">
        <v>926</v>
      </c>
      <c r="AF1424">
        <v>0.57999999999999996</v>
      </c>
      <c r="AG1424">
        <v>0</v>
      </c>
      <c r="AH1424">
        <v>0</v>
      </c>
      <c r="AI1424" s="4">
        <v>35558</v>
      </c>
    </row>
    <row r="1425" spans="1:35">
      <c r="A1425">
        <v>1424</v>
      </c>
      <c r="B1425" t="str">
        <f>"600054"</f>
        <v>600054</v>
      </c>
      <c r="C1425" t="s">
        <v>8008</v>
      </c>
      <c r="D1425" s="4">
        <v>43190</v>
      </c>
      <c r="E1425" t="s">
        <v>3632</v>
      </c>
      <c r="F1425" t="s">
        <v>647</v>
      </c>
      <c r="G1425">
        <v>0</v>
      </c>
      <c r="H1425">
        <v>0.1</v>
      </c>
      <c r="I1425">
        <v>5.57</v>
      </c>
      <c r="J1425">
        <v>1.88</v>
      </c>
      <c r="K1425" t="s">
        <v>203</v>
      </c>
      <c r="L1425">
        <v>-9.7899999999999991</v>
      </c>
      <c r="M1425" t="s">
        <v>355</v>
      </c>
      <c r="N1425" t="s">
        <v>8009</v>
      </c>
      <c r="O1425" t="s">
        <v>355</v>
      </c>
      <c r="P1425" t="s">
        <v>4582</v>
      </c>
      <c r="Q1425">
        <v>66.819999999999993</v>
      </c>
      <c r="R1425" t="s">
        <v>449</v>
      </c>
      <c r="S1425">
        <v>2.88</v>
      </c>
      <c r="T1425">
        <v>43.09</v>
      </c>
      <c r="U1425" t="s">
        <v>811</v>
      </c>
      <c r="V1425" t="s">
        <v>119</v>
      </c>
      <c r="W1425" t="s">
        <v>298</v>
      </c>
      <c r="X1425">
        <v>1.88</v>
      </c>
      <c r="Y1425" t="s">
        <v>735</v>
      </c>
      <c r="Z1425" t="s">
        <v>2185</v>
      </c>
      <c r="AA1425" t="s">
        <v>863</v>
      </c>
      <c r="AB1425">
        <v>2.08</v>
      </c>
      <c r="AC1425" t="s">
        <v>2642</v>
      </c>
      <c r="AD1425">
        <v>88.66</v>
      </c>
      <c r="AE1425" t="s">
        <v>1346</v>
      </c>
      <c r="AF1425">
        <v>0.67</v>
      </c>
      <c r="AG1425" t="s">
        <v>470</v>
      </c>
      <c r="AH1425">
        <v>0</v>
      </c>
      <c r="AI1425" s="4">
        <v>35556</v>
      </c>
    </row>
    <row r="1426" spans="1:35">
      <c r="A1426">
        <v>1425</v>
      </c>
      <c r="B1426" t="str">
        <f>"300503"</f>
        <v>300503</v>
      </c>
      <c r="C1426" t="s">
        <v>8010</v>
      </c>
      <c r="D1426" s="4">
        <v>43190</v>
      </c>
      <c r="E1426" t="s">
        <v>1180</v>
      </c>
      <c r="F1426" t="s">
        <v>197</v>
      </c>
      <c r="G1426">
        <v>6579</v>
      </c>
      <c r="H1426">
        <v>0.05</v>
      </c>
      <c r="I1426">
        <v>3.05</v>
      </c>
      <c r="J1426">
        <v>1.88</v>
      </c>
      <c r="K1426" t="s">
        <v>8011</v>
      </c>
      <c r="L1426">
        <v>36.130000000000003</v>
      </c>
      <c r="M1426" t="s">
        <v>8012</v>
      </c>
      <c r="N1426">
        <v>0</v>
      </c>
      <c r="O1426" t="s">
        <v>7134</v>
      </c>
      <c r="P1426" t="s">
        <v>8013</v>
      </c>
      <c r="Q1426">
        <v>4.7</v>
      </c>
      <c r="R1426" t="s">
        <v>1074</v>
      </c>
      <c r="S1426">
        <v>1.35</v>
      </c>
      <c r="T1426">
        <v>45.63</v>
      </c>
      <c r="U1426" t="s">
        <v>1033</v>
      </c>
      <c r="V1426" t="s">
        <v>2010</v>
      </c>
      <c r="W1426" t="s">
        <v>1609</v>
      </c>
      <c r="X1426">
        <v>1.88</v>
      </c>
      <c r="Y1426" t="s">
        <v>1939</v>
      </c>
      <c r="Z1426" t="s">
        <v>217</v>
      </c>
      <c r="AA1426" t="s">
        <v>993</v>
      </c>
      <c r="AB1426">
        <v>3.8</v>
      </c>
      <c r="AC1426" t="s">
        <v>6262</v>
      </c>
      <c r="AD1426">
        <v>64.69</v>
      </c>
      <c r="AE1426" t="s">
        <v>368</v>
      </c>
      <c r="AF1426">
        <v>0.67</v>
      </c>
      <c r="AG1426">
        <v>0</v>
      </c>
      <c r="AH1426">
        <v>0</v>
      </c>
      <c r="AI1426" s="4">
        <v>42438</v>
      </c>
    </row>
    <row r="1427" spans="1:35">
      <c r="A1427">
        <v>1426</v>
      </c>
      <c r="B1427" t="str">
        <f>"300230"</f>
        <v>300230</v>
      </c>
      <c r="C1427" t="s">
        <v>8014</v>
      </c>
      <c r="D1427" s="4">
        <v>43190</v>
      </c>
      <c r="E1427" t="s">
        <v>1477</v>
      </c>
      <c r="F1427" t="s">
        <v>2036</v>
      </c>
      <c r="G1427" t="s">
        <v>4389</v>
      </c>
      <c r="H1427">
        <v>0.06</v>
      </c>
      <c r="I1427">
        <v>3.28</v>
      </c>
      <c r="J1427">
        <v>1.88</v>
      </c>
      <c r="K1427" t="s">
        <v>475</v>
      </c>
      <c r="L1427">
        <v>6.58</v>
      </c>
      <c r="M1427" t="s">
        <v>8015</v>
      </c>
      <c r="N1427">
        <v>7208</v>
      </c>
      <c r="O1427" t="s">
        <v>8016</v>
      </c>
      <c r="P1427" t="s">
        <v>8017</v>
      </c>
      <c r="Q1427">
        <v>-27.76</v>
      </c>
      <c r="R1427" t="s">
        <v>2853</v>
      </c>
      <c r="S1427">
        <v>0.79</v>
      </c>
      <c r="T1427">
        <v>29.41</v>
      </c>
      <c r="U1427" t="s">
        <v>1291</v>
      </c>
      <c r="V1427" t="s">
        <v>440</v>
      </c>
      <c r="W1427" t="s">
        <v>1121</v>
      </c>
      <c r="X1427">
        <v>1.88</v>
      </c>
      <c r="Y1427" t="s">
        <v>263</v>
      </c>
      <c r="Z1427" t="s">
        <v>176</v>
      </c>
      <c r="AA1427" t="s">
        <v>4757</v>
      </c>
      <c r="AB1427">
        <v>1.55</v>
      </c>
      <c r="AC1427" t="s">
        <v>426</v>
      </c>
      <c r="AD1427">
        <v>63.95</v>
      </c>
      <c r="AE1427" t="s">
        <v>847</v>
      </c>
      <c r="AF1427">
        <v>1.51</v>
      </c>
      <c r="AG1427">
        <v>0</v>
      </c>
      <c r="AH1427">
        <v>0</v>
      </c>
      <c r="AI1427" s="4">
        <v>40709</v>
      </c>
    </row>
    <row r="1428" spans="1:35">
      <c r="A1428">
        <v>1427</v>
      </c>
      <c r="B1428" t="str">
        <f>"002776"</f>
        <v>002776</v>
      </c>
      <c r="C1428" t="s">
        <v>8018</v>
      </c>
      <c r="D1428" s="4">
        <v>43190</v>
      </c>
      <c r="E1428" t="s">
        <v>94</v>
      </c>
      <c r="F1428" t="s">
        <v>198</v>
      </c>
      <c r="G1428" t="s">
        <v>2645</v>
      </c>
      <c r="H1428">
        <v>0.17</v>
      </c>
      <c r="I1428">
        <v>9.25</v>
      </c>
      <c r="J1428">
        <v>1.88</v>
      </c>
      <c r="K1428" t="s">
        <v>1210</v>
      </c>
      <c r="L1428">
        <v>0.09</v>
      </c>
      <c r="M1428" t="s">
        <v>8019</v>
      </c>
      <c r="N1428" t="s">
        <v>8020</v>
      </c>
      <c r="O1428" t="s">
        <v>8021</v>
      </c>
      <c r="P1428" t="s">
        <v>8022</v>
      </c>
      <c r="Q1428">
        <v>0.8</v>
      </c>
      <c r="R1428" t="s">
        <v>4962</v>
      </c>
      <c r="S1428">
        <v>1.85</v>
      </c>
      <c r="T1428">
        <v>31.39</v>
      </c>
      <c r="U1428" t="s">
        <v>502</v>
      </c>
      <c r="V1428" t="s">
        <v>389</v>
      </c>
      <c r="W1428" t="s">
        <v>505</v>
      </c>
      <c r="X1428">
        <v>1.88</v>
      </c>
      <c r="Y1428" t="s">
        <v>3420</v>
      </c>
      <c r="Z1428" t="s">
        <v>68</v>
      </c>
      <c r="AA1428" t="s">
        <v>3080</v>
      </c>
      <c r="AB1428">
        <v>1.76</v>
      </c>
      <c r="AC1428" t="s">
        <v>728</v>
      </c>
      <c r="AD1428">
        <v>79.69</v>
      </c>
      <c r="AE1428" t="s">
        <v>584</v>
      </c>
      <c r="AF1428">
        <v>6.07</v>
      </c>
      <c r="AG1428">
        <v>0</v>
      </c>
      <c r="AH1428">
        <v>0</v>
      </c>
      <c r="AI1428" s="4">
        <v>42181</v>
      </c>
    </row>
    <row r="1429" spans="1:35">
      <c r="A1429">
        <v>1428</v>
      </c>
      <c r="B1429" t="str">
        <f>"002137"</f>
        <v>002137</v>
      </c>
      <c r="C1429" t="s">
        <v>8023</v>
      </c>
      <c r="D1429" s="4">
        <v>43190</v>
      </c>
      <c r="E1429" t="s">
        <v>2571</v>
      </c>
      <c r="F1429" t="s">
        <v>1067</v>
      </c>
      <c r="G1429">
        <v>4878</v>
      </c>
      <c r="H1429">
        <v>0.06</v>
      </c>
      <c r="I1429">
        <v>2.99</v>
      </c>
      <c r="J1429">
        <v>1.88</v>
      </c>
      <c r="K1429" t="s">
        <v>726</v>
      </c>
      <c r="L1429">
        <v>39.76</v>
      </c>
      <c r="M1429" t="s">
        <v>8024</v>
      </c>
      <c r="N1429" t="s">
        <v>1844</v>
      </c>
      <c r="O1429" t="s">
        <v>8024</v>
      </c>
      <c r="P1429" t="s">
        <v>8025</v>
      </c>
      <c r="Q1429">
        <v>97.09</v>
      </c>
      <c r="R1429" t="s">
        <v>255</v>
      </c>
      <c r="S1429">
        <v>0.33</v>
      </c>
      <c r="T1429">
        <v>16.93</v>
      </c>
      <c r="U1429" t="s">
        <v>876</v>
      </c>
      <c r="V1429" t="s">
        <v>613</v>
      </c>
      <c r="W1429" t="s">
        <v>1475</v>
      </c>
      <c r="X1429">
        <v>1.88</v>
      </c>
      <c r="Y1429" t="s">
        <v>1967</v>
      </c>
      <c r="Z1429" t="s">
        <v>977</v>
      </c>
      <c r="AA1429" t="s">
        <v>8026</v>
      </c>
      <c r="AB1429">
        <v>2.89</v>
      </c>
      <c r="AC1429" t="s">
        <v>79</v>
      </c>
      <c r="AD1429">
        <v>82.53</v>
      </c>
      <c r="AE1429" t="s">
        <v>2678</v>
      </c>
      <c r="AF1429">
        <v>1.66</v>
      </c>
      <c r="AG1429">
        <v>0</v>
      </c>
      <c r="AH1429">
        <v>0</v>
      </c>
      <c r="AI1429" s="4">
        <v>39246</v>
      </c>
    </row>
    <row r="1430" spans="1:35">
      <c r="A1430">
        <v>1429</v>
      </c>
      <c r="B1430" t="str">
        <f>"000959"</f>
        <v>000959</v>
      </c>
      <c r="C1430" t="s">
        <v>8027</v>
      </c>
      <c r="D1430" s="4">
        <v>43190</v>
      </c>
      <c r="E1430" t="s">
        <v>4159</v>
      </c>
      <c r="F1430" t="s">
        <v>1350</v>
      </c>
      <c r="G1430" t="s">
        <v>3965</v>
      </c>
      <c r="H1430">
        <v>0.1</v>
      </c>
      <c r="I1430">
        <v>5.13</v>
      </c>
      <c r="J1430">
        <v>1.88</v>
      </c>
      <c r="K1430" t="s">
        <v>2654</v>
      </c>
      <c r="L1430">
        <v>-3.51</v>
      </c>
      <c r="M1430" t="s">
        <v>380</v>
      </c>
      <c r="N1430" t="s">
        <v>8028</v>
      </c>
      <c r="O1430" t="s">
        <v>2089</v>
      </c>
      <c r="P1430" t="s">
        <v>1128</v>
      </c>
      <c r="Q1430">
        <v>1.6</v>
      </c>
      <c r="R1430" t="s">
        <v>8029</v>
      </c>
      <c r="S1430">
        <v>-0.95</v>
      </c>
      <c r="T1430">
        <v>13.37</v>
      </c>
      <c r="U1430" t="s">
        <v>8030</v>
      </c>
      <c r="V1430" t="s">
        <v>2799</v>
      </c>
      <c r="W1430" t="s">
        <v>8031</v>
      </c>
      <c r="X1430">
        <v>1.88</v>
      </c>
      <c r="Y1430" t="s">
        <v>8032</v>
      </c>
      <c r="Z1430" t="s">
        <v>8033</v>
      </c>
      <c r="AA1430" t="s">
        <v>8034</v>
      </c>
      <c r="AB1430">
        <v>0.77</v>
      </c>
      <c r="AC1430" t="s">
        <v>8006</v>
      </c>
      <c r="AD1430">
        <v>19.95</v>
      </c>
      <c r="AE1430" t="s">
        <v>1221</v>
      </c>
      <c r="AF1430">
        <v>3.8</v>
      </c>
      <c r="AG1430">
        <v>0</v>
      </c>
      <c r="AH1430">
        <v>0</v>
      </c>
      <c r="AI1430" s="4">
        <v>36510</v>
      </c>
    </row>
    <row r="1431" spans="1:35">
      <c r="A1431">
        <v>1430</v>
      </c>
      <c r="B1431" t="str">
        <f>"603060"</f>
        <v>603060</v>
      </c>
      <c r="C1431" t="s">
        <v>8035</v>
      </c>
      <c r="D1431" s="4">
        <v>43190</v>
      </c>
      <c r="E1431" t="s">
        <v>1004</v>
      </c>
      <c r="F1431" t="s">
        <v>8036</v>
      </c>
      <c r="G1431">
        <v>2828</v>
      </c>
      <c r="H1431">
        <v>0.09</v>
      </c>
      <c r="I1431">
        <v>4.54</v>
      </c>
      <c r="J1431">
        <v>1.87</v>
      </c>
      <c r="K1431" t="s">
        <v>1457</v>
      </c>
      <c r="L1431">
        <v>12.14</v>
      </c>
      <c r="M1431" t="s">
        <v>8037</v>
      </c>
      <c r="N1431" t="s">
        <v>5529</v>
      </c>
      <c r="O1431" t="s">
        <v>5853</v>
      </c>
      <c r="P1431" t="s">
        <v>8038</v>
      </c>
      <c r="Q1431">
        <v>24.07</v>
      </c>
      <c r="R1431" t="s">
        <v>2661</v>
      </c>
      <c r="S1431">
        <v>1.3</v>
      </c>
      <c r="T1431">
        <v>37.18</v>
      </c>
      <c r="U1431" t="s">
        <v>1214</v>
      </c>
      <c r="V1431" t="s">
        <v>1903</v>
      </c>
      <c r="W1431" t="s">
        <v>2661</v>
      </c>
      <c r="X1431">
        <v>1.87</v>
      </c>
      <c r="Y1431" t="s">
        <v>3674</v>
      </c>
      <c r="Z1431" t="s">
        <v>2769</v>
      </c>
      <c r="AA1431" t="s">
        <v>1807</v>
      </c>
      <c r="AB1431">
        <v>3.73</v>
      </c>
      <c r="AC1431" t="s">
        <v>919</v>
      </c>
      <c r="AD1431">
        <v>77.260000000000005</v>
      </c>
      <c r="AE1431" t="s">
        <v>3044</v>
      </c>
      <c r="AF1431">
        <v>1.99</v>
      </c>
      <c r="AG1431">
        <v>0</v>
      </c>
      <c r="AH1431">
        <v>0</v>
      </c>
      <c r="AI1431" s="4">
        <v>42683</v>
      </c>
    </row>
    <row r="1432" spans="1:35">
      <c r="A1432">
        <v>1431</v>
      </c>
      <c r="B1432" t="str">
        <f>"600234"</f>
        <v>600234</v>
      </c>
      <c r="C1432" t="s">
        <v>8039</v>
      </c>
      <c r="D1432" s="4">
        <v>43190</v>
      </c>
      <c r="E1432" t="s">
        <v>1853</v>
      </c>
      <c r="F1432" t="s">
        <v>1853</v>
      </c>
      <c r="G1432" t="s">
        <v>3215</v>
      </c>
      <c r="H1432">
        <v>0.01</v>
      </c>
      <c r="I1432">
        <v>0.36</v>
      </c>
      <c r="J1432">
        <v>1.87</v>
      </c>
      <c r="K1432" t="s">
        <v>8040</v>
      </c>
      <c r="L1432">
        <v>850.14</v>
      </c>
      <c r="M1432" t="s">
        <v>8041</v>
      </c>
      <c r="N1432">
        <v>0</v>
      </c>
      <c r="O1432" t="s">
        <v>2485</v>
      </c>
      <c r="P1432" t="s">
        <v>5049</v>
      </c>
      <c r="Q1432">
        <v>123.84</v>
      </c>
      <c r="R1432" t="s">
        <v>8042</v>
      </c>
      <c r="S1432">
        <v>-2.33</v>
      </c>
      <c r="T1432">
        <v>38.29</v>
      </c>
      <c r="U1432" t="s">
        <v>769</v>
      </c>
      <c r="V1432" t="s">
        <v>8043</v>
      </c>
      <c r="W1432" t="s">
        <v>5577</v>
      </c>
      <c r="X1432">
        <v>1.87</v>
      </c>
      <c r="Y1432" t="s">
        <v>346</v>
      </c>
      <c r="Z1432" t="s">
        <v>301</v>
      </c>
      <c r="AA1432" t="s">
        <v>642</v>
      </c>
      <c r="AB1432">
        <v>21.41</v>
      </c>
      <c r="AC1432" t="s">
        <v>8044</v>
      </c>
      <c r="AD1432">
        <v>13.7</v>
      </c>
      <c r="AE1432" t="s">
        <v>2661</v>
      </c>
      <c r="AF1432">
        <v>1.62</v>
      </c>
      <c r="AG1432">
        <v>0</v>
      </c>
      <c r="AH1432">
        <v>0</v>
      </c>
      <c r="AI1432" s="4">
        <v>36692</v>
      </c>
    </row>
    <row r="1433" spans="1:35">
      <c r="A1433">
        <v>1432</v>
      </c>
      <c r="B1433" t="str">
        <f>"002637"</f>
        <v>002637</v>
      </c>
      <c r="C1433" t="s">
        <v>8045</v>
      </c>
      <c r="D1433" s="4">
        <v>43190</v>
      </c>
      <c r="E1433" t="s">
        <v>662</v>
      </c>
      <c r="F1433" t="s">
        <v>94</v>
      </c>
      <c r="G1433" t="s">
        <v>1763</v>
      </c>
      <c r="H1433">
        <v>0.1</v>
      </c>
      <c r="I1433">
        <v>4.9800000000000004</v>
      </c>
      <c r="J1433">
        <v>1.87</v>
      </c>
      <c r="K1433" t="s">
        <v>1367</v>
      </c>
      <c r="L1433">
        <v>9.67</v>
      </c>
      <c r="M1433" t="s">
        <v>6299</v>
      </c>
      <c r="N1433" t="s">
        <v>8046</v>
      </c>
      <c r="O1433" t="s">
        <v>8047</v>
      </c>
      <c r="P1433" t="s">
        <v>8048</v>
      </c>
      <c r="Q1433">
        <v>115.34</v>
      </c>
      <c r="R1433" t="s">
        <v>1157</v>
      </c>
      <c r="S1433">
        <v>1.21</v>
      </c>
      <c r="T1433">
        <v>13.99</v>
      </c>
      <c r="U1433" t="s">
        <v>5786</v>
      </c>
      <c r="V1433" t="s">
        <v>685</v>
      </c>
      <c r="W1433" t="s">
        <v>646</v>
      </c>
      <c r="X1433">
        <v>1.87</v>
      </c>
      <c r="Y1433" t="s">
        <v>785</v>
      </c>
      <c r="Z1433" t="s">
        <v>1380</v>
      </c>
      <c r="AA1433" t="s">
        <v>701</v>
      </c>
      <c r="AB1433">
        <v>1.85</v>
      </c>
      <c r="AC1433" t="s">
        <v>2568</v>
      </c>
      <c r="AD1433">
        <v>33.92</v>
      </c>
      <c r="AE1433" t="s">
        <v>973</v>
      </c>
      <c r="AF1433">
        <v>2.73</v>
      </c>
      <c r="AG1433">
        <v>0</v>
      </c>
      <c r="AH1433">
        <v>0</v>
      </c>
      <c r="AI1433" s="4">
        <v>40872</v>
      </c>
    </row>
    <row r="1434" spans="1:35">
      <c r="A1434">
        <v>1433</v>
      </c>
      <c r="B1434" t="str">
        <f>"000516"</f>
        <v>000516</v>
      </c>
      <c r="C1434" t="s">
        <v>8049</v>
      </c>
      <c r="D1434" s="4">
        <v>43190</v>
      </c>
      <c r="E1434" t="s">
        <v>1284</v>
      </c>
      <c r="F1434" t="s">
        <v>1752</v>
      </c>
      <c r="G1434" t="s">
        <v>2266</v>
      </c>
      <c r="H1434">
        <v>0.03</v>
      </c>
      <c r="I1434">
        <v>1.87</v>
      </c>
      <c r="J1434">
        <v>1.87</v>
      </c>
      <c r="K1434" t="s">
        <v>973</v>
      </c>
      <c r="L1434">
        <v>6.43</v>
      </c>
      <c r="M1434" t="s">
        <v>4731</v>
      </c>
      <c r="N1434" t="s">
        <v>8050</v>
      </c>
      <c r="O1434" t="s">
        <v>5169</v>
      </c>
      <c r="P1434" t="s">
        <v>8051</v>
      </c>
      <c r="Q1434">
        <v>3.21</v>
      </c>
      <c r="R1434" t="s">
        <v>1082</v>
      </c>
      <c r="S1434">
        <v>0.65</v>
      </c>
      <c r="T1434">
        <v>19.98</v>
      </c>
      <c r="U1434" t="s">
        <v>2923</v>
      </c>
      <c r="V1434" t="s">
        <v>702</v>
      </c>
      <c r="W1434" t="s">
        <v>624</v>
      </c>
      <c r="X1434">
        <v>1.87</v>
      </c>
      <c r="Y1434" t="s">
        <v>691</v>
      </c>
      <c r="Z1434" t="s">
        <v>980</v>
      </c>
      <c r="AA1434" t="s">
        <v>372</v>
      </c>
      <c r="AB1434">
        <v>2.66</v>
      </c>
      <c r="AC1434" t="s">
        <v>785</v>
      </c>
      <c r="AD1434">
        <v>64.959999999999994</v>
      </c>
      <c r="AE1434" t="s">
        <v>91</v>
      </c>
      <c r="AF1434">
        <v>0.14000000000000001</v>
      </c>
      <c r="AG1434">
        <v>0</v>
      </c>
      <c r="AH1434">
        <v>0</v>
      </c>
      <c r="AI1434" s="4">
        <v>34190</v>
      </c>
    </row>
    <row r="1435" spans="1:35">
      <c r="A1435">
        <v>1434</v>
      </c>
      <c r="B1435" t="str">
        <f>"603098"</f>
        <v>603098</v>
      </c>
      <c r="C1435" t="s">
        <v>8052</v>
      </c>
      <c r="D1435" s="4">
        <v>43190</v>
      </c>
      <c r="E1435" t="s">
        <v>150</v>
      </c>
      <c r="F1435" t="s">
        <v>8053</v>
      </c>
      <c r="G1435">
        <v>3189</v>
      </c>
      <c r="H1435">
        <v>0.08</v>
      </c>
      <c r="I1435">
        <v>4.29</v>
      </c>
      <c r="J1435">
        <v>1.86</v>
      </c>
      <c r="K1435" t="s">
        <v>1476</v>
      </c>
      <c r="L1435">
        <v>91.56</v>
      </c>
      <c r="M1435" t="s">
        <v>8054</v>
      </c>
      <c r="N1435" t="s">
        <v>7289</v>
      </c>
      <c r="O1435" t="s">
        <v>5758</v>
      </c>
      <c r="P1435" t="s">
        <v>6352</v>
      </c>
      <c r="Q1435">
        <v>36.46</v>
      </c>
      <c r="R1435" t="s">
        <v>259</v>
      </c>
      <c r="S1435">
        <v>1.74</v>
      </c>
      <c r="T1435">
        <v>19.22</v>
      </c>
      <c r="U1435" t="s">
        <v>1832</v>
      </c>
      <c r="V1435" t="s">
        <v>565</v>
      </c>
      <c r="W1435" t="s">
        <v>1288</v>
      </c>
      <c r="X1435">
        <v>1.86</v>
      </c>
      <c r="Y1435" t="s">
        <v>299</v>
      </c>
      <c r="Z1435" t="s">
        <v>299</v>
      </c>
      <c r="AA1435" t="s">
        <v>7401</v>
      </c>
      <c r="AB1435">
        <v>3.42</v>
      </c>
      <c r="AC1435" t="s">
        <v>304</v>
      </c>
      <c r="AD1435">
        <v>65.81</v>
      </c>
      <c r="AE1435" t="s">
        <v>735</v>
      </c>
      <c r="AF1435">
        <v>1.17</v>
      </c>
      <c r="AG1435">
        <v>0</v>
      </c>
      <c r="AH1435">
        <v>0</v>
      </c>
      <c r="AI1435" s="4">
        <v>42720</v>
      </c>
    </row>
    <row r="1436" spans="1:35">
      <c r="A1436">
        <v>1435</v>
      </c>
      <c r="B1436" t="str">
        <f>"600827"</f>
        <v>600827</v>
      </c>
      <c r="C1436" t="s">
        <v>8055</v>
      </c>
      <c r="D1436" s="4">
        <v>43190</v>
      </c>
      <c r="E1436" t="s">
        <v>1678</v>
      </c>
      <c r="F1436" t="s">
        <v>833</v>
      </c>
      <c r="G1436" t="s">
        <v>3761</v>
      </c>
      <c r="H1436">
        <v>0.17</v>
      </c>
      <c r="I1436">
        <v>9.33</v>
      </c>
      <c r="J1436">
        <v>1.86</v>
      </c>
      <c r="K1436" t="s">
        <v>413</v>
      </c>
      <c r="L1436">
        <v>1.4</v>
      </c>
      <c r="M1436" t="s">
        <v>1907</v>
      </c>
      <c r="N1436" t="s">
        <v>1365</v>
      </c>
      <c r="O1436" t="s">
        <v>1847</v>
      </c>
      <c r="P1436" t="s">
        <v>3441</v>
      </c>
      <c r="Q1436">
        <v>-14.32</v>
      </c>
      <c r="R1436" t="s">
        <v>825</v>
      </c>
      <c r="S1436">
        <v>4.4400000000000004</v>
      </c>
      <c r="T1436">
        <v>20.39</v>
      </c>
      <c r="U1436" t="s">
        <v>5775</v>
      </c>
      <c r="V1436" t="s">
        <v>2491</v>
      </c>
      <c r="W1436" t="s">
        <v>413</v>
      </c>
      <c r="X1436">
        <v>1.86</v>
      </c>
      <c r="Y1436" t="s">
        <v>8056</v>
      </c>
      <c r="Z1436" t="s">
        <v>1337</v>
      </c>
      <c r="AA1436" t="s">
        <v>239</v>
      </c>
      <c r="AB1436">
        <v>1.07</v>
      </c>
      <c r="AC1436" t="s">
        <v>2016</v>
      </c>
      <c r="AD1436">
        <v>37.42</v>
      </c>
      <c r="AE1436" t="s">
        <v>1158</v>
      </c>
      <c r="AF1436">
        <v>1.64</v>
      </c>
      <c r="AG1436" t="s">
        <v>1839</v>
      </c>
      <c r="AH1436">
        <v>0</v>
      </c>
      <c r="AI1436" s="4">
        <v>34369</v>
      </c>
    </row>
    <row r="1437" spans="1:35">
      <c r="A1437">
        <v>1436</v>
      </c>
      <c r="B1437" t="str">
        <f>"600790"</f>
        <v>600790</v>
      </c>
      <c r="C1437" t="s">
        <v>8057</v>
      </c>
      <c r="D1437" s="4">
        <v>43190</v>
      </c>
      <c r="E1437" t="s">
        <v>80</v>
      </c>
      <c r="F1437" t="s">
        <v>80</v>
      </c>
      <c r="G1437" t="s">
        <v>6912</v>
      </c>
      <c r="H1437">
        <v>0.06</v>
      </c>
      <c r="I1437">
        <v>3.38</v>
      </c>
      <c r="J1437">
        <v>1.86</v>
      </c>
      <c r="K1437" t="s">
        <v>4614</v>
      </c>
      <c r="L1437">
        <v>1.1399999999999999</v>
      </c>
      <c r="M1437" t="s">
        <v>2360</v>
      </c>
      <c r="N1437" t="s">
        <v>1393</v>
      </c>
      <c r="O1437" t="s">
        <v>1365</v>
      </c>
      <c r="P1437" t="s">
        <v>4325</v>
      </c>
      <c r="Q1437">
        <v>-0.54</v>
      </c>
      <c r="R1437" t="s">
        <v>584</v>
      </c>
      <c r="S1437">
        <v>0.91</v>
      </c>
      <c r="T1437">
        <v>63.82</v>
      </c>
      <c r="U1437" t="s">
        <v>731</v>
      </c>
      <c r="V1437" t="s">
        <v>2510</v>
      </c>
      <c r="W1437" t="s">
        <v>3768</v>
      </c>
      <c r="X1437">
        <v>1.86</v>
      </c>
      <c r="Y1437" t="s">
        <v>4697</v>
      </c>
      <c r="Z1437" t="s">
        <v>756</v>
      </c>
      <c r="AA1437" t="s">
        <v>1048</v>
      </c>
      <c r="AB1437">
        <v>1.03</v>
      </c>
      <c r="AC1437" t="s">
        <v>2241</v>
      </c>
      <c r="AD1437">
        <v>59.05</v>
      </c>
      <c r="AE1437" t="s">
        <v>547</v>
      </c>
      <c r="AF1437">
        <v>0.74</v>
      </c>
      <c r="AG1437">
        <v>0</v>
      </c>
      <c r="AH1437">
        <v>0</v>
      </c>
      <c r="AI1437" s="4">
        <v>35489</v>
      </c>
    </row>
    <row r="1438" spans="1:35">
      <c r="A1438">
        <v>1437</v>
      </c>
      <c r="B1438" t="str">
        <f>"600381"</f>
        <v>600381</v>
      </c>
      <c r="C1438" t="s">
        <v>8058</v>
      </c>
      <c r="D1438" s="4">
        <v>43190</v>
      </c>
      <c r="E1438" t="s">
        <v>1761</v>
      </c>
      <c r="F1438" t="s">
        <v>1011</v>
      </c>
      <c r="G1438">
        <v>4469</v>
      </c>
      <c r="H1438">
        <v>7.0000000000000007E-2</v>
      </c>
      <c r="I1438">
        <v>3.73</v>
      </c>
      <c r="J1438">
        <v>1.86</v>
      </c>
      <c r="K1438" t="s">
        <v>8059</v>
      </c>
      <c r="L1438">
        <v>-16.11</v>
      </c>
      <c r="M1438" t="s">
        <v>8060</v>
      </c>
      <c r="N1438" t="s">
        <v>8061</v>
      </c>
      <c r="O1438" t="s">
        <v>5345</v>
      </c>
      <c r="P1438" t="s">
        <v>8062</v>
      </c>
      <c r="Q1438">
        <v>14.5</v>
      </c>
      <c r="R1438" t="s">
        <v>162</v>
      </c>
      <c r="S1438">
        <v>2.2599999999999998</v>
      </c>
      <c r="T1438">
        <v>22.91</v>
      </c>
      <c r="U1438" t="s">
        <v>1294</v>
      </c>
      <c r="V1438" t="s">
        <v>510</v>
      </c>
      <c r="W1438" t="s">
        <v>1119</v>
      </c>
      <c r="X1438">
        <v>1.86</v>
      </c>
      <c r="Y1438" t="s">
        <v>45</v>
      </c>
      <c r="Z1438" t="s">
        <v>8063</v>
      </c>
      <c r="AA1438" t="s">
        <v>8064</v>
      </c>
      <c r="AB1438">
        <v>2.31</v>
      </c>
      <c r="AC1438" t="s">
        <v>244</v>
      </c>
      <c r="AD1438">
        <v>94.48</v>
      </c>
      <c r="AE1438" t="s">
        <v>2123</v>
      </c>
      <c r="AF1438">
        <v>0.3</v>
      </c>
      <c r="AG1438">
        <v>0</v>
      </c>
      <c r="AH1438">
        <v>0</v>
      </c>
      <c r="AI1438" s="4">
        <v>37019</v>
      </c>
    </row>
    <row r="1439" spans="1:35">
      <c r="A1439">
        <v>1438</v>
      </c>
      <c r="B1439" t="str">
        <f>"300560"</f>
        <v>300560</v>
      </c>
      <c r="C1439" t="s">
        <v>8065</v>
      </c>
      <c r="D1439" s="4">
        <v>43190</v>
      </c>
      <c r="E1439" t="s">
        <v>505</v>
      </c>
      <c r="F1439" t="s">
        <v>653</v>
      </c>
      <c r="G1439">
        <v>2793</v>
      </c>
      <c r="H1439">
        <v>0.06</v>
      </c>
      <c r="I1439">
        <v>3.07</v>
      </c>
      <c r="J1439">
        <v>1.86</v>
      </c>
      <c r="K1439" t="s">
        <v>256</v>
      </c>
      <c r="L1439">
        <v>15.02</v>
      </c>
      <c r="M1439" t="s">
        <v>7101</v>
      </c>
      <c r="N1439">
        <v>0</v>
      </c>
      <c r="O1439" t="s">
        <v>7304</v>
      </c>
      <c r="P1439" t="s">
        <v>8066</v>
      </c>
      <c r="Q1439">
        <v>6.81</v>
      </c>
      <c r="R1439" t="s">
        <v>1287</v>
      </c>
      <c r="S1439">
        <v>1.32</v>
      </c>
      <c r="T1439">
        <v>26.81</v>
      </c>
      <c r="U1439" t="s">
        <v>2739</v>
      </c>
      <c r="V1439" t="s">
        <v>611</v>
      </c>
      <c r="W1439" t="s">
        <v>8067</v>
      </c>
      <c r="X1439">
        <v>1.86</v>
      </c>
      <c r="Y1439" t="s">
        <v>8068</v>
      </c>
      <c r="Z1439" t="s">
        <v>8068</v>
      </c>
      <c r="AA1439">
        <v>0</v>
      </c>
      <c r="AB1439">
        <v>6.94</v>
      </c>
      <c r="AC1439" t="s">
        <v>1483</v>
      </c>
      <c r="AD1439">
        <v>84.54</v>
      </c>
      <c r="AE1439" t="s">
        <v>3111</v>
      </c>
      <c r="AF1439">
        <v>0.61</v>
      </c>
      <c r="AG1439">
        <v>0</v>
      </c>
      <c r="AH1439">
        <v>0</v>
      </c>
      <c r="AI1439" s="4">
        <v>42675</v>
      </c>
    </row>
    <row r="1440" spans="1:35">
      <c r="A1440">
        <v>1439</v>
      </c>
      <c r="B1440" t="str">
        <f>"300445"</f>
        <v>300445</v>
      </c>
      <c r="C1440" t="s">
        <v>8069</v>
      </c>
      <c r="D1440" s="4">
        <v>43190</v>
      </c>
      <c r="E1440" t="s">
        <v>1360</v>
      </c>
      <c r="F1440" t="s">
        <v>8070</v>
      </c>
      <c r="G1440">
        <v>3629</v>
      </c>
      <c r="H1440">
        <v>0.05</v>
      </c>
      <c r="I1440">
        <v>2.8</v>
      </c>
      <c r="J1440">
        <v>1.86</v>
      </c>
      <c r="K1440" t="s">
        <v>2024</v>
      </c>
      <c r="L1440">
        <v>18.37</v>
      </c>
      <c r="M1440" t="s">
        <v>6069</v>
      </c>
      <c r="N1440">
        <v>0</v>
      </c>
      <c r="O1440" t="s">
        <v>6851</v>
      </c>
      <c r="P1440" t="s">
        <v>8071</v>
      </c>
      <c r="Q1440">
        <v>44.22</v>
      </c>
      <c r="R1440" t="s">
        <v>1489</v>
      </c>
      <c r="S1440">
        <v>1.38</v>
      </c>
      <c r="T1440">
        <v>69.27</v>
      </c>
      <c r="U1440" t="s">
        <v>2111</v>
      </c>
      <c r="V1440" t="s">
        <v>2953</v>
      </c>
      <c r="W1440" t="s">
        <v>4287</v>
      </c>
      <c r="X1440">
        <v>1.86</v>
      </c>
      <c r="Y1440" t="s">
        <v>8072</v>
      </c>
      <c r="Z1440" t="s">
        <v>8073</v>
      </c>
      <c r="AA1440" t="s">
        <v>4836</v>
      </c>
      <c r="AB1440">
        <v>4.58</v>
      </c>
      <c r="AC1440" t="s">
        <v>2685</v>
      </c>
      <c r="AD1440">
        <v>88.99</v>
      </c>
      <c r="AE1440" t="s">
        <v>8074</v>
      </c>
      <c r="AF1440">
        <v>0.39</v>
      </c>
      <c r="AG1440">
        <v>0</v>
      </c>
      <c r="AH1440">
        <v>0</v>
      </c>
      <c r="AI1440" s="4">
        <v>42118</v>
      </c>
    </row>
    <row r="1441" spans="1:35">
      <c r="A1441">
        <v>1440</v>
      </c>
      <c r="B1441" t="str">
        <f>"300233"</f>
        <v>300233</v>
      </c>
      <c r="C1441" t="s">
        <v>8075</v>
      </c>
      <c r="D1441" s="4">
        <v>43190</v>
      </c>
      <c r="E1441" t="s">
        <v>750</v>
      </c>
      <c r="F1441" t="s">
        <v>139</v>
      </c>
      <c r="G1441" t="s">
        <v>2511</v>
      </c>
      <c r="H1441">
        <v>0.18</v>
      </c>
      <c r="I1441">
        <v>9.81</v>
      </c>
      <c r="J1441">
        <v>1.86</v>
      </c>
      <c r="K1441" t="s">
        <v>619</v>
      </c>
      <c r="L1441">
        <v>44.49</v>
      </c>
      <c r="M1441" t="s">
        <v>8076</v>
      </c>
      <c r="N1441" t="s">
        <v>8077</v>
      </c>
      <c r="O1441" t="s">
        <v>8078</v>
      </c>
      <c r="P1441" t="s">
        <v>8079</v>
      </c>
      <c r="Q1441">
        <v>32.94</v>
      </c>
      <c r="R1441" t="s">
        <v>1769</v>
      </c>
      <c r="S1441">
        <v>2.1</v>
      </c>
      <c r="T1441">
        <v>40.799999999999997</v>
      </c>
      <c r="U1441" t="s">
        <v>5270</v>
      </c>
      <c r="V1441" t="s">
        <v>754</v>
      </c>
      <c r="W1441" t="s">
        <v>192</v>
      </c>
      <c r="X1441">
        <v>1.86</v>
      </c>
      <c r="Y1441" t="s">
        <v>895</v>
      </c>
      <c r="Z1441" t="s">
        <v>274</v>
      </c>
      <c r="AA1441" t="s">
        <v>280</v>
      </c>
      <c r="AB1441">
        <v>1.99</v>
      </c>
      <c r="AC1441" t="s">
        <v>5550</v>
      </c>
      <c r="AD1441">
        <v>78.48</v>
      </c>
      <c r="AE1441" t="s">
        <v>710</v>
      </c>
      <c r="AF1441">
        <v>6.54</v>
      </c>
      <c r="AG1441">
        <v>0</v>
      </c>
      <c r="AH1441">
        <v>0</v>
      </c>
      <c r="AI1441" s="4">
        <v>40716</v>
      </c>
    </row>
    <row r="1442" spans="1:35">
      <c r="A1442">
        <v>1441</v>
      </c>
      <c r="B1442" t="str">
        <f>"002651"</f>
        <v>002651</v>
      </c>
      <c r="C1442" t="s">
        <v>8080</v>
      </c>
      <c r="D1442" s="4">
        <v>43190</v>
      </c>
      <c r="E1442" t="s">
        <v>895</v>
      </c>
      <c r="F1442" t="s">
        <v>2224</v>
      </c>
      <c r="G1442">
        <v>7393</v>
      </c>
      <c r="H1442">
        <v>0.04</v>
      </c>
      <c r="I1442">
        <v>2.0099999999999998</v>
      </c>
      <c r="J1442">
        <v>1.86</v>
      </c>
      <c r="K1442" t="s">
        <v>136</v>
      </c>
      <c r="L1442">
        <v>15.71</v>
      </c>
      <c r="M1442" t="s">
        <v>8081</v>
      </c>
      <c r="N1442" t="s">
        <v>6270</v>
      </c>
      <c r="O1442" t="s">
        <v>8082</v>
      </c>
      <c r="P1442" t="s">
        <v>1690</v>
      </c>
      <c r="Q1442">
        <v>7.66</v>
      </c>
      <c r="R1442" t="s">
        <v>1209</v>
      </c>
      <c r="S1442">
        <v>0.43</v>
      </c>
      <c r="T1442">
        <v>38.71</v>
      </c>
      <c r="U1442" t="s">
        <v>253</v>
      </c>
      <c r="V1442" t="s">
        <v>980</v>
      </c>
      <c r="W1442" t="s">
        <v>1624</v>
      </c>
      <c r="X1442">
        <v>1.86</v>
      </c>
      <c r="Y1442" t="s">
        <v>140</v>
      </c>
      <c r="Z1442" t="s">
        <v>155</v>
      </c>
      <c r="AA1442" t="s">
        <v>8083</v>
      </c>
      <c r="AB1442">
        <v>2.71</v>
      </c>
      <c r="AC1442" t="s">
        <v>1255</v>
      </c>
      <c r="AD1442">
        <v>81.3</v>
      </c>
      <c r="AE1442" t="s">
        <v>681</v>
      </c>
      <c r="AF1442">
        <v>0.33</v>
      </c>
      <c r="AG1442">
        <v>0</v>
      </c>
      <c r="AH1442">
        <v>0</v>
      </c>
      <c r="AI1442" s="4">
        <v>40914</v>
      </c>
    </row>
    <row r="1443" spans="1:35">
      <c r="A1443">
        <v>1442</v>
      </c>
      <c r="B1443" t="str">
        <f>"000600"</f>
        <v>000600</v>
      </c>
      <c r="C1443" t="s">
        <v>8084</v>
      </c>
      <c r="D1443" s="4">
        <v>43190</v>
      </c>
      <c r="E1443" t="s">
        <v>303</v>
      </c>
      <c r="F1443" t="s">
        <v>1223</v>
      </c>
      <c r="G1443" t="s">
        <v>4747</v>
      </c>
      <c r="H1443">
        <v>0.11</v>
      </c>
      <c r="I1443">
        <v>5.99</v>
      </c>
      <c r="J1443">
        <v>1.86</v>
      </c>
      <c r="K1443" t="s">
        <v>447</v>
      </c>
      <c r="L1443">
        <v>39.47</v>
      </c>
      <c r="M1443" t="s">
        <v>499</v>
      </c>
      <c r="N1443" t="s">
        <v>8085</v>
      </c>
      <c r="O1443" t="s">
        <v>52</v>
      </c>
      <c r="P1443" t="s">
        <v>293</v>
      </c>
      <c r="Q1443">
        <v>-11.14</v>
      </c>
      <c r="R1443" t="s">
        <v>1031</v>
      </c>
      <c r="S1443">
        <v>2.15</v>
      </c>
      <c r="T1443">
        <v>15.93</v>
      </c>
      <c r="U1443" t="s">
        <v>5260</v>
      </c>
      <c r="V1443" t="s">
        <v>530</v>
      </c>
      <c r="W1443" t="s">
        <v>1750</v>
      </c>
      <c r="X1443">
        <v>1.86</v>
      </c>
      <c r="Y1443" t="s">
        <v>1982</v>
      </c>
      <c r="Z1443" t="s">
        <v>550</v>
      </c>
      <c r="AA1443" t="s">
        <v>1485</v>
      </c>
      <c r="AB1443">
        <v>0.91</v>
      </c>
      <c r="AC1443" t="s">
        <v>586</v>
      </c>
      <c r="AD1443">
        <v>34.46</v>
      </c>
      <c r="AE1443" t="s">
        <v>773</v>
      </c>
      <c r="AF1443">
        <v>2.46</v>
      </c>
      <c r="AG1443">
        <v>0</v>
      </c>
      <c r="AH1443">
        <v>0</v>
      </c>
      <c r="AI1443" s="4">
        <v>35222</v>
      </c>
    </row>
    <row r="1444" spans="1:35">
      <c r="A1444">
        <v>1443</v>
      </c>
      <c r="B1444" t="str">
        <f>"000012"</f>
        <v>000012</v>
      </c>
      <c r="C1444" t="s">
        <v>8086</v>
      </c>
      <c r="D1444" s="4">
        <v>43190</v>
      </c>
      <c r="E1444" t="s">
        <v>253</v>
      </c>
      <c r="F1444" t="s">
        <v>547</v>
      </c>
      <c r="G1444">
        <v>0</v>
      </c>
      <c r="H1444">
        <v>0.06</v>
      </c>
      <c r="I1444">
        <v>3.49</v>
      </c>
      <c r="J1444">
        <v>1.86</v>
      </c>
      <c r="K1444" t="s">
        <v>2515</v>
      </c>
      <c r="L1444">
        <v>15.08</v>
      </c>
      <c r="M1444" t="s">
        <v>383</v>
      </c>
      <c r="N1444">
        <v>0</v>
      </c>
      <c r="O1444" t="s">
        <v>2769</v>
      </c>
      <c r="P1444" t="s">
        <v>1689</v>
      </c>
      <c r="Q1444">
        <v>-6.32</v>
      </c>
      <c r="R1444" t="s">
        <v>2197</v>
      </c>
      <c r="S1444">
        <v>1.74</v>
      </c>
      <c r="T1444">
        <v>24.58</v>
      </c>
      <c r="U1444" t="s">
        <v>761</v>
      </c>
      <c r="V1444" t="s">
        <v>428</v>
      </c>
      <c r="W1444" t="s">
        <v>590</v>
      </c>
      <c r="X1444">
        <v>1.86</v>
      </c>
      <c r="Y1444" t="s">
        <v>900</v>
      </c>
      <c r="Z1444" t="s">
        <v>931</v>
      </c>
      <c r="AA1444" t="s">
        <v>907</v>
      </c>
      <c r="AB1444">
        <v>1.62</v>
      </c>
      <c r="AC1444" t="s">
        <v>3680</v>
      </c>
      <c r="AD1444">
        <v>44.13</v>
      </c>
      <c r="AE1444" t="s">
        <v>1214</v>
      </c>
      <c r="AF1444">
        <v>0.55000000000000004</v>
      </c>
      <c r="AG1444" t="s">
        <v>648</v>
      </c>
      <c r="AH1444">
        <v>0</v>
      </c>
      <c r="AI1444" s="4">
        <v>33662</v>
      </c>
    </row>
    <row r="1445" spans="1:35">
      <c r="A1445">
        <v>1444</v>
      </c>
      <c r="B1445" t="str">
        <f>"603963"</f>
        <v>603963</v>
      </c>
      <c r="C1445" t="s">
        <v>8087</v>
      </c>
      <c r="D1445" s="4">
        <v>43190</v>
      </c>
      <c r="E1445" t="s">
        <v>2307</v>
      </c>
      <c r="F1445" t="s">
        <v>534</v>
      </c>
      <c r="G1445">
        <v>1363</v>
      </c>
      <c r="H1445">
        <v>0.09</v>
      </c>
      <c r="I1445">
        <v>4.72</v>
      </c>
      <c r="J1445">
        <v>1.85</v>
      </c>
      <c r="K1445" t="s">
        <v>804</v>
      </c>
      <c r="L1445">
        <v>78.33</v>
      </c>
      <c r="M1445" t="s">
        <v>8088</v>
      </c>
      <c r="N1445" t="s">
        <v>3729</v>
      </c>
      <c r="O1445" t="s">
        <v>4743</v>
      </c>
      <c r="P1445" t="s">
        <v>6603</v>
      </c>
      <c r="Q1445">
        <v>-52.74</v>
      </c>
      <c r="R1445" t="s">
        <v>198</v>
      </c>
      <c r="S1445">
        <v>1.05</v>
      </c>
      <c r="T1445">
        <v>77.47</v>
      </c>
      <c r="U1445" t="s">
        <v>3490</v>
      </c>
      <c r="V1445" t="s">
        <v>155</v>
      </c>
      <c r="W1445" t="s">
        <v>1119</v>
      </c>
      <c r="X1445">
        <v>1.85</v>
      </c>
      <c r="Y1445" t="s">
        <v>863</v>
      </c>
      <c r="Z1445" t="s">
        <v>845</v>
      </c>
      <c r="AA1445" t="s">
        <v>8089</v>
      </c>
      <c r="AB1445">
        <v>4.99</v>
      </c>
      <c r="AC1445" t="s">
        <v>1695</v>
      </c>
      <c r="AD1445">
        <v>75.33</v>
      </c>
      <c r="AE1445" t="s">
        <v>669</v>
      </c>
      <c r="AF1445">
        <v>2.37</v>
      </c>
      <c r="AG1445">
        <v>0</v>
      </c>
      <c r="AH1445">
        <v>0</v>
      </c>
      <c r="AI1445" s="4">
        <v>43000</v>
      </c>
    </row>
    <row r="1446" spans="1:35">
      <c r="A1446">
        <v>1445</v>
      </c>
      <c r="B1446" t="str">
        <f>"603266"</f>
        <v>603266</v>
      </c>
      <c r="C1446" t="s">
        <v>8090</v>
      </c>
      <c r="D1446" s="4">
        <v>43190</v>
      </c>
      <c r="E1446" t="s">
        <v>1974</v>
      </c>
      <c r="F1446" t="s">
        <v>7686</v>
      </c>
      <c r="G1446">
        <v>2881</v>
      </c>
      <c r="H1446">
        <v>0.11</v>
      </c>
      <c r="I1446">
        <v>5.69</v>
      </c>
      <c r="J1446">
        <v>1.85</v>
      </c>
      <c r="K1446" t="s">
        <v>618</v>
      </c>
      <c r="L1446">
        <v>-4.74</v>
      </c>
      <c r="M1446" t="s">
        <v>8091</v>
      </c>
      <c r="N1446" t="s">
        <v>5090</v>
      </c>
      <c r="O1446" t="s">
        <v>8091</v>
      </c>
      <c r="P1446" t="s">
        <v>8092</v>
      </c>
      <c r="Q1446">
        <v>-27.82</v>
      </c>
      <c r="R1446" t="s">
        <v>139</v>
      </c>
      <c r="S1446">
        <v>2.36</v>
      </c>
      <c r="T1446">
        <v>25.86</v>
      </c>
      <c r="U1446" t="s">
        <v>978</v>
      </c>
      <c r="V1446" t="s">
        <v>1249</v>
      </c>
      <c r="W1446" t="s">
        <v>1287</v>
      </c>
      <c r="X1446">
        <v>1.85</v>
      </c>
      <c r="Y1446" t="s">
        <v>905</v>
      </c>
      <c r="Z1446" t="s">
        <v>383</v>
      </c>
      <c r="AA1446" t="s">
        <v>2204</v>
      </c>
      <c r="AB1446">
        <v>2.4700000000000002</v>
      </c>
      <c r="AC1446" t="s">
        <v>605</v>
      </c>
      <c r="AD1446">
        <v>79.95</v>
      </c>
      <c r="AE1446" t="s">
        <v>499</v>
      </c>
      <c r="AF1446">
        <v>2.13</v>
      </c>
      <c r="AG1446">
        <v>0</v>
      </c>
      <c r="AH1446">
        <v>0</v>
      </c>
      <c r="AI1446" s="4">
        <v>42745</v>
      </c>
    </row>
    <row r="1447" spans="1:35">
      <c r="A1447">
        <v>1446</v>
      </c>
      <c r="B1447" t="str">
        <f>"600570"</f>
        <v>600570</v>
      </c>
      <c r="C1447" t="s">
        <v>8093</v>
      </c>
      <c r="D1447" s="4">
        <v>43190</v>
      </c>
      <c r="E1447" t="s">
        <v>2996</v>
      </c>
      <c r="F1447" t="s">
        <v>2996</v>
      </c>
      <c r="G1447">
        <v>7069</v>
      </c>
      <c r="H1447">
        <v>0.09</v>
      </c>
      <c r="I1447">
        <v>4.8099999999999996</v>
      </c>
      <c r="J1447">
        <v>1.85</v>
      </c>
      <c r="K1447" t="s">
        <v>1799</v>
      </c>
      <c r="L1447">
        <v>20.29</v>
      </c>
      <c r="M1447" t="s">
        <v>8094</v>
      </c>
      <c r="N1447" t="s">
        <v>8095</v>
      </c>
      <c r="O1447" t="s">
        <v>8096</v>
      </c>
      <c r="P1447" t="s">
        <v>8097</v>
      </c>
      <c r="Q1447">
        <v>35.75</v>
      </c>
      <c r="R1447" t="s">
        <v>908</v>
      </c>
      <c r="S1447">
        <v>2.17</v>
      </c>
      <c r="T1447">
        <v>94.46</v>
      </c>
      <c r="U1447" t="s">
        <v>4015</v>
      </c>
      <c r="V1447" t="s">
        <v>306</v>
      </c>
      <c r="W1447" t="s">
        <v>121</v>
      </c>
      <c r="X1447">
        <v>1.85</v>
      </c>
      <c r="Y1447" t="s">
        <v>789</v>
      </c>
      <c r="Z1447" t="s">
        <v>119</v>
      </c>
      <c r="AA1447" t="s">
        <v>748</v>
      </c>
      <c r="AB1447">
        <v>10.18</v>
      </c>
      <c r="AC1447" t="s">
        <v>423</v>
      </c>
      <c r="AD1447">
        <v>56.39</v>
      </c>
      <c r="AE1447" t="s">
        <v>2468</v>
      </c>
      <c r="AF1447">
        <v>0.64</v>
      </c>
      <c r="AG1447">
        <v>0</v>
      </c>
      <c r="AH1447">
        <v>0</v>
      </c>
      <c r="AI1447" s="4">
        <v>37971</v>
      </c>
    </row>
    <row r="1448" spans="1:35">
      <c r="A1448">
        <v>1447</v>
      </c>
      <c r="B1448" t="str">
        <f>"600439"</f>
        <v>600439</v>
      </c>
      <c r="C1448" t="s">
        <v>8098</v>
      </c>
      <c r="D1448" s="4">
        <v>43190</v>
      </c>
      <c r="E1448" t="s">
        <v>835</v>
      </c>
      <c r="F1448" t="s">
        <v>835</v>
      </c>
      <c r="G1448" t="s">
        <v>5811</v>
      </c>
      <c r="H1448">
        <v>0.04</v>
      </c>
      <c r="I1448">
        <v>2.31</v>
      </c>
      <c r="J1448">
        <v>1.85</v>
      </c>
      <c r="K1448" t="s">
        <v>4613</v>
      </c>
      <c r="L1448">
        <v>1.9</v>
      </c>
      <c r="M1448" t="s">
        <v>6891</v>
      </c>
      <c r="N1448">
        <v>0</v>
      </c>
      <c r="O1448" t="s">
        <v>8099</v>
      </c>
      <c r="P1448" t="s">
        <v>8100</v>
      </c>
      <c r="Q1448">
        <v>15.23</v>
      </c>
      <c r="R1448" t="s">
        <v>1307</v>
      </c>
      <c r="S1448">
        <v>1.1200000000000001</v>
      </c>
      <c r="T1448">
        <v>36.71</v>
      </c>
      <c r="U1448" t="s">
        <v>3386</v>
      </c>
      <c r="V1448" t="s">
        <v>2833</v>
      </c>
      <c r="W1448" t="s">
        <v>128</v>
      </c>
      <c r="X1448">
        <v>1.85</v>
      </c>
      <c r="Y1448" t="s">
        <v>712</v>
      </c>
      <c r="Z1448" t="s">
        <v>1874</v>
      </c>
      <c r="AA1448" t="s">
        <v>173</v>
      </c>
      <c r="AB1448">
        <v>1.84</v>
      </c>
      <c r="AC1448" t="s">
        <v>260</v>
      </c>
      <c r="AD1448">
        <v>56.67</v>
      </c>
      <c r="AE1448" t="s">
        <v>2889</v>
      </c>
      <c r="AF1448">
        <v>0.22</v>
      </c>
      <c r="AG1448">
        <v>0</v>
      </c>
      <c r="AH1448">
        <v>0</v>
      </c>
      <c r="AI1448" s="4">
        <v>37812</v>
      </c>
    </row>
    <row r="1449" spans="1:35">
      <c r="A1449">
        <v>1448</v>
      </c>
      <c r="B1449" t="str">
        <f>"600143"</f>
        <v>600143</v>
      </c>
      <c r="C1449" t="s">
        <v>8101</v>
      </c>
      <c r="D1449" s="4">
        <v>43190</v>
      </c>
      <c r="E1449" t="s">
        <v>1675</v>
      </c>
      <c r="F1449" t="s">
        <v>402</v>
      </c>
      <c r="G1449" t="s">
        <v>1155</v>
      </c>
      <c r="H1449">
        <v>7.0000000000000007E-2</v>
      </c>
      <c r="I1449">
        <v>3.72</v>
      </c>
      <c r="J1449">
        <v>1.85</v>
      </c>
      <c r="K1449" t="s">
        <v>742</v>
      </c>
      <c r="L1449">
        <v>2.75</v>
      </c>
      <c r="M1449" t="s">
        <v>1484</v>
      </c>
      <c r="N1449" t="s">
        <v>8102</v>
      </c>
      <c r="O1449" t="s">
        <v>807</v>
      </c>
      <c r="P1449" t="s">
        <v>383</v>
      </c>
      <c r="Q1449">
        <v>46.02</v>
      </c>
      <c r="R1449" t="s">
        <v>817</v>
      </c>
      <c r="S1449">
        <v>1.25</v>
      </c>
      <c r="T1449">
        <v>14.52</v>
      </c>
      <c r="U1449" t="s">
        <v>2004</v>
      </c>
      <c r="V1449" t="s">
        <v>466</v>
      </c>
      <c r="W1449" t="s">
        <v>2044</v>
      </c>
      <c r="X1449">
        <v>1.85</v>
      </c>
      <c r="Y1449" t="s">
        <v>1159</v>
      </c>
      <c r="Z1449" t="s">
        <v>8103</v>
      </c>
      <c r="AA1449" t="s">
        <v>1601</v>
      </c>
      <c r="AB1449">
        <v>1.41</v>
      </c>
      <c r="AC1449" t="s">
        <v>232</v>
      </c>
      <c r="AD1449">
        <v>47.96</v>
      </c>
      <c r="AE1449" t="s">
        <v>312</v>
      </c>
      <c r="AF1449">
        <v>1.28</v>
      </c>
      <c r="AG1449">
        <v>0</v>
      </c>
      <c r="AH1449">
        <v>0</v>
      </c>
      <c r="AI1449" s="4">
        <v>38161</v>
      </c>
    </row>
    <row r="1450" spans="1:35">
      <c r="A1450">
        <v>1449</v>
      </c>
      <c r="B1450" t="str">
        <f>"300385"</f>
        <v>300385</v>
      </c>
      <c r="C1450" t="s">
        <v>8104</v>
      </c>
      <c r="D1450" s="4">
        <v>43190</v>
      </c>
      <c r="E1450" t="s">
        <v>802</v>
      </c>
      <c r="F1450" t="s">
        <v>8105</v>
      </c>
      <c r="G1450">
        <v>6375</v>
      </c>
      <c r="H1450">
        <v>0.16</v>
      </c>
      <c r="I1450">
        <v>8.65</v>
      </c>
      <c r="J1450">
        <v>1.85</v>
      </c>
      <c r="K1450" t="s">
        <v>1366</v>
      </c>
      <c r="L1450">
        <v>21.17</v>
      </c>
      <c r="M1450" t="s">
        <v>5853</v>
      </c>
      <c r="N1450" t="s">
        <v>8106</v>
      </c>
      <c r="O1450" t="s">
        <v>6788</v>
      </c>
      <c r="P1450" t="s">
        <v>8107</v>
      </c>
      <c r="Q1450">
        <v>49.15</v>
      </c>
      <c r="R1450" t="s">
        <v>204</v>
      </c>
      <c r="S1450">
        <v>2.77</v>
      </c>
      <c r="T1450">
        <v>22.24</v>
      </c>
      <c r="U1450" t="s">
        <v>514</v>
      </c>
      <c r="V1450" t="s">
        <v>1307</v>
      </c>
      <c r="W1450" t="s">
        <v>1235</v>
      </c>
      <c r="X1450">
        <v>1.85</v>
      </c>
      <c r="Y1450" t="s">
        <v>2383</v>
      </c>
      <c r="Z1450" t="s">
        <v>458</v>
      </c>
      <c r="AA1450" t="s">
        <v>3857</v>
      </c>
      <c r="AB1450">
        <v>2.06</v>
      </c>
      <c r="AC1450" t="s">
        <v>835</v>
      </c>
      <c r="AD1450">
        <v>52.76</v>
      </c>
      <c r="AE1450" t="s">
        <v>2429</v>
      </c>
      <c r="AF1450">
        <v>4.54</v>
      </c>
      <c r="AG1450">
        <v>0</v>
      </c>
      <c r="AH1450">
        <v>0</v>
      </c>
      <c r="AI1450" s="4">
        <v>41816</v>
      </c>
    </row>
    <row r="1451" spans="1:35">
      <c r="A1451">
        <v>1450</v>
      </c>
      <c r="B1451" t="str">
        <f>"300109"</f>
        <v>300109</v>
      </c>
      <c r="C1451" t="s">
        <v>8108</v>
      </c>
      <c r="D1451" s="4">
        <v>43190</v>
      </c>
      <c r="E1451" t="s">
        <v>2069</v>
      </c>
      <c r="F1451" t="s">
        <v>8109</v>
      </c>
      <c r="G1451">
        <v>5984</v>
      </c>
      <c r="H1451">
        <v>0.14000000000000001</v>
      </c>
      <c r="I1451">
        <v>7.81</v>
      </c>
      <c r="J1451">
        <v>1.85</v>
      </c>
      <c r="K1451" t="s">
        <v>657</v>
      </c>
      <c r="L1451">
        <v>31.49</v>
      </c>
      <c r="M1451" t="s">
        <v>8110</v>
      </c>
      <c r="N1451" t="s">
        <v>8111</v>
      </c>
      <c r="O1451" t="s">
        <v>4706</v>
      </c>
      <c r="P1451" t="s">
        <v>8112</v>
      </c>
      <c r="Q1451">
        <v>0.92</v>
      </c>
      <c r="R1451" t="s">
        <v>1664</v>
      </c>
      <c r="S1451">
        <v>1.65</v>
      </c>
      <c r="T1451">
        <v>44.64</v>
      </c>
      <c r="U1451" t="s">
        <v>1255</v>
      </c>
      <c r="V1451" t="s">
        <v>1358</v>
      </c>
      <c r="W1451" t="s">
        <v>2041</v>
      </c>
      <c r="X1451">
        <v>1.85</v>
      </c>
      <c r="Y1451" t="s">
        <v>3293</v>
      </c>
      <c r="Z1451" t="s">
        <v>1847</v>
      </c>
      <c r="AA1451" t="s">
        <v>7622</v>
      </c>
      <c r="AB1451">
        <v>3.97</v>
      </c>
      <c r="AC1451" t="s">
        <v>124</v>
      </c>
      <c r="AD1451">
        <v>66.05</v>
      </c>
      <c r="AE1451" t="s">
        <v>1173</v>
      </c>
      <c r="AF1451">
        <v>4.99</v>
      </c>
      <c r="AG1451">
        <v>0</v>
      </c>
      <c r="AH1451">
        <v>0</v>
      </c>
      <c r="AI1451" s="4">
        <v>40415</v>
      </c>
    </row>
    <row r="1452" spans="1:35">
      <c r="A1452">
        <v>1451</v>
      </c>
      <c r="B1452" t="str">
        <f>"002518"</f>
        <v>002518</v>
      </c>
      <c r="C1452" t="s">
        <v>8113</v>
      </c>
      <c r="D1452" s="4">
        <v>43190</v>
      </c>
      <c r="E1452" t="s">
        <v>107</v>
      </c>
      <c r="F1452" t="s">
        <v>506</v>
      </c>
      <c r="G1452" t="s">
        <v>8114</v>
      </c>
      <c r="H1452">
        <v>7.0000000000000007E-2</v>
      </c>
      <c r="I1452">
        <v>3.72</v>
      </c>
      <c r="J1452">
        <v>1.85</v>
      </c>
      <c r="K1452" t="s">
        <v>335</v>
      </c>
      <c r="L1452">
        <v>10.83</v>
      </c>
      <c r="M1452" t="s">
        <v>8115</v>
      </c>
      <c r="N1452" t="s">
        <v>8116</v>
      </c>
      <c r="O1452" t="s">
        <v>6131</v>
      </c>
      <c r="P1452" t="s">
        <v>4926</v>
      </c>
      <c r="Q1452">
        <v>-16.66</v>
      </c>
      <c r="R1452" t="s">
        <v>354</v>
      </c>
      <c r="S1452">
        <v>1.73</v>
      </c>
      <c r="T1452">
        <v>33.03</v>
      </c>
      <c r="U1452" t="s">
        <v>1593</v>
      </c>
      <c r="V1452" t="s">
        <v>1386</v>
      </c>
      <c r="W1452" t="s">
        <v>2255</v>
      </c>
      <c r="X1452">
        <v>1.85</v>
      </c>
      <c r="Y1452" t="s">
        <v>1082</v>
      </c>
      <c r="Z1452" t="s">
        <v>699</v>
      </c>
      <c r="AA1452" t="s">
        <v>1624</v>
      </c>
      <c r="AB1452">
        <v>2.37</v>
      </c>
      <c r="AC1452" t="s">
        <v>1029</v>
      </c>
      <c r="AD1452">
        <v>64.42</v>
      </c>
      <c r="AE1452" t="s">
        <v>2111</v>
      </c>
      <c r="AF1452">
        <v>0.91</v>
      </c>
      <c r="AG1452">
        <v>0</v>
      </c>
      <c r="AH1452">
        <v>0</v>
      </c>
      <c r="AI1452" s="4">
        <v>40519</v>
      </c>
    </row>
    <row r="1453" spans="1:35">
      <c r="A1453">
        <v>1452</v>
      </c>
      <c r="B1453" t="str">
        <f>"002392"</f>
        <v>002392</v>
      </c>
      <c r="C1453" t="s">
        <v>8117</v>
      </c>
      <c r="D1453" s="4">
        <v>43190</v>
      </c>
      <c r="E1453" t="s">
        <v>1033</v>
      </c>
      <c r="F1453" t="s">
        <v>6262</v>
      </c>
      <c r="G1453">
        <v>8045</v>
      </c>
      <c r="H1453">
        <v>0.05</v>
      </c>
      <c r="I1453">
        <v>2.67</v>
      </c>
      <c r="J1453">
        <v>1.85</v>
      </c>
      <c r="K1453" t="s">
        <v>1073</v>
      </c>
      <c r="L1453">
        <v>50.17</v>
      </c>
      <c r="M1453" t="s">
        <v>8118</v>
      </c>
      <c r="N1453" t="s">
        <v>2658</v>
      </c>
      <c r="O1453" t="s">
        <v>2415</v>
      </c>
      <c r="P1453" t="s">
        <v>7887</v>
      </c>
      <c r="Q1453">
        <v>45.96</v>
      </c>
      <c r="R1453" t="s">
        <v>903</v>
      </c>
      <c r="S1453">
        <v>0.77</v>
      </c>
      <c r="T1453">
        <v>35.01</v>
      </c>
      <c r="U1453" t="s">
        <v>4159</v>
      </c>
      <c r="V1453" t="s">
        <v>2301</v>
      </c>
      <c r="W1453" t="s">
        <v>137</v>
      </c>
      <c r="X1453">
        <v>1.85</v>
      </c>
      <c r="Y1453" t="s">
        <v>159</v>
      </c>
      <c r="Z1453" t="s">
        <v>391</v>
      </c>
      <c r="AA1453" t="s">
        <v>1450</v>
      </c>
      <c r="AB1453">
        <v>1.21</v>
      </c>
      <c r="AC1453" t="s">
        <v>1054</v>
      </c>
      <c r="AD1453">
        <v>60.47</v>
      </c>
      <c r="AE1453" t="s">
        <v>895</v>
      </c>
      <c r="AF1453">
        <v>0.84</v>
      </c>
      <c r="AG1453">
        <v>0</v>
      </c>
      <c r="AH1453">
        <v>0</v>
      </c>
      <c r="AI1453" s="4">
        <v>40291</v>
      </c>
    </row>
    <row r="1454" spans="1:35">
      <c r="A1454">
        <v>1453</v>
      </c>
      <c r="B1454" t="str">
        <f>"002354"</f>
        <v>002354</v>
      </c>
      <c r="C1454" t="s">
        <v>8119</v>
      </c>
      <c r="D1454" s="4">
        <v>43190</v>
      </c>
      <c r="E1454" t="s">
        <v>2250</v>
      </c>
      <c r="F1454" t="s">
        <v>506</v>
      </c>
      <c r="G1454" t="s">
        <v>5650</v>
      </c>
      <c r="H1454">
        <v>0.19</v>
      </c>
      <c r="I1454">
        <v>9.9600000000000009</v>
      </c>
      <c r="J1454">
        <v>1.85</v>
      </c>
      <c r="K1454" t="s">
        <v>561</v>
      </c>
      <c r="L1454">
        <v>15.98</v>
      </c>
      <c r="M1454" t="s">
        <v>1180</v>
      </c>
      <c r="N1454" t="s">
        <v>8120</v>
      </c>
      <c r="O1454" t="s">
        <v>258</v>
      </c>
      <c r="P1454" t="s">
        <v>1202</v>
      </c>
      <c r="Q1454">
        <v>-24.64</v>
      </c>
      <c r="R1454" t="s">
        <v>316</v>
      </c>
      <c r="S1454">
        <v>2.4500000000000002</v>
      </c>
      <c r="T1454">
        <v>68.87</v>
      </c>
      <c r="U1454" t="s">
        <v>246</v>
      </c>
      <c r="V1454" t="s">
        <v>1504</v>
      </c>
      <c r="W1454" t="s">
        <v>8121</v>
      </c>
      <c r="X1454">
        <v>1.85</v>
      </c>
      <c r="Y1454" t="s">
        <v>763</v>
      </c>
      <c r="Z1454" t="s">
        <v>223</v>
      </c>
      <c r="AA1454" t="s">
        <v>1190</v>
      </c>
      <c r="AB1454">
        <v>0.89</v>
      </c>
      <c r="AC1454" t="s">
        <v>717</v>
      </c>
      <c r="AD1454">
        <v>68.319999999999993</v>
      </c>
      <c r="AE1454" t="s">
        <v>2727</v>
      </c>
      <c r="AF1454">
        <v>6.36</v>
      </c>
      <c r="AG1454">
        <v>0</v>
      </c>
      <c r="AH1454">
        <v>0</v>
      </c>
      <c r="AI1454" s="4">
        <v>40218</v>
      </c>
    </row>
    <row r="1455" spans="1:35">
      <c r="A1455">
        <v>1454</v>
      </c>
      <c r="B1455" t="str">
        <f>"603797"</f>
        <v>603797</v>
      </c>
      <c r="C1455" t="s">
        <v>8122</v>
      </c>
      <c r="D1455" s="4">
        <v>43190</v>
      </c>
      <c r="E1455" t="s">
        <v>1417</v>
      </c>
      <c r="F1455" t="s">
        <v>8123</v>
      </c>
      <c r="G1455">
        <v>2628</v>
      </c>
      <c r="H1455">
        <v>0.09</v>
      </c>
      <c r="I1455">
        <v>4.87</v>
      </c>
      <c r="J1455">
        <v>1.84</v>
      </c>
      <c r="K1455" t="s">
        <v>8124</v>
      </c>
      <c r="L1455">
        <v>19.100000000000001</v>
      </c>
      <c r="M1455" t="s">
        <v>8125</v>
      </c>
      <c r="N1455">
        <v>0</v>
      </c>
      <c r="O1455" t="s">
        <v>8125</v>
      </c>
      <c r="P1455" t="s">
        <v>4105</v>
      </c>
      <c r="Q1455">
        <v>37.49</v>
      </c>
      <c r="R1455" t="s">
        <v>1320</v>
      </c>
      <c r="S1455">
        <v>1.51</v>
      </c>
      <c r="T1455">
        <v>57.74</v>
      </c>
      <c r="U1455" t="s">
        <v>1285</v>
      </c>
      <c r="V1455" t="s">
        <v>1049</v>
      </c>
      <c r="W1455" t="s">
        <v>8126</v>
      </c>
      <c r="X1455">
        <v>1.84</v>
      </c>
      <c r="Y1455" t="s">
        <v>251</v>
      </c>
      <c r="Z1455" t="s">
        <v>1780</v>
      </c>
      <c r="AA1455" t="s">
        <v>250</v>
      </c>
      <c r="AB1455">
        <v>2.97</v>
      </c>
      <c r="AC1455" t="s">
        <v>919</v>
      </c>
      <c r="AD1455">
        <v>33.21</v>
      </c>
      <c r="AE1455" t="s">
        <v>3496</v>
      </c>
      <c r="AF1455">
        <v>2.29</v>
      </c>
      <c r="AG1455">
        <v>0</v>
      </c>
      <c r="AH1455">
        <v>0</v>
      </c>
      <c r="AI1455" s="4">
        <v>42838</v>
      </c>
    </row>
    <row r="1456" spans="1:35">
      <c r="A1456">
        <v>1455</v>
      </c>
      <c r="B1456" t="str">
        <f>"603688"</f>
        <v>603688</v>
      </c>
      <c r="C1456" t="s">
        <v>8127</v>
      </c>
      <c r="D1456" s="4">
        <v>43190</v>
      </c>
      <c r="E1456" t="s">
        <v>678</v>
      </c>
      <c r="F1456" t="s">
        <v>52</v>
      </c>
      <c r="G1456" t="s">
        <v>8128</v>
      </c>
      <c r="H1456">
        <v>7.0000000000000007E-2</v>
      </c>
      <c r="I1456">
        <v>3.81</v>
      </c>
      <c r="J1456">
        <v>1.84</v>
      </c>
      <c r="K1456" t="s">
        <v>920</v>
      </c>
      <c r="L1456">
        <v>29.34</v>
      </c>
      <c r="M1456" t="s">
        <v>6740</v>
      </c>
      <c r="N1456" t="s">
        <v>3836</v>
      </c>
      <c r="O1456" t="s">
        <v>8129</v>
      </c>
      <c r="P1456" t="s">
        <v>8130</v>
      </c>
      <c r="Q1456">
        <v>61.36</v>
      </c>
      <c r="R1456" t="s">
        <v>3067</v>
      </c>
      <c r="S1456">
        <v>1.25</v>
      </c>
      <c r="T1456">
        <v>39.200000000000003</v>
      </c>
      <c r="U1456" t="s">
        <v>538</v>
      </c>
      <c r="V1456" t="s">
        <v>1584</v>
      </c>
      <c r="W1456" t="s">
        <v>681</v>
      </c>
      <c r="X1456">
        <v>1.84</v>
      </c>
      <c r="Y1456" t="s">
        <v>8131</v>
      </c>
      <c r="Z1456" t="s">
        <v>4757</v>
      </c>
      <c r="AA1456" t="s">
        <v>8132</v>
      </c>
      <c r="AB1456">
        <v>3.64</v>
      </c>
      <c r="AC1456" t="s">
        <v>1307</v>
      </c>
      <c r="AD1456">
        <v>94.16</v>
      </c>
      <c r="AE1456" t="s">
        <v>2686</v>
      </c>
      <c r="AF1456">
        <v>1.39</v>
      </c>
      <c r="AG1456">
        <v>0</v>
      </c>
      <c r="AH1456">
        <v>0</v>
      </c>
      <c r="AI1456" s="4">
        <v>41943</v>
      </c>
    </row>
    <row r="1457" spans="1:35">
      <c r="A1457">
        <v>1456</v>
      </c>
      <c r="B1457" t="str">
        <f>"603328"</f>
        <v>603328</v>
      </c>
      <c r="C1457" t="s">
        <v>8133</v>
      </c>
      <c r="D1457" s="4">
        <v>43190</v>
      </c>
      <c r="E1457" t="s">
        <v>894</v>
      </c>
      <c r="F1457" t="s">
        <v>4236</v>
      </c>
      <c r="G1457" t="s">
        <v>7522</v>
      </c>
      <c r="H1457">
        <v>0.09</v>
      </c>
      <c r="I1457">
        <v>4.7300000000000004</v>
      </c>
      <c r="J1457">
        <v>1.84</v>
      </c>
      <c r="K1457" t="s">
        <v>2194</v>
      </c>
      <c r="L1457">
        <v>2.99</v>
      </c>
      <c r="M1457" t="s">
        <v>197</v>
      </c>
      <c r="N1457" t="s">
        <v>4686</v>
      </c>
      <c r="O1457" t="s">
        <v>1119</v>
      </c>
      <c r="P1457" t="s">
        <v>8134</v>
      </c>
      <c r="Q1457">
        <v>-27.62</v>
      </c>
      <c r="R1457" t="s">
        <v>1516</v>
      </c>
      <c r="S1457">
        <v>2.46</v>
      </c>
      <c r="T1457">
        <v>31.1</v>
      </c>
      <c r="U1457" t="s">
        <v>2691</v>
      </c>
      <c r="V1457" t="s">
        <v>2702</v>
      </c>
      <c r="W1457" t="s">
        <v>3117</v>
      </c>
      <c r="X1457">
        <v>1.84</v>
      </c>
      <c r="Y1457" t="s">
        <v>1802</v>
      </c>
      <c r="Z1457" t="s">
        <v>2595</v>
      </c>
      <c r="AA1457" t="s">
        <v>8135</v>
      </c>
      <c r="AB1457">
        <v>2.02</v>
      </c>
      <c r="AC1457" t="s">
        <v>3887</v>
      </c>
      <c r="AD1457">
        <v>84.89</v>
      </c>
      <c r="AE1457" t="s">
        <v>1094</v>
      </c>
      <c r="AF1457">
        <v>1.01</v>
      </c>
      <c r="AG1457">
        <v>0</v>
      </c>
      <c r="AH1457">
        <v>0</v>
      </c>
      <c r="AI1457" s="4">
        <v>41821</v>
      </c>
    </row>
    <row r="1458" spans="1:35">
      <c r="A1458">
        <v>1457</v>
      </c>
      <c r="B1458" t="str">
        <f>"002851"</f>
        <v>002851</v>
      </c>
      <c r="C1458" t="s">
        <v>8136</v>
      </c>
      <c r="D1458" s="4">
        <v>43190</v>
      </c>
      <c r="E1458" t="s">
        <v>798</v>
      </c>
      <c r="F1458" t="s">
        <v>2603</v>
      </c>
      <c r="G1458">
        <v>3742</v>
      </c>
      <c r="H1458">
        <v>0.09</v>
      </c>
      <c r="I1458">
        <v>4.82</v>
      </c>
      <c r="J1458">
        <v>1.84</v>
      </c>
      <c r="K1458" t="s">
        <v>165</v>
      </c>
      <c r="L1458">
        <v>48.22</v>
      </c>
      <c r="M1458" t="s">
        <v>1681</v>
      </c>
      <c r="N1458" t="s">
        <v>5749</v>
      </c>
      <c r="O1458" t="s">
        <v>8048</v>
      </c>
      <c r="P1458" t="s">
        <v>6788</v>
      </c>
      <c r="Q1458">
        <v>60.58</v>
      </c>
      <c r="R1458" t="s">
        <v>2255</v>
      </c>
      <c r="S1458">
        <v>1.79</v>
      </c>
      <c r="T1458">
        <v>29.41</v>
      </c>
      <c r="U1458" t="s">
        <v>223</v>
      </c>
      <c r="V1458" t="s">
        <v>187</v>
      </c>
      <c r="W1458" t="s">
        <v>641</v>
      </c>
      <c r="X1458">
        <v>1.84</v>
      </c>
      <c r="Y1458" t="s">
        <v>4953</v>
      </c>
      <c r="Z1458" t="s">
        <v>3494</v>
      </c>
      <c r="AA1458" t="s">
        <v>8137</v>
      </c>
      <c r="AB1458">
        <v>5.66</v>
      </c>
      <c r="AC1458" t="s">
        <v>124</v>
      </c>
      <c r="AD1458">
        <v>55.22</v>
      </c>
      <c r="AE1458" t="s">
        <v>1898</v>
      </c>
      <c r="AF1458">
        <v>2.11</v>
      </c>
      <c r="AG1458">
        <v>0</v>
      </c>
      <c r="AH1458">
        <v>0</v>
      </c>
      <c r="AI1458" s="4">
        <v>42800</v>
      </c>
    </row>
    <row r="1459" spans="1:35">
      <c r="A1459">
        <v>1458</v>
      </c>
      <c r="B1459" t="str">
        <f>"000826"</f>
        <v>000826</v>
      </c>
      <c r="C1459" t="s">
        <v>8138</v>
      </c>
      <c r="D1459" s="4">
        <v>43190</v>
      </c>
      <c r="E1459" t="s">
        <v>162</v>
      </c>
      <c r="F1459" t="s">
        <v>1033</v>
      </c>
      <c r="G1459" t="s">
        <v>5615</v>
      </c>
      <c r="H1459">
        <v>0.21</v>
      </c>
      <c r="I1459">
        <v>8.83</v>
      </c>
      <c r="J1459">
        <v>1.84</v>
      </c>
      <c r="K1459" t="s">
        <v>728</v>
      </c>
      <c r="L1459">
        <v>22.26</v>
      </c>
      <c r="M1459" t="s">
        <v>137</v>
      </c>
      <c r="N1459" t="s">
        <v>8139</v>
      </c>
      <c r="O1459" t="s">
        <v>137</v>
      </c>
      <c r="P1459" t="s">
        <v>296</v>
      </c>
      <c r="Q1459">
        <v>43.22</v>
      </c>
      <c r="R1459" t="s">
        <v>1410</v>
      </c>
      <c r="S1459">
        <v>3.17</v>
      </c>
      <c r="T1459">
        <v>35.56</v>
      </c>
      <c r="U1459" t="s">
        <v>4455</v>
      </c>
      <c r="V1459" t="s">
        <v>2066</v>
      </c>
      <c r="W1459" t="s">
        <v>2280</v>
      </c>
      <c r="X1459">
        <v>1.84</v>
      </c>
      <c r="Y1459" t="s">
        <v>957</v>
      </c>
      <c r="Z1459" t="s">
        <v>1745</v>
      </c>
      <c r="AA1459" t="s">
        <v>3262</v>
      </c>
      <c r="AB1459">
        <v>2.0099999999999998</v>
      </c>
      <c r="AC1459" t="s">
        <v>3118</v>
      </c>
      <c r="AD1459">
        <v>42.74</v>
      </c>
      <c r="AE1459" t="s">
        <v>4807</v>
      </c>
      <c r="AF1459">
        <v>4.32</v>
      </c>
      <c r="AG1459">
        <v>0</v>
      </c>
      <c r="AH1459">
        <v>0</v>
      </c>
      <c r="AI1459" s="4">
        <v>35851</v>
      </c>
    </row>
    <row r="1460" spans="1:35">
      <c r="A1460">
        <v>1459</v>
      </c>
      <c r="B1460" t="str">
        <f>"000657"</f>
        <v>000657</v>
      </c>
      <c r="C1460" t="s">
        <v>8140</v>
      </c>
      <c r="D1460" s="4">
        <v>43190</v>
      </c>
      <c r="E1460" t="s">
        <v>1941</v>
      </c>
      <c r="F1460" t="s">
        <v>219</v>
      </c>
      <c r="G1460">
        <v>6940</v>
      </c>
      <c r="H1460">
        <v>0.09</v>
      </c>
      <c r="I1460">
        <v>5.0199999999999996</v>
      </c>
      <c r="J1460">
        <v>1.84</v>
      </c>
      <c r="K1460" t="s">
        <v>1343</v>
      </c>
      <c r="L1460">
        <v>24.52</v>
      </c>
      <c r="M1460" t="s">
        <v>3112</v>
      </c>
      <c r="N1460">
        <v>0</v>
      </c>
      <c r="O1460" t="s">
        <v>8141</v>
      </c>
      <c r="P1460" t="s">
        <v>7071</v>
      </c>
      <c r="Q1460">
        <v>138.13999999999999</v>
      </c>
      <c r="R1460" t="s">
        <v>8142</v>
      </c>
      <c r="S1460">
        <v>-0.28999999999999998</v>
      </c>
      <c r="T1460">
        <v>19.48</v>
      </c>
      <c r="U1460" t="s">
        <v>3313</v>
      </c>
      <c r="V1460" t="s">
        <v>2005</v>
      </c>
      <c r="W1460" t="s">
        <v>420</v>
      </c>
      <c r="X1460">
        <v>1.84</v>
      </c>
      <c r="Y1460" t="s">
        <v>3122</v>
      </c>
      <c r="Z1460" t="s">
        <v>1625</v>
      </c>
      <c r="AA1460" t="s">
        <v>299</v>
      </c>
      <c r="AB1460">
        <v>1.94</v>
      </c>
      <c r="AC1460" t="s">
        <v>423</v>
      </c>
      <c r="AD1460">
        <v>41.33</v>
      </c>
      <c r="AE1460" t="s">
        <v>725</v>
      </c>
      <c r="AF1460">
        <v>4.3600000000000003</v>
      </c>
      <c r="AG1460">
        <v>0</v>
      </c>
      <c r="AH1460">
        <v>0</v>
      </c>
      <c r="AI1460" s="4">
        <v>35404</v>
      </c>
    </row>
    <row r="1461" spans="1:35">
      <c r="A1461">
        <v>1460</v>
      </c>
      <c r="B1461" t="str">
        <f>"000402"</f>
        <v>000402</v>
      </c>
      <c r="C1461" t="s">
        <v>8143</v>
      </c>
      <c r="D1461" s="4">
        <v>43190</v>
      </c>
      <c r="E1461" t="s">
        <v>864</v>
      </c>
      <c r="F1461" t="s">
        <v>864</v>
      </c>
      <c r="G1461" t="s">
        <v>2969</v>
      </c>
      <c r="H1461">
        <v>0.18</v>
      </c>
      <c r="I1461">
        <v>9.7799999999999994</v>
      </c>
      <c r="J1461">
        <v>1.84</v>
      </c>
      <c r="K1461" t="s">
        <v>457</v>
      </c>
      <c r="L1461">
        <v>-34.729999999999997</v>
      </c>
      <c r="M1461" t="s">
        <v>453</v>
      </c>
      <c r="N1461" t="s">
        <v>8144</v>
      </c>
      <c r="O1461" t="s">
        <v>909</v>
      </c>
      <c r="P1461" t="s">
        <v>1438</v>
      </c>
      <c r="Q1461">
        <v>1.77</v>
      </c>
      <c r="R1461" t="s">
        <v>1550</v>
      </c>
      <c r="S1461">
        <v>5.76</v>
      </c>
      <c r="T1461">
        <v>44.46</v>
      </c>
      <c r="U1461" t="s">
        <v>8145</v>
      </c>
      <c r="V1461" t="s">
        <v>8146</v>
      </c>
      <c r="W1461" t="s">
        <v>1504</v>
      </c>
      <c r="X1461">
        <v>1.84</v>
      </c>
      <c r="Y1461" t="s">
        <v>3212</v>
      </c>
      <c r="Z1461" t="s">
        <v>3127</v>
      </c>
      <c r="AA1461" t="s">
        <v>1336</v>
      </c>
      <c r="AB1461">
        <v>0.85</v>
      </c>
      <c r="AC1461" t="s">
        <v>1932</v>
      </c>
      <c r="AD1461">
        <v>22.72</v>
      </c>
      <c r="AE1461" t="s">
        <v>4239</v>
      </c>
      <c r="AF1461">
        <v>2.29</v>
      </c>
      <c r="AG1461">
        <v>0</v>
      </c>
      <c r="AH1461">
        <v>0</v>
      </c>
      <c r="AI1461" s="4">
        <v>35242</v>
      </c>
    </row>
    <row r="1462" spans="1:35">
      <c r="A1462">
        <v>1461</v>
      </c>
      <c r="B1462" t="str">
        <f>"603186"</f>
        <v>603186</v>
      </c>
      <c r="C1462" t="s">
        <v>8147</v>
      </c>
      <c r="D1462" s="4">
        <v>43190</v>
      </c>
      <c r="E1462" t="s">
        <v>1376</v>
      </c>
      <c r="F1462" t="s">
        <v>5989</v>
      </c>
      <c r="G1462">
        <v>6295</v>
      </c>
      <c r="H1462">
        <v>0.09</v>
      </c>
      <c r="I1462">
        <v>4.67</v>
      </c>
      <c r="J1462">
        <v>1.83</v>
      </c>
      <c r="K1462" t="s">
        <v>3726</v>
      </c>
      <c r="L1462">
        <v>-4.83</v>
      </c>
      <c r="M1462" t="s">
        <v>7328</v>
      </c>
      <c r="N1462" t="s">
        <v>2734</v>
      </c>
      <c r="O1462" t="s">
        <v>4764</v>
      </c>
      <c r="P1462" t="s">
        <v>8148</v>
      </c>
      <c r="Q1462">
        <v>-72.05</v>
      </c>
      <c r="R1462" t="s">
        <v>1609</v>
      </c>
      <c r="S1462">
        <v>2</v>
      </c>
      <c r="T1462">
        <v>19.05</v>
      </c>
      <c r="U1462" t="s">
        <v>419</v>
      </c>
      <c r="V1462" t="s">
        <v>300</v>
      </c>
      <c r="W1462" t="s">
        <v>1206</v>
      </c>
      <c r="X1462">
        <v>1.83</v>
      </c>
      <c r="Y1462" t="s">
        <v>124</v>
      </c>
      <c r="Z1462" t="s">
        <v>625</v>
      </c>
      <c r="AA1462" t="s">
        <v>1038</v>
      </c>
      <c r="AB1462">
        <v>3.25</v>
      </c>
      <c r="AC1462" t="s">
        <v>1941</v>
      </c>
      <c r="AD1462">
        <v>32.15</v>
      </c>
      <c r="AE1462" t="s">
        <v>844</v>
      </c>
      <c r="AF1462">
        <v>1.57</v>
      </c>
      <c r="AG1462">
        <v>0</v>
      </c>
      <c r="AH1462">
        <v>0</v>
      </c>
      <c r="AI1462" s="4">
        <v>42738</v>
      </c>
    </row>
    <row r="1463" spans="1:35">
      <c r="A1463">
        <v>1462</v>
      </c>
      <c r="B1463" t="str">
        <f>"601518"</f>
        <v>601518</v>
      </c>
      <c r="C1463" t="s">
        <v>8149</v>
      </c>
      <c r="D1463" s="4">
        <v>43190</v>
      </c>
      <c r="E1463" t="s">
        <v>1214</v>
      </c>
      <c r="F1463" t="s">
        <v>264</v>
      </c>
      <c r="G1463" t="s">
        <v>3475</v>
      </c>
      <c r="H1463">
        <v>0.04</v>
      </c>
      <c r="I1463">
        <v>2.4500000000000002</v>
      </c>
      <c r="J1463">
        <v>1.83</v>
      </c>
      <c r="K1463" t="s">
        <v>1360</v>
      </c>
      <c r="L1463">
        <v>-3.3</v>
      </c>
      <c r="M1463" t="s">
        <v>5610</v>
      </c>
      <c r="N1463">
        <v>0</v>
      </c>
      <c r="O1463" t="s">
        <v>7495</v>
      </c>
      <c r="P1463" t="s">
        <v>8124</v>
      </c>
      <c r="Q1463">
        <v>9.58</v>
      </c>
      <c r="R1463" t="s">
        <v>405</v>
      </c>
      <c r="S1463">
        <v>0.85</v>
      </c>
      <c r="T1463">
        <v>71.680000000000007</v>
      </c>
      <c r="U1463" t="s">
        <v>3316</v>
      </c>
      <c r="V1463" t="s">
        <v>2938</v>
      </c>
      <c r="W1463" t="s">
        <v>2923</v>
      </c>
      <c r="X1463">
        <v>1.83</v>
      </c>
      <c r="Y1463" t="s">
        <v>2071</v>
      </c>
      <c r="Z1463" t="s">
        <v>846</v>
      </c>
      <c r="AA1463" t="s">
        <v>352</v>
      </c>
      <c r="AB1463">
        <v>1.32</v>
      </c>
      <c r="AC1463" t="s">
        <v>1242</v>
      </c>
      <c r="AD1463">
        <v>46.24</v>
      </c>
      <c r="AE1463" t="s">
        <v>1964</v>
      </c>
      <c r="AF1463">
        <v>0.46</v>
      </c>
      <c r="AG1463">
        <v>0</v>
      </c>
      <c r="AH1463">
        <v>0</v>
      </c>
      <c r="AI1463" s="4">
        <v>40256</v>
      </c>
    </row>
    <row r="1464" spans="1:35">
      <c r="A1464">
        <v>1463</v>
      </c>
      <c r="B1464" t="str">
        <f>"300455"</f>
        <v>300455</v>
      </c>
      <c r="C1464" t="s">
        <v>8150</v>
      </c>
      <c r="D1464" s="4">
        <v>43190</v>
      </c>
      <c r="E1464" t="s">
        <v>1076</v>
      </c>
      <c r="F1464" t="s">
        <v>3297</v>
      </c>
      <c r="G1464">
        <v>7563</v>
      </c>
      <c r="H1464">
        <v>0.03</v>
      </c>
      <c r="I1464">
        <v>1.34</v>
      </c>
      <c r="J1464">
        <v>1.83</v>
      </c>
      <c r="K1464" t="s">
        <v>8151</v>
      </c>
      <c r="L1464">
        <v>7.34</v>
      </c>
      <c r="M1464" t="s">
        <v>8152</v>
      </c>
      <c r="N1464">
        <v>0</v>
      </c>
      <c r="O1464" t="s">
        <v>7226</v>
      </c>
      <c r="P1464" t="s">
        <v>1960</v>
      </c>
      <c r="Q1464">
        <v>5.99</v>
      </c>
      <c r="R1464" t="s">
        <v>507</v>
      </c>
      <c r="S1464">
        <v>0.45</v>
      </c>
      <c r="T1464">
        <v>45.07</v>
      </c>
      <c r="U1464" t="s">
        <v>3157</v>
      </c>
      <c r="V1464" t="s">
        <v>563</v>
      </c>
      <c r="W1464" t="s">
        <v>1627</v>
      </c>
      <c r="X1464">
        <v>1.83</v>
      </c>
      <c r="Y1464" t="s">
        <v>5453</v>
      </c>
      <c r="Z1464" t="s">
        <v>2910</v>
      </c>
      <c r="AA1464" t="s">
        <v>8153</v>
      </c>
      <c r="AB1464">
        <v>6.27</v>
      </c>
      <c r="AC1464" t="s">
        <v>1872</v>
      </c>
      <c r="AD1464">
        <v>89.08</v>
      </c>
      <c r="AE1464" t="s">
        <v>8154</v>
      </c>
      <c r="AF1464">
        <v>0.05</v>
      </c>
      <c r="AG1464">
        <v>0</v>
      </c>
      <c r="AH1464">
        <v>0</v>
      </c>
      <c r="AI1464" s="4">
        <v>42139</v>
      </c>
    </row>
    <row r="1465" spans="1:35">
      <c r="A1465">
        <v>1464</v>
      </c>
      <c r="B1465" t="str">
        <f>"300044"</f>
        <v>300044</v>
      </c>
      <c r="C1465" t="s">
        <v>8155</v>
      </c>
      <c r="D1465" s="4">
        <v>43190</v>
      </c>
      <c r="E1465" t="s">
        <v>2148</v>
      </c>
      <c r="F1465" t="s">
        <v>2625</v>
      </c>
      <c r="G1465">
        <v>4602</v>
      </c>
      <c r="H1465">
        <v>0.05</v>
      </c>
      <c r="I1465">
        <v>2.93</v>
      </c>
      <c r="J1465">
        <v>1.83</v>
      </c>
      <c r="K1465" t="s">
        <v>676</v>
      </c>
      <c r="L1465">
        <v>0.6</v>
      </c>
      <c r="M1465" t="s">
        <v>6622</v>
      </c>
      <c r="N1465" t="s">
        <v>1818</v>
      </c>
      <c r="O1465" t="s">
        <v>5962</v>
      </c>
      <c r="P1465" t="s">
        <v>2467</v>
      </c>
      <c r="Q1465">
        <v>148.63999999999999</v>
      </c>
      <c r="R1465" t="s">
        <v>1959</v>
      </c>
      <c r="S1465">
        <v>0.62</v>
      </c>
      <c r="T1465">
        <v>37.369999999999997</v>
      </c>
      <c r="U1465" t="s">
        <v>3770</v>
      </c>
      <c r="V1465" t="s">
        <v>1704</v>
      </c>
      <c r="W1465" t="s">
        <v>2387</v>
      </c>
      <c r="X1465">
        <v>1.83</v>
      </c>
      <c r="Y1465" t="s">
        <v>119</v>
      </c>
      <c r="Z1465" t="s">
        <v>1569</v>
      </c>
      <c r="AA1465" t="s">
        <v>1048</v>
      </c>
      <c r="AB1465">
        <v>2.21</v>
      </c>
      <c r="AC1465" t="s">
        <v>316</v>
      </c>
      <c r="AD1465">
        <v>52.65</v>
      </c>
      <c r="AE1465" t="s">
        <v>971</v>
      </c>
      <c r="AF1465">
        <v>1.31</v>
      </c>
      <c r="AG1465">
        <v>0</v>
      </c>
      <c r="AH1465">
        <v>0</v>
      </c>
      <c r="AI1465" s="4">
        <v>40198</v>
      </c>
    </row>
    <row r="1466" spans="1:35">
      <c r="A1466">
        <v>1465</v>
      </c>
      <c r="B1466" t="str">
        <f>"002410"</f>
        <v>002410</v>
      </c>
      <c r="C1466" t="s">
        <v>8156</v>
      </c>
      <c r="D1466" s="4">
        <v>43190</v>
      </c>
      <c r="E1466" t="s">
        <v>147</v>
      </c>
      <c r="F1466" t="s">
        <v>1658</v>
      </c>
      <c r="G1466" t="s">
        <v>520</v>
      </c>
      <c r="H1466">
        <v>0.05</v>
      </c>
      <c r="I1466">
        <v>2.54</v>
      </c>
      <c r="J1466">
        <v>1.83</v>
      </c>
      <c r="K1466" t="s">
        <v>1074</v>
      </c>
      <c r="L1466">
        <v>8.02</v>
      </c>
      <c r="M1466" t="s">
        <v>8157</v>
      </c>
      <c r="N1466" t="s">
        <v>4710</v>
      </c>
      <c r="O1466" t="s">
        <v>8158</v>
      </c>
      <c r="P1466" t="s">
        <v>8159</v>
      </c>
      <c r="Q1466">
        <v>3.39</v>
      </c>
      <c r="R1466" t="s">
        <v>1025</v>
      </c>
      <c r="S1466">
        <v>0.91</v>
      </c>
      <c r="T1466">
        <v>95.17</v>
      </c>
      <c r="U1466" t="s">
        <v>5794</v>
      </c>
      <c r="V1466" t="s">
        <v>244</v>
      </c>
      <c r="W1466" t="s">
        <v>47</v>
      </c>
      <c r="X1466">
        <v>1.83</v>
      </c>
      <c r="Y1466" t="s">
        <v>847</v>
      </c>
      <c r="Z1466" t="s">
        <v>607</v>
      </c>
      <c r="AA1466" t="s">
        <v>4754</v>
      </c>
      <c r="AB1466">
        <v>9.7200000000000006</v>
      </c>
      <c r="AC1466" t="s">
        <v>1285</v>
      </c>
      <c r="AD1466">
        <v>64.959999999999994</v>
      </c>
      <c r="AE1466" t="s">
        <v>4962</v>
      </c>
      <c r="AF1466">
        <v>0.4</v>
      </c>
      <c r="AG1466">
        <v>0</v>
      </c>
      <c r="AH1466">
        <v>0</v>
      </c>
      <c r="AI1466" s="4">
        <v>40323</v>
      </c>
    </row>
    <row r="1467" spans="1:35">
      <c r="A1467">
        <v>1466</v>
      </c>
      <c r="B1467" t="str">
        <f>"002100"</f>
        <v>002100</v>
      </c>
      <c r="C1467" t="s">
        <v>8160</v>
      </c>
      <c r="D1467" s="4">
        <v>43190</v>
      </c>
      <c r="E1467" t="s">
        <v>8161</v>
      </c>
      <c r="F1467" t="s">
        <v>1787</v>
      </c>
      <c r="G1467" t="s">
        <v>2135</v>
      </c>
      <c r="H1467">
        <v>0.06</v>
      </c>
      <c r="I1467">
        <v>3.11</v>
      </c>
      <c r="J1467">
        <v>1.83</v>
      </c>
      <c r="K1467" t="s">
        <v>2329</v>
      </c>
      <c r="L1467">
        <v>-4.1399999999999997</v>
      </c>
      <c r="M1467" t="s">
        <v>8162</v>
      </c>
      <c r="N1467" t="s">
        <v>8163</v>
      </c>
      <c r="O1467" t="s">
        <v>8164</v>
      </c>
      <c r="P1467" t="s">
        <v>8165</v>
      </c>
      <c r="Q1467">
        <v>-48.51</v>
      </c>
      <c r="R1467" t="s">
        <v>1025</v>
      </c>
      <c r="S1467">
        <v>1.35</v>
      </c>
      <c r="T1467">
        <v>20.77</v>
      </c>
      <c r="U1467" t="s">
        <v>1160</v>
      </c>
      <c r="V1467" t="s">
        <v>2871</v>
      </c>
      <c r="W1467" t="s">
        <v>391</v>
      </c>
      <c r="X1467">
        <v>1.83</v>
      </c>
      <c r="Y1467" t="s">
        <v>589</v>
      </c>
      <c r="Z1467" t="s">
        <v>980</v>
      </c>
      <c r="AA1467" t="s">
        <v>407</v>
      </c>
      <c r="AB1467">
        <v>2</v>
      </c>
      <c r="AC1467" t="s">
        <v>1161</v>
      </c>
      <c r="AD1467">
        <v>50.57</v>
      </c>
      <c r="AE1467" t="s">
        <v>2398</v>
      </c>
      <c r="AF1467">
        <v>0.59</v>
      </c>
      <c r="AG1467">
        <v>0</v>
      </c>
      <c r="AH1467">
        <v>0</v>
      </c>
      <c r="AI1467" s="4">
        <v>39077</v>
      </c>
    </row>
    <row r="1468" spans="1:35">
      <c r="A1468">
        <v>1467</v>
      </c>
      <c r="B1468" t="str">
        <f>"000529"</f>
        <v>000529</v>
      </c>
      <c r="C1468" t="s">
        <v>8166</v>
      </c>
      <c r="D1468" s="4">
        <v>43190</v>
      </c>
      <c r="E1468" t="s">
        <v>2094</v>
      </c>
      <c r="F1468" t="s">
        <v>3324</v>
      </c>
      <c r="G1468" t="s">
        <v>6699</v>
      </c>
      <c r="H1468">
        <v>0.04</v>
      </c>
      <c r="I1468">
        <v>2.39</v>
      </c>
      <c r="J1468">
        <v>1.83</v>
      </c>
      <c r="K1468" t="s">
        <v>499</v>
      </c>
      <c r="L1468">
        <v>-38.880000000000003</v>
      </c>
      <c r="M1468" t="s">
        <v>3709</v>
      </c>
      <c r="N1468" t="s">
        <v>8167</v>
      </c>
      <c r="O1468" t="s">
        <v>8168</v>
      </c>
      <c r="P1468" t="s">
        <v>8169</v>
      </c>
      <c r="Q1468">
        <v>10.9</v>
      </c>
      <c r="R1468" t="s">
        <v>1855</v>
      </c>
      <c r="S1468">
        <v>0.3</v>
      </c>
      <c r="T1468">
        <v>18.010000000000002</v>
      </c>
      <c r="U1468" t="s">
        <v>119</v>
      </c>
      <c r="V1468" t="s">
        <v>538</v>
      </c>
      <c r="W1468" t="s">
        <v>337</v>
      </c>
      <c r="X1468">
        <v>1.83</v>
      </c>
      <c r="Y1468" t="s">
        <v>5842</v>
      </c>
      <c r="Z1468" t="s">
        <v>666</v>
      </c>
      <c r="AA1468" t="s">
        <v>8170</v>
      </c>
      <c r="AB1468">
        <v>2.27</v>
      </c>
      <c r="AC1468" t="s">
        <v>624</v>
      </c>
      <c r="AD1468">
        <v>70.05</v>
      </c>
      <c r="AE1468" t="s">
        <v>2490</v>
      </c>
      <c r="AF1468">
        <v>0.98</v>
      </c>
      <c r="AG1468">
        <v>0</v>
      </c>
      <c r="AH1468">
        <v>0</v>
      </c>
      <c r="AI1468" s="4">
        <v>34291</v>
      </c>
    </row>
    <row r="1469" spans="1:35">
      <c r="A1469">
        <v>1468</v>
      </c>
      <c r="B1469" t="str">
        <f>"603667"</f>
        <v>603667</v>
      </c>
      <c r="C1469" t="s">
        <v>8171</v>
      </c>
      <c r="D1469" s="4">
        <v>43190</v>
      </c>
      <c r="E1469" t="s">
        <v>2387</v>
      </c>
      <c r="F1469" t="s">
        <v>1349</v>
      </c>
      <c r="G1469">
        <v>4618</v>
      </c>
      <c r="H1469">
        <v>0.08</v>
      </c>
      <c r="I1469">
        <v>4.4800000000000004</v>
      </c>
      <c r="J1469">
        <v>1.82</v>
      </c>
      <c r="K1469" t="s">
        <v>36</v>
      </c>
      <c r="L1469">
        <v>10.210000000000001</v>
      </c>
      <c r="M1469" t="s">
        <v>8172</v>
      </c>
      <c r="N1469" t="s">
        <v>8173</v>
      </c>
      <c r="O1469" t="s">
        <v>8174</v>
      </c>
      <c r="P1469" t="s">
        <v>8175</v>
      </c>
      <c r="Q1469">
        <v>6.57</v>
      </c>
      <c r="R1469" t="s">
        <v>2581</v>
      </c>
      <c r="S1469">
        <v>1.4</v>
      </c>
      <c r="T1469">
        <v>20.75</v>
      </c>
      <c r="U1469" t="s">
        <v>1343</v>
      </c>
      <c r="V1469" t="s">
        <v>2620</v>
      </c>
      <c r="W1469" t="s">
        <v>269</v>
      </c>
      <c r="X1469">
        <v>1.82</v>
      </c>
      <c r="Y1469" t="s">
        <v>140</v>
      </c>
      <c r="Z1469" t="s">
        <v>623</v>
      </c>
      <c r="AA1469" t="s">
        <v>5590</v>
      </c>
      <c r="AB1469">
        <v>2.69</v>
      </c>
      <c r="AC1469" t="s">
        <v>405</v>
      </c>
      <c r="AD1469">
        <v>70.180000000000007</v>
      </c>
      <c r="AE1469" t="s">
        <v>2304</v>
      </c>
      <c r="AF1469">
        <v>1.93</v>
      </c>
      <c r="AG1469">
        <v>0</v>
      </c>
      <c r="AH1469">
        <v>0</v>
      </c>
      <c r="AI1469" s="4">
        <v>42668</v>
      </c>
    </row>
    <row r="1470" spans="1:35">
      <c r="A1470">
        <v>1469</v>
      </c>
      <c r="B1470" t="str">
        <f>"603166"</f>
        <v>603166</v>
      </c>
      <c r="C1470" t="s">
        <v>8176</v>
      </c>
      <c r="D1470" s="4">
        <v>43190</v>
      </c>
      <c r="E1470" t="s">
        <v>2938</v>
      </c>
      <c r="F1470" t="s">
        <v>2851</v>
      </c>
      <c r="G1470" t="s">
        <v>5021</v>
      </c>
      <c r="H1470">
        <v>0.06</v>
      </c>
      <c r="I1470">
        <v>3.4</v>
      </c>
      <c r="J1470">
        <v>1.82</v>
      </c>
      <c r="K1470" t="s">
        <v>2665</v>
      </c>
      <c r="L1470">
        <v>12.41</v>
      </c>
      <c r="M1470" t="s">
        <v>3487</v>
      </c>
      <c r="N1470" t="s">
        <v>6700</v>
      </c>
      <c r="O1470" t="s">
        <v>3485</v>
      </c>
      <c r="P1470" t="s">
        <v>8177</v>
      </c>
      <c r="Q1470">
        <v>10.28</v>
      </c>
      <c r="R1470" t="s">
        <v>4044</v>
      </c>
      <c r="S1470">
        <v>0.55000000000000004</v>
      </c>
      <c r="T1470">
        <v>25.02</v>
      </c>
      <c r="U1470" t="s">
        <v>1285</v>
      </c>
      <c r="V1470" t="s">
        <v>405</v>
      </c>
      <c r="W1470" t="s">
        <v>908</v>
      </c>
      <c r="X1470">
        <v>1.82</v>
      </c>
      <c r="Y1470" t="s">
        <v>6611</v>
      </c>
      <c r="Z1470" t="s">
        <v>6159</v>
      </c>
      <c r="AA1470" t="s">
        <v>292</v>
      </c>
      <c r="AB1470">
        <v>2.12</v>
      </c>
      <c r="AC1470" t="s">
        <v>449</v>
      </c>
      <c r="AD1470">
        <v>68.66</v>
      </c>
      <c r="AE1470" t="s">
        <v>521</v>
      </c>
      <c r="AF1470">
        <v>1.77</v>
      </c>
      <c r="AG1470">
        <v>0</v>
      </c>
      <c r="AH1470">
        <v>0</v>
      </c>
      <c r="AI1470" s="4">
        <v>41970</v>
      </c>
    </row>
    <row r="1471" spans="1:35">
      <c r="A1471">
        <v>1470</v>
      </c>
      <c r="B1471" t="str">
        <f>"600754"</f>
        <v>600754</v>
      </c>
      <c r="C1471" t="s">
        <v>8178</v>
      </c>
      <c r="D1471" s="4">
        <v>43190</v>
      </c>
      <c r="E1471" t="s">
        <v>5494</v>
      </c>
      <c r="F1471" t="s">
        <v>1444</v>
      </c>
      <c r="G1471" t="s">
        <v>8179</v>
      </c>
      <c r="H1471">
        <v>0.24</v>
      </c>
      <c r="I1471">
        <v>12.41</v>
      </c>
      <c r="J1471">
        <v>1.82</v>
      </c>
      <c r="K1471" t="s">
        <v>1396</v>
      </c>
      <c r="L1471">
        <v>14.48</v>
      </c>
      <c r="M1471" t="s">
        <v>507</v>
      </c>
      <c r="N1471" t="s">
        <v>37</v>
      </c>
      <c r="O1471" t="s">
        <v>1511</v>
      </c>
      <c r="P1471" t="s">
        <v>985</v>
      </c>
      <c r="Q1471">
        <v>15.78</v>
      </c>
      <c r="R1471" t="s">
        <v>1348</v>
      </c>
      <c r="S1471">
        <v>1.94</v>
      </c>
      <c r="T1471">
        <v>89.65</v>
      </c>
      <c r="U1471" t="s">
        <v>8180</v>
      </c>
      <c r="V1471" t="s">
        <v>399</v>
      </c>
      <c r="W1471" t="s">
        <v>2487</v>
      </c>
      <c r="X1471">
        <v>1.82</v>
      </c>
      <c r="Y1471" t="s">
        <v>556</v>
      </c>
      <c r="Z1471" t="s">
        <v>5279</v>
      </c>
      <c r="AA1471" t="s">
        <v>5503</v>
      </c>
      <c r="AB1471">
        <v>2.9</v>
      </c>
      <c r="AC1471" t="s">
        <v>410</v>
      </c>
      <c r="AD1471">
        <v>29.21</v>
      </c>
      <c r="AE1471" t="s">
        <v>6259</v>
      </c>
      <c r="AF1471">
        <v>8.3800000000000008</v>
      </c>
      <c r="AG1471" t="s">
        <v>610</v>
      </c>
      <c r="AH1471">
        <v>0</v>
      </c>
      <c r="AI1471" s="4">
        <v>35349</v>
      </c>
    </row>
    <row r="1472" spans="1:35">
      <c r="A1472">
        <v>1471</v>
      </c>
      <c r="B1472" t="str">
        <f>"600721"</f>
        <v>600721</v>
      </c>
      <c r="C1472" t="s">
        <v>8181</v>
      </c>
      <c r="D1472" s="4">
        <v>43190</v>
      </c>
      <c r="E1472" t="s">
        <v>150</v>
      </c>
      <c r="F1472" t="s">
        <v>1791</v>
      </c>
      <c r="G1472" t="s">
        <v>5706</v>
      </c>
      <c r="H1472">
        <v>0.08</v>
      </c>
      <c r="I1472">
        <v>4.38</v>
      </c>
      <c r="J1472">
        <v>1.82</v>
      </c>
      <c r="K1472" t="s">
        <v>355</v>
      </c>
      <c r="L1472">
        <v>-25.33</v>
      </c>
      <c r="M1472" t="s">
        <v>5465</v>
      </c>
      <c r="N1472" t="s">
        <v>8182</v>
      </c>
      <c r="O1472" t="s">
        <v>5976</v>
      </c>
      <c r="P1472" t="s">
        <v>8183</v>
      </c>
      <c r="Q1472">
        <v>60.14</v>
      </c>
      <c r="R1472" t="s">
        <v>8184</v>
      </c>
      <c r="S1472">
        <v>-2.44</v>
      </c>
      <c r="T1472">
        <v>46.14</v>
      </c>
      <c r="U1472" t="s">
        <v>1920</v>
      </c>
      <c r="V1472" t="s">
        <v>174</v>
      </c>
      <c r="W1472" t="s">
        <v>1626</v>
      </c>
      <c r="X1472">
        <v>1.82</v>
      </c>
      <c r="Y1472" t="s">
        <v>2507</v>
      </c>
      <c r="Z1472" t="s">
        <v>474</v>
      </c>
      <c r="AA1472" t="s">
        <v>8185</v>
      </c>
      <c r="AB1472">
        <v>1.64</v>
      </c>
      <c r="AC1472" t="s">
        <v>1343</v>
      </c>
      <c r="AD1472">
        <v>85.5</v>
      </c>
      <c r="AE1472" t="s">
        <v>276</v>
      </c>
      <c r="AF1472">
        <v>5.8</v>
      </c>
      <c r="AG1472">
        <v>0</v>
      </c>
      <c r="AH1472">
        <v>0</v>
      </c>
      <c r="AI1472" s="4">
        <v>35242</v>
      </c>
    </row>
    <row r="1473" spans="1:35">
      <c r="A1473">
        <v>1472</v>
      </c>
      <c r="B1473" t="str">
        <f>"603879"</f>
        <v>603879</v>
      </c>
      <c r="C1473" t="s">
        <v>8186</v>
      </c>
      <c r="D1473" s="4">
        <v>43190</v>
      </c>
      <c r="E1473" t="s">
        <v>1016</v>
      </c>
      <c r="F1473" t="s">
        <v>8187</v>
      </c>
      <c r="G1473">
        <v>3632</v>
      </c>
      <c r="H1473">
        <v>7.0000000000000007E-2</v>
      </c>
      <c r="I1473">
        <v>3.53</v>
      </c>
      <c r="J1473">
        <v>1.81</v>
      </c>
      <c r="K1473" t="s">
        <v>533</v>
      </c>
      <c r="L1473">
        <v>-6.11</v>
      </c>
      <c r="M1473" t="s">
        <v>8188</v>
      </c>
      <c r="N1473" t="s">
        <v>6502</v>
      </c>
      <c r="O1473" t="s">
        <v>8189</v>
      </c>
      <c r="P1473" t="s">
        <v>4283</v>
      </c>
      <c r="Q1473">
        <v>7.58</v>
      </c>
      <c r="R1473" t="s">
        <v>1349</v>
      </c>
      <c r="S1473">
        <v>0.63</v>
      </c>
      <c r="T1473">
        <v>16.82</v>
      </c>
      <c r="U1473" t="s">
        <v>2310</v>
      </c>
      <c r="V1473" t="s">
        <v>1436</v>
      </c>
      <c r="W1473" t="s">
        <v>6496</v>
      </c>
      <c r="X1473">
        <v>1.81</v>
      </c>
      <c r="Y1473" t="s">
        <v>8190</v>
      </c>
      <c r="Z1473" t="s">
        <v>8191</v>
      </c>
      <c r="AA1473" t="s">
        <v>8192</v>
      </c>
      <c r="AB1473">
        <v>3.3</v>
      </c>
      <c r="AC1473" t="s">
        <v>2178</v>
      </c>
      <c r="AD1473">
        <v>91.98</v>
      </c>
      <c r="AE1473" t="s">
        <v>3674</v>
      </c>
      <c r="AF1473">
        <v>1.68</v>
      </c>
      <c r="AG1473">
        <v>0</v>
      </c>
      <c r="AH1473">
        <v>0</v>
      </c>
      <c r="AI1473" s="4">
        <v>42900</v>
      </c>
    </row>
    <row r="1474" spans="1:35">
      <c r="A1474">
        <v>1473</v>
      </c>
      <c r="B1474" t="str">
        <f>"603787"</f>
        <v>603787</v>
      </c>
      <c r="C1474" t="s">
        <v>8193</v>
      </c>
      <c r="D1474" s="4">
        <v>43190</v>
      </c>
      <c r="E1474" t="s">
        <v>292</v>
      </c>
      <c r="F1474" t="s">
        <v>8194</v>
      </c>
      <c r="G1474">
        <v>3626</v>
      </c>
      <c r="H1474">
        <v>0.08</v>
      </c>
      <c r="I1474">
        <v>4.2699999999999996</v>
      </c>
      <c r="J1474">
        <v>1.81</v>
      </c>
      <c r="K1474" t="s">
        <v>108</v>
      </c>
      <c r="L1474">
        <v>8.8699999999999992</v>
      </c>
      <c r="M1474" t="s">
        <v>5662</v>
      </c>
      <c r="N1474" t="s">
        <v>2967</v>
      </c>
      <c r="O1474" t="s">
        <v>307</v>
      </c>
      <c r="P1474" t="s">
        <v>4970</v>
      </c>
      <c r="Q1474">
        <v>4.49</v>
      </c>
      <c r="R1474" t="s">
        <v>202</v>
      </c>
      <c r="S1474">
        <v>1.94</v>
      </c>
      <c r="T1474">
        <v>14.47</v>
      </c>
      <c r="U1474" t="s">
        <v>1000</v>
      </c>
      <c r="V1474" t="s">
        <v>1367</v>
      </c>
      <c r="W1474" t="s">
        <v>188</v>
      </c>
      <c r="X1474">
        <v>1.81</v>
      </c>
      <c r="Y1474" t="s">
        <v>323</v>
      </c>
      <c r="Z1474" t="s">
        <v>699</v>
      </c>
      <c r="AA1474" t="s">
        <v>8195</v>
      </c>
      <c r="AB1474">
        <v>3.2</v>
      </c>
      <c r="AC1474" t="s">
        <v>2593</v>
      </c>
      <c r="AD1474">
        <v>44.64</v>
      </c>
      <c r="AE1474" t="s">
        <v>262</v>
      </c>
      <c r="AF1474">
        <v>1.0900000000000001</v>
      </c>
      <c r="AG1474">
        <v>0</v>
      </c>
      <c r="AH1474">
        <v>0</v>
      </c>
      <c r="AI1474" s="4">
        <v>42852</v>
      </c>
    </row>
    <row r="1475" spans="1:35">
      <c r="A1475">
        <v>1474</v>
      </c>
      <c r="B1475" t="str">
        <f>"603138"</f>
        <v>603138</v>
      </c>
      <c r="C1475" t="s">
        <v>8196</v>
      </c>
      <c r="D1475" s="4">
        <v>43190</v>
      </c>
      <c r="E1475" t="s">
        <v>1459</v>
      </c>
      <c r="F1475" t="s">
        <v>8197</v>
      </c>
      <c r="G1475">
        <v>1758</v>
      </c>
      <c r="H1475">
        <v>7.0000000000000007E-2</v>
      </c>
      <c r="I1475">
        <v>3.65</v>
      </c>
      <c r="J1475">
        <v>1.81</v>
      </c>
      <c r="K1475" t="s">
        <v>533</v>
      </c>
      <c r="L1475">
        <v>8.83</v>
      </c>
      <c r="M1475" t="s">
        <v>8198</v>
      </c>
      <c r="N1475" t="s">
        <v>8199</v>
      </c>
      <c r="O1475" t="s">
        <v>6244</v>
      </c>
      <c r="P1475" t="s">
        <v>3644</v>
      </c>
      <c r="Q1475">
        <v>10.72</v>
      </c>
      <c r="R1475" t="s">
        <v>1376</v>
      </c>
      <c r="S1475">
        <v>1.22</v>
      </c>
      <c r="T1475">
        <v>23.62</v>
      </c>
      <c r="U1475" t="s">
        <v>494</v>
      </c>
      <c r="V1475" t="s">
        <v>5842</v>
      </c>
      <c r="W1475" t="s">
        <v>8200</v>
      </c>
      <c r="X1475">
        <v>1.81</v>
      </c>
      <c r="Y1475" t="s">
        <v>862</v>
      </c>
      <c r="Z1475" t="s">
        <v>372</v>
      </c>
      <c r="AA1475" t="s">
        <v>8201</v>
      </c>
      <c r="AB1475">
        <v>8.8699999999999992</v>
      </c>
      <c r="AC1475" t="s">
        <v>184</v>
      </c>
      <c r="AD1475">
        <v>65.19</v>
      </c>
      <c r="AE1475" t="s">
        <v>2034</v>
      </c>
      <c r="AF1475">
        <v>1.4</v>
      </c>
      <c r="AG1475">
        <v>0</v>
      </c>
      <c r="AH1475">
        <v>0</v>
      </c>
      <c r="AI1475" s="4">
        <v>42800</v>
      </c>
    </row>
    <row r="1476" spans="1:35">
      <c r="A1476">
        <v>1475</v>
      </c>
      <c r="B1476" t="str">
        <f>"600367"</f>
        <v>600367</v>
      </c>
      <c r="C1476" t="s">
        <v>8202</v>
      </c>
      <c r="D1476" s="4">
        <v>43190</v>
      </c>
      <c r="E1476" t="s">
        <v>1699</v>
      </c>
      <c r="F1476" t="s">
        <v>1699</v>
      </c>
      <c r="G1476">
        <v>7316</v>
      </c>
      <c r="H1476">
        <v>7.0000000000000007E-2</v>
      </c>
      <c r="I1476">
        <v>4.03</v>
      </c>
      <c r="J1476">
        <v>1.81</v>
      </c>
      <c r="K1476" t="s">
        <v>1789</v>
      </c>
      <c r="L1476">
        <v>8.32</v>
      </c>
      <c r="M1476" t="s">
        <v>8203</v>
      </c>
      <c r="N1476" t="s">
        <v>8204</v>
      </c>
      <c r="O1476" t="s">
        <v>8205</v>
      </c>
      <c r="P1476" t="s">
        <v>8206</v>
      </c>
      <c r="Q1476">
        <v>60.42</v>
      </c>
      <c r="R1476" t="s">
        <v>800</v>
      </c>
      <c r="S1476">
        <v>1.35</v>
      </c>
      <c r="T1476">
        <v>29.32</v>
      </c>
      <c r="U1476" t="s">
        <v>820</v>
      </c>
      <c r="V1476" t="s">
        <v>6611</v>
      </c>
      <c r="W1476" t="s">
        <v>2686</v>
      </c>
      <c r="X1476">
        <v>1.81</v>
      </c>
      <c r="Y1476" t="s">
        <v>4962</v>
      </c>
      <c r="Z1476" t="s">
        <v>1827</v>
      </c>
      <c r="AA1476" t="s">
        <v>8207</v>
      </c>
      <c r="AB1476">
        <v>1.98</v>
      </c>
      <c r="AC1476" t="s">
        <v>250</v>
      </c>
      <c r="AD1476">
        <v>69.62</v>
      </c>
      <c r="AE1476" t="s">
        <v>2102</v>
      </c>
      <c r="AF1476">
        <v>0.98</v>
      </c>
      <c r="AG1476">
        <v>0</v>
      </c>
      <c r="AH1476">
        <v>0</v>
      </c>
      <c r="AI1476" s="4">
        <v>36970</v>
      </c>
    </row>
    <row r="1477" spans="1:35">
      <c r="A1477">
        <v>1476</v>
      </c>
      <c r="B1477" t="str">
        <f>"300664"</f>
        <v>300664</v>
      </c>
      <c r="C1477" t="s">
        <v>8208</v>
      </c>
      <c r="D1477" s="4">
        <v>43190</v>
      </c>
      <c r="E1477" t="s">
        <v>988</v>
      </c>
      <c r="F1477" t="s">
        <v>2575</v>
      </c>
      <c r="G1477">
        <v>1444</v>
      </c>
      <c r="H1477">
        <v>0.1</v>
      </c>
      <c r="I1477">
        <v>6.12</v>
      </c>
      <c r="J1477">
        <v>1.81</v>
      </c>
      <c r="K1477" t="s">
        <v>284</v>
      </c>
      <c r="L1477">
        <v>33.06</v>
      </c>
      <c r="M1477" t="s">
        <v>8209</v>
      </c>
      <c r="N1477" t="s">
        <v>4575</v>
      </c>
      <c r="O1477" t="s">
        <v>8210</v>
      </c>
      <c r="P1477" t="s">
        <v>2954</v>
      </c>
      <c r="Q1477">
        <v>0.47</v>
      </c>
      <c r="R1477" t="s">
        <v>835</v>
      </c>
      <c r="S1477">
        <v>2.36</v>
      </c>
      <c r="T1477">
        <v>50.47</v>
      </c>
      <c r="U1477" t="s">
        <v>553</v>
      </c>
      <c r="V1477" t="s">
        <v>76</v>
      </c>
      <c r="W1477" t="s">
        <v>2360</v>
      </c>
      <c r="X1477">
        <v>1.81</v>
      </c>
      <c r="Y1477" t="s">
        <v>1190</v>
      </c>
      <c r="Z1477" t="s">
        <v>105</v>
      </c>
      <c r="AA1477" t="s">
        <v>699</v>
      </c>
      <c r="AB1477">
        <v>3.01</v>
      </c>
      <c r="AC1477" t="s">
        <v>1252</v>
      </c>
      <c r="AD1477">
        <v>62.8</v>
      </c>
      <c r="AE1477" t="s">
        <v>101</v>
      </c>
      <c r="AF1477">
        <v>2.69</v>
      </c>
      <c r="AG1477">
        <v>0</v>
      </c>
      <c r="AH1477">
        <v>0</v>
      </c>
      <c r="AI1477" s="4">
        <v>43105</v>
      </c>
    </row>
    <row r="1478" spans="1:35">
      <c r="A1478">
        <v>1477</v>
      </c>
      <c r="B1478" t="str">
        <f>"300108"</f>
        <v>300108</v>
      </c>
      <c r="C1478" t="s">
        <v>8211</v>
      </c>
      <c r="D1478" s="4">
        <v>43190</v>
      </c>
      <c r="E1478" t="s">
        <v>43</v>
      </c>
      <c r="F1478" t="s">
        <v>3376</v>
      </c>
      <c r="G1478" t="s">
        <v>7636</v>
      </c>
      <c r="H1478">
        <v>0.05</v>
      </c>
      <c r="I1478">
        <v>2.98</v>
      </c>
      <c r="J1478">
        <v>1.81</v>
      </c>
      <c r="K1478" t="s">
        <v>993</v>
      </c>
      <c r="L1478">
        <v>4.8600000000000003</v>
      </c>
      <c r="M1478" t="s">
        <v>5002</v>
      </c>
      <c r="N1478">
        <v>0</v>
      </c>
      <c r="O1478" t="s">
        <v>4499</v>
      </c>
      <c r="P1478" t="s">
        <v>8212</v>
      </c>
      <c r="Q1478">
        <v>7.04</v>
      </c>
      <c r="R1478" t="s">
        <v>2586</v>
      </c>
      <c r="S1478">
        <v>0.86</v>
      </c>
      <c r="T1478">
        <v>32.950000000000003</v>
      </c>
      <c r="U1478" t="s">
        <v>312</v>
      </c>
      <c r="V1478" t="s">
        <v>115</v>
      </c>
      <c r="W1478" t="s">
        <v>488</v>
      </c>
      <c r="X1478">
        <v>1.81</v>
      </c>
      <c r="Y1478" t="s">
        <v>855</v>
      </c>
      <c r="Z1478" t="s">
        <v>475</v>
      </c>
      <c r="AA1478" t="s">
        <v>767</v>
      </c>
      <c r="AB1478">
        <v>2.63</v>
      </c>
      <c r="AC1478" t="s">
        <v>691</v>
      </c>
      <c r="AD1478">
        <v>57</v>
      </c>
      <c r="AE1478" t="s">
        <v>1362</v>
      </c>
      <c r="AF1478">
        <v>1.18</v>
      </c>
      <c r="AG1478">
        <v>0</v>
      </c>
      <c r="AH1478">
        <v>0</v>
      </c>
      <c r="AI1478" s="4">
        <v>40415</v>
      </c>
    </row>
    <row r="1479" spans="1:35">
      <c r="A1479">
        <v>1478</v>
      </c>
      <c r="B1479" t="str">
        <f>"002891"</f>
        <v>002891</v>
      </c>
      <c r="C1479" t="s">
        <v>8213</v>
      </c>
      <c r="D1479" s="4">
        <v>43190</v>
      </c>
      <c r="E1479" t="s">
        <v>2307</v>
      </c>
      <c r="F1479" t="s">
        <v>534</v>
      </c>
      <c r="G1479">
        <v>2009</v>
      </c>
      <c r="H1479">
        <v>0.13</v>
      </c>
      <c r="I1479">
        <v>6.89</v>
      </c>
      <c r="J1479">
        <v>1.81</v>
      </c>
      <c r="K1479" t="s">
        <v>91</v>
      </c>
      <c r="L1479">
        <v>27.75</v>
      </c>
      <c r="M1479" t="s">
        <v>5423</v>
      </c>
      <c r="N1479" t="s">
        <v>8214</v>
      </c>
      <c r="O1479" t="s">
        <v>4517</v>
      </c>
      <c r="P1479" t="s">
        <v>8215</v>
      </c>
      <c r="Q1479">
        <v>-42.98</v>
      </c>
      <c r="R1479" t="s">
        <v>1077</v>
      </c>
      <c r="S1479">
        <v>1.73</v>
      </c>
      <c r="T1479">
        <v>20.81</v>
      </c>
      <c r="U1479" t="s">
        <v>699</v>
      </c>
      <c r="V1479" t="s">
        <v>1907</v>
      </c>
      <c r="W1479" t="s">
        <v>321</v>
      </c>
      <c r="X1479">
        <v>1.81</v>
      </c>
      <c r="Y1479" t="s">
        <v>3297</v>
      </c>
      <c r="Z1479" t="s">
        <v>1791</v>
      </c>
      <c r="AA1479" t="s">
        <v>8216</v>
      </c>
      <c r="AB1479">
        <v>4.78</v>
      </c>
      <c r="AC1479" t="s">
        <v>2853</v>
      </c>
      <c r="AD1479">
        <v>64.459999999999994</v>
      </c>
      <c r="AE1479" t="s">
        <v>338</v>
      </c>
      <c r="AF1479">
        <v>4.05</v>
      </c>
      <c r="AG1479">
        <v>0</v>
      </c>
      <c r="AH1479">
        <v>0</v>
      </c>
      <c r="AI1479" s="4">
        <v>42968</v>
      </c>
    </row>
    <row r="1480" spans="1:35">
      <c r="A1480">
        <v>1479</v>
      </c>
      <c r="B1480" t="str">
        <f>"002877"</f>
        <v>002877</v>
      </c>
      <c r="C1480" t="s">
        <v>8217</v>
      </c>
      <c r="D1480" s="4">
        <v>43190</v>
      </c>
      <c r="E1480" t="s">
        <v>415</v>
      </c>
      <c r="F1480" t="s">
        <v>1767</v>
      </c>
      <c r="G1480">
        <v>1882</v>
      </c>
      <c r="H1480">
        <v>0.05</v>
      </c>
      <c r="I1480">
        <v>2.82</v>
      </c>
      <c r="J1480">
        <v>1.81</v>
      </c>
      <c r="K1480" t="s">
        <v>8218</v>
      </c>
      <c r="L1480">
        <v>3.73</v>
      </c>
      <c r="M1480" t="s">
        <v>8219</v>
      </c>
      <c r="N1480">
        <v>0</v>
      </c>
      <c r="O1480" t="s">
        <v>8219</v>
      </c>
      <c r="P1480" t="s">
        <v>4490</v>
      </c>
      <c r="Q1480">
        <v>8.4600000000000009</v>
      </c>
      <c r="R1480" t="s">
        <v>1417</v>
      </c>
      <c r="S1480">
        <v>0.98</v>
      </c>
      <c r="T1480">
        <v>38.700000000000003</v>
      </c>
      <c r="U1480" t="s">
        <v>5930</v>
      </c>
      <c r="V1480" t="s">
        <v>1907</v>
      </c>
      <c r="W1480" t="s">
        <v>8220</v>
      </c>
      <c r="X1480">
        <v>1.81</v>
      </c>
      <c r="Y1480" t="s">
        <v>3674</v>
      </c>
      <c r="Z1480" t="s">
        <v>1435</v>
      </c>
      <c r="AA1480" t="s">
        <v>6118</v>
      </c>
      <c r="AB1480">
        <v>6.79</v>
      </c>
      <c r="AC1480" t="s">
        <v>1056</v>
      </c>
      <c r="AD1480">
        <v>71.010000000000005</v>
      </c>
      <c r="AE1480" t="s">
        <v>935</v>
      </c>
      <c r="AF1480">
        <v>0.68</v>
      </c>
      <c r="AG1480">
        <v>0</v>
      </c>
      <c r="AH1480">
        <v>0</v>
      </c>
      <c r="AI1480" s="4">
        <v>42891</v>
      </c>
    </row>
    <row r="1481" spans="1:35">
      <c r="A1481">
        <v>1480</v>
      </c>
      <c r="B1481" t="str">
        <f>"000011"</f>
        <v>000011</v>
      </c>
      <c r="C1481" t="s">
        <v>8221</v>
      </c>
      <c r="D1481" s="4">
        <v>43190</v>
      </c>
      <c r="E1481" t="s">
        <v>1056</v>
      </c>
      <c r="F1481" t="s">
        <v>603</v>
      </c>
      <c r="G1481">
        <v>0</v>
      </c>
      <c r="H1481">
        <v>0.09</v>
      </c>
      <c r="I1481">
        <v>5</v>
      </c>
      <c r="J1481">
        <v>1.81</v>
      </c>
      <c r="K1481" t="s">
        <v>318</v>
      </c>
      <c r="L1481">
        <v>-47.59</v>
      </c>
      <c r="M1481" t="s">
        <v>5804</v>
      </c>
      <c r="N1481" t="s">
        <v>8222</v>
      </c>
      <c r="O1481" t="s">
        <v>8223</v>
      </c>
      <c r="P1481" t="s">
        <v>8224</v>
      </c>
      <c r="Q1481">
        <v>-82.28</v>
      </c>
      <c r="R1481" t="s">
        <v>419</v>
      </c>
      <c r="S1481">
        <v>3.3</v>
      </c>
      <c r="T1481">
        <v>14.48</v>
      </c>
      <c r="U1481" t="s">
        <v>8225</v>
      </c>
      <c r="V1481" t="s">
        <v>369</v>
      </c>
      <c r="W1481" t="s">
        <v>8226</v>
      </c>
      <c r="X1481">
        <v>1.81</v>
      </c>
      <c r="Y1481" t="s">
        <v>1284</v>
      </c>
      <c r="Z1481" t="s">
        <v>702</v>
      </c>
      <c r="AA1481" t="s">
        <v>8227</v>
      </c>
      <c r="AB1481">
        <v>2.42</v>
      </c>
      <c r="AC1481" t="s">
        <v>1205</v>
      </c>
      <c r="AD1481">
        <v>60.12</v>
      </c>
      <c r="AE1481" t="s">
        <v>677</v>
      </c>
      <c r="AF1481">
        <v>0.2</v>
      </c>
      <c r="AG1481" t="s">
        <v>8228</v>
      </c>
      <c r="AH1481">
        <v>0</v>
      </c>
      <c r="AI1481" s="4">
        <v>33693</v>
      </c>
    </row>
    <row r="1482" spans="1:35">
      <c r="A1482">
        <v>1481</v>
      </c>
      <c r="B1482" t="str">
        <f>"603665"</f>
        <v>603665</v>
      </c>
      <c r="C1482" t="s">
        <v>8229</v>
      </c>
      <c r="D1482" s="4">
        <v>43190</v>
      </c>
      <c r="E1482" t="s">
        <v>2307</v>
      </c>
      <c r="F1482" t="s">
        <v>8230</v>
      </c>
      <c r="G1482">
        <v>4209</v>
      </c>
      <c r="H1482">
        <v>0.16</v>
      </c>
      <c r="I1482">
        <v>9.2799999999999994</v>
      </c>
      <c r="J1482">
        <v>1.8</v>
      </c>
      <c r="K1482" t="s">
        <v>975</v>
      </c>
      <c r="L1482">
        <v>15.66</v>
      </c>
      <c r="M1482" t="s">
        <v>8231</v>
      </c>
      <c r="N1482" t="s">
        <v>7289</v>
      </c>
      <c r="O1482" t="s">
        <v>5834</v>
      </c>
      <c r="P1482" t="s">
        <v>7526</v>
      </c>
      <c r="Q1482">
        <v>1.07</v>
      </c>
      <c r="R1482" t="s">
        <v>696</v>
      </c>
      <c r="S1482">
        <v>2.0299999999999998</v>
      </c>
      <c r="T1482">
        <v>25.18</v>
      </c>
      <c r="U1482" t="s">
        <v>973</v>
      </c>
      <c r="V1482" t="s">
        <v>5203</v>
      </c>
      <c r="W1482" t="s">
        <v>342</v>
      </c>
      <c r="X1482">
        <v>1.8</v>
      </c>
      <c r="Y1482" t="s">
        <v>293</v>
      </c>
      <c r="Z1482" t="s">
        <v>1288</v>
      </c>
      <c r="AA1482" t="s">
        <v>8232</v>
      </c>
      <c r="AB1482">
        <v>2.91</v>
      </c>
      <c r="AC1482" t="s">
        <v>2870</v>
      </c>
      <c r="AD1482">
        <v>81.83</v>
      </c>
      <c r="AE1482" t="s">
        <v>107</v>
      </c>
      <c r="AF1482">
        <v>5.89</v>
      </c>
      <c r="AG1482">
        <v>0</v>
      </c>
      <c r="AH1482">
        <v>0</v>
      </c>
      <c r="AI1482" s="4">
        <v>42807</v>
      </c>
    </row>
    <row r="1483" spans="1:35">
      <c r="A1483">
        <v>1482</v>
      </c>
      <c r="B1483" t="str">
        <f>"603002"</f>
        <v>603002</v>
      </c>
      <c r="C1483" t="s">
        <v>8233</v>
      </c>
      <c r="D1483" s="4">
        <v>43190</v>
      </c>
      <c r="E1483" t="s">
        <v>1241</v>
      </c>
      <c r="F1483" t="s">
        <v>4279</v>
      </c>
      <c r="G1483" t="s">
        <v>4774</v>
      </c>
      <c r="H1483">
        <v>0.03</v>
      </c>
      <c r="I1483">
        <v>1.76</v>
      </c>
      <c r="J1483">
        <v>1.8</v>
      </c>
      <c r="K1483" t="s">
        <v>2751</v>
      </c>
      <c r="L1483">
        <v>48.85</v>
      </c>
      <c r="M1483" t="s">
        <v>8234</v>
      </c>
      <c r="N1483" t="s">
        <v>8235</v>
      </c>
      <c r="O1483" t="s">
        <v>8236</v>
      </c>
      <c r="P1483" t="s">
        <v>8237</v>
      </c>
      <c r="Q1483">
        <v>109.43</v>
      </c>
      <c r="R1483" t="s">
        <v>1712</v>
      </c>
      <c r="S1483">
        <v>0.51</v>
      </c>
      <c r="T1483">
        <v>13.32</v>
      </c>
      <c r="U1483" t="s">
        <v>646</v>
      </c>
      <c r="V1483" t="s">
        <v>521</v>
      </c>
      <c r="W1483" t="s">
        <v>1202</v>
      </c>
      <c r="X1483">
        <v>1.8</v>
      </c>
      <c r="Y1483" t="s">
        <v>2429</v>
      </c>
      <c r="Z1483" t="s">
        <v>6809</v>
      </c>
      <c r="AA1483" t="s">
        <v>8238</v>
      </c>
      <c r="AB1483">
        <v>2.38</v>
      </c>
      <c r="AC1483" t="s">
        <v>147</v>
      </c>
      <c r="AD1483">
        <v>65.41</v>
      </c>
      <c r="AE1483" t="s">
        <v>8239</v>
      </c>
      <c r="AF1483">
        <v>0.16</v>
      </c>
      <c r="AG1483">
        <v>0</v>
      </c>
      <c r="AH1483">
        <v>0</v>
      </c>
      <c r="AI1483" s="4">
        <v>41047</v>
      </c>
    </row>
    <row r="1484" spans="1:35">
      <c r="A1484">
        <v>1483</v>
      </c>
      <c r="B1484" t="str">
        <f>"600064"</f>
        <v>600064</v>
      </c>
      <c r="C1484" t="s">
        <v>8240</v>
      </c>
      <c r="D1484" s="4">
        <v>43190</v>
      </c>
      <c r="E1484" t="s">
        <v>548</v>
      </c>
      <c r="F1484" t="s">
        <v>548</v>
      </c>
      <c r="G1484" t="s">
        <v>2234</v>
      </c>
      <c r="H1484">
        <v>0.15</v>
      </c>
      <c r="I1484">
        <v>8.4600000000000009</v>
      </c>
      <c r="J1484">
        <v>1.8</v>
      </c>
      <c r="K1484" t="s">
        <v>226</v>
      </c>
      <c r="L1484">
        <v>18.260000000000002</v>
      </c>
      <c r="M1484" t="s">
        <v>478</v>
      </c>
      <c r="N1484" t="s">
        <v>8241</v>
      </c>
      <c r="O1484" t="s">
        <v>478</v>
      </c>
      <c r="P1484" t="s">
        <v>383</v>
      </c>
      <c r="Q1484">
        <v>80.66</v>
      </c>
      <c r="R1484" t="s">
        <v>1419</v>
      </c>
      <c r="S1484">
        <v>3.02</v>
      </c>
      <c r="T1484">
        <v>47.33</v>
      </c>
      <c r="U1484" t="s">
        <v>1454</v>
      </c>
      <c r="V1484" t="s">
        <v>466</v>
      </c>
      <c r="W1484" t="s">
        <v>204</v>
      </c>
      <c r="X1484">
        <v>1.8</v>
      </c>
      <c r="Y1484" t="s">
        <v>1222</v>
      </c>
      <c r="Z1484" t="s">
        <v>311</v>
      </c>
      <c r="AA1484" t="s">
        <v>1190</v>
      </c>
      <c r="AB1484">
        <v>0.86</v>
      </c>
      <c r="AC1484" t="s">
        <v>525</v>
      </c>
      <c r="AD1484">
        <v>40.98</v>
      </c>
      <c r="AE1484" t="s">
        <v>1295</v>
      </c>
      <c r="AF1484">
        <v>0.1</v>
      </c>
      <c r="AG1484">
        <v>0</v>
      </c>
      <c r="AH1484">
        <v>0</v>
      </c>
      <c r="AI1484" s="4">
        <v>35556</v>
      </c>
    </row>
    <row r="1485" spans="1:35">
      <c r="A1485">
        <v>1484</v>
      </c>
      <c r="B1485" t="str">
        <f>"600052"</f>
        <v>600052</v>
      </c>
      <c r="C1485" t="s">
        <v>8242</v>
      </c>
      <c r="D1485" s="4">
        <v>43190</v>
      </c>
      <c r="E1485" t="s">
        <v>7960</v>
      </c>
      <c r="F1485" t="s">
        <v>7960</v>
      </c>
      <c r="G1485" t="s">
        <v>6102</v>
      </c>
      <c r="H1485">
        <v>0.05</v>
      </c>
      <c r="I1485">
        <v>2.73</v>
      </c>
      <c r="J1485">
        <v>1.8</v>
      </c>
      <c r="K1485" t="s">
        <v>4357</v>
      </c>
      <c r="L1485">
        <v>-62.06</v>
      </c>
      <c r="M1485" t="s">
        <v>8243</v>
      </c>
      <c r="N1485" t="s">
        <v>4783</v>
      </c>
      <c r="O1485" t="s">
        <v>8244</v>
      </c>
      <c r="P1485" t="s">
        <v>8245</v>
      </c>
      <c r="Q1485">
        <v>114.02</v>
      </c>
      <c r="R1485" t="s">
        <v>568</v>
      </c>
      <c r="S1485">
        <v>0.85</v>
      </c>
      <c r="T1485">
        <v>38.159999999999997</v>
      </c>
      <c r="U1485" t="s">
        <v>2809</v>
      </c>
      <c r="V1485" t="s">
        <v>588</v>
      </c>
      <c r="W1485" t="s">
        <v>200</v>
      </c>
      <c r="X1485">
        <v>1.8</v>
      </c>
      <c r="Y1485" t="s">
        <v>638</v>
      </c>
      <c r="Z1485" t="s">
        <v>239</v>
      </c>
      <c r="AA1485" t="s">
        <v>1450</v>
      </c>
      <c r="AB1485">
        <v>1.37</v>
      </c>
      <c r="AC1485" t="s">
        <v>1704</v>
      </c>
      <c r="AD1485">
        <v>41.83</v>
      </c>
      <c r="AE1485" t="s">
        <v>505</v>
      </c>
      <c r="AF1485">
        <v>0.18</v>
      </c>
      <c r="AG1485">
        <v>0</v>
      </c>
      <c r="AH1485">
        <v>0</v>
      </c>
      <c r="AI1485" s="4">
        <v>35535</v>
      </c>
    </row>
    <row r="1486" spans="1:35">
      <c r="A1486">
        <v>1485</v>
      </c>
      <c r="B1486" t="str">
        <f>"300689"</f>
        <v>300689</v>
      </c>
      <c r="C1486" t="s">
        <v>8246</v>
      </c>
      <c r="D1486" s="4">
        <v>43190</v>
      </c>
      <c r="E1486" t="s">
        <v>4230</v>
      </c>
      <c r="F1486" t="s">
        <v>4457</v>
      </c>
      <c r="G1486">
        <v>1443</v>
      </c>
      <c r="H1486">
        <v>0.14000000000000001</v>
      </c>
      <c r="I1486">
        <v>7.74</v>
      </c>
      <c r="J1486">
        <v>1.8</v>
      </c>
      <c r="K1486" t="s">
        <v>8247</v>
      </c>
      <c r="L1486">
        <v>4.0599999999999996</v>
      </c>
      <c r="M1486" t="s">
        <v>8248</v>
      </c>
      <c r="N1486" t="s">
        <v>5044</v>
      </c>
      <c r="O1486" t="s">
        <v>8249</v>
      </c>
      <c r="P1486" t="s">
        <v>4491</v>
      </c>
      <c r="Q1486">
        <v>-10.050000000000001</v>
      </c>
      <c r="R1486" t="s">
        <v>262</v>
      </c>
      <c r="S1486">
        <v>3.02</v>
      </c>
      <c r="T1486">
        <v>30.73</v>
      </c>
      <c r="U1486" t="s">
        <v>1330</v>
      </c>
      <c r="V1486" t="s">
        <v>1934</v>
      </c>
      <c r="W1486" t="s">
        <v>608</v>
      </c>
      <c r="X1486">
        <v>1.8</v>
      </c>
      <c r="Y1486" t="s">
        <v>8250</v>
      </c>
      <c r="Z1486" t="s">
        <v>8251</v>
      </c>
      <c r="AA1486" t="s">
        <v>3628</v>
      </c>
      <c r="AB1486">
        <v>5.32</v>
      </c>
      <c r="AC1486" t="s">
        <v>3471</v>
      </c>
      <c r="AD1486">
        <v>88.39</v>
      </c>
      <c r="AE1486" t="s">
        <v>2142</v>
      </c>
      <c r="AF1486">
        <v>3.64</v>
      </c>
      <c r="AG1486">
        <v>0</v>
      </c>
      <c r="AH1486">
        <v>0</v>
      </c>
      <c r="AI1486" s="4">
        <v>42956</v>
      </c>
    </row>
    <row r="1487" spans="1:35">
      <c r="A1487">
        <v>1486</v>
      </c>
      <c r="B1487" t="str">
        <f>"300638"</f>
        <v>300638</v>
      </c>
      <c r="C1487" t="s">
        <v>8252</v>
      </c>
      <c r="D1487" s="4">
        <v>43190</v>
      </c>
      <c r="E1487" t="s">
        <v>280</v>
      </c>
      <c r="F1487" t="s">
        <v>6815</v>
      </c>
      <c r="G1487">
        <v>1693</v>
      </c>
      <c r="H1487">
        <v>0.06</v>
      </c>
      <c r="I1487">
        <v>3.04</v>
      </c>
      <c r="J1487">
        <v>1.8</v>
      </c>
      <c r="K1487" t="s">
        <v>454</v>
      </c>
      <c r="L1487">
        <v>152.47999999999999</v>
      </c>
      <c r="M1487" t="s">
        <v>4127</v>
      </c>
      <c r="N1487" t="s">
        <v>8253</v>
      </c>
      <c r="O1487" t="s">
        <v>4127</v>
      </c>
      <c r="P1487" t="s">
        <v>8254</v>
      </c>
      <c r="Q1487">
        <v>9.99</v>
      </c>
      <c r="R1487" t="s">
        <v>355</v>
      </c>
      <c r="S1487">
        <v>0.85</v>
      </c>
      <c r="T1487">
        <v>23.12</v>
      </c>
      <c r="U1487" t="s">
        <v>5080</v>
      </c>
      <c r="V1487" t="s">
        <v>3900</v>
      </c>
      <c r="W1487" t="s">
        <v>6906</v>
      </c>
      <c r="X1487">
        <v>1.8</v>
      </c>
      <c r="Y1487" t="s">
        <v>1621</v>
      </c>
      <c r="Z1487" t="s">
        <v>1402</v>
      </c>
      <c r="AA1487" t="s">
        <v>8255</v>
      </c>
      <c r="AB1487">
        <v>9.49</v>
      </c>
      <c r="AC1487" t="s">
        <v>138</v>
      </c>
      <c r="AD1487">
        <v>55.64</v>
      </c>
      <c r="AE1487" t="s">
        <v>1457</v>
      </c>
      <c r="AF1487">
        <v>1.1000000000000001</v>
      </c>
      <c r="AG1487">
        <v>0</v>
      </c>
      <c r="AH1487">
        <v>0</v>
      </c>
      <c r="AI1487" s="4">
        <v>42838</v>
      </c>
    </row>
    <row r="1488" spans="1:35">
      <c r="A1488">
        <v>1487</v>
      </c>
      <c r="B1488" t="str">
        <f>"002836"</f>
        <v>002836</v>
      </c>
      <c r="C1488" t="s">
        <v>8256</v>
      </c>
      <c r="D1488" s="4">
        <v>43190</v>
      </c>
      <c r="E1488" t="s">
        <v>1203</v>
      </c>
      <c r="F1488" t="s">
        <v>8257</v>
      </c>
      <c r="G1488">
        <v>3017</v>
      </c>
      <c r="H1488">
        <v>0.05</v>
      </c>
      <c r="I1488">
        <v>2.4700000000000002</v>
      </c>
      <c r="J1488">
        <v>1.8</v>
      </c>
      <c r="K1488" t="s">
        <v>6815</v>
      </c>
      <c r="L1488">
        <v>-23.72</v>
      </c>
      <c r="M1488" t="s">
        <v>4644</v>
      </c>
      <c r="N1488" t="s">
        <v>5536</v>
      </c>
      <c r="O1488" t="s">
        <v>8088</v>
      </c>
      <c r="P1488" t="s">
        <v>8258</v>
      </c>
      <c r="Q1488">
        <v>-29.09</v>
      </c>
      <c r="R1488" t="s">
        <v>618</v>
      </c>
      <c r="S1488">
        <v>1.04</v>
      </c>
      <c r="T1488">
        <v>37.840000000000003</v>
      </c>
      <c r="U1488" t="s">
        <v>44</v>
      </c>
      <c r="V1488" t="s">
        <v>668</v>
      </c>
      <c r="W1488" t="s">
        <v>595</v>
      </c>
      <c r="X1488">
        <v>1.8</v>
      </c>
      <c r="Y1488" t="s">
        <v>8259</v>
      </c>
      <c r="Z1488" t="s">
        <v>8260</v>
      </c>
      <c r="AA1488" t="s">
        <v>61</v>
      </c>
      <c r="AB1488">
        <v>6.02</v>
      </c>
      <c r="AC1488" t="s">
        <v>1476</v>
      </c>
      <c r="AD1488">
        <v>85.47</v>
      </c>
      <c r="AE1488" t="s">
        <v>8261</v>
      </c>
      <c r="AF1488">
        <v>0.22</v>
      </c>
      <c r="AG1488">
        <v>0</v>
      </c>
      <c r="AH1488">
        <v>0</v>
      </c>
      <c r="AI1488" s="4">
        <v>42733</v>
      </c>
    </row>
    <row r="1489" spans="1:35">
      <c r="A1489">
        <v>1488</v>
      </c>
      <c r="B1489" t="str">
        <f>"002090"</f>
        <v>002090</v>
      </c>
      <c r="C1489" t="s">
        <v>8262</v>
      </c>
      <c r="D1489" s="4">
        <v>43190</v>
      </c>
      <c r="E1489" t="s">
        <v>676</v>
      </c>
      <c r="F1489" t="s">
        <v>1417</v>
      </c>
      <c r="G1489" t="s">
        <v>2258</v>
      </c>
      <c r="H1489">
        <v>0.09</v>
      </c>
      <c r="I1489">
        <v>4.88</v>
      </c>
      <c r="J1489">
        <v>1.8</v>
      </c>
      <c r="K1489" t="s">
        <v>479</v>
      </c>
      <c r="L1489">
        <v>-29.4</v>
      </c>
      <c r="M1489" t="s">
        <v>3099</v>
      </c>
      <c r="N1489" t="s">
        <v>5136</v>
      </c>
      <c r="O1489" t="s">
        <v>3099</v>
      </c>
      <c r="P1489" t="s">
        <v>7281</v>
      </c>
      <c r="Q1489">
        <v>-37.86</v>
      </c>
      <c r="R1489" t="s">
        <v>3250</v>
      </c>
      <c r="S1489">
        <v>2.4700000000000002</v>
      </c>
      <c r="T1489">
        <v>28.45</v>
      </c>
      <c r="U1489" t="s">
        <v>1133</v>
      </c>
      <c r="V1489" t="s">
        <v>725</v>
      </c>
      <c r="W1489" t="s">
        <v>1518</v>
      </c>
      <c r="X1489">
        <v>1.8</v>
      </c>
      <c r="Y1489" t="s">
        <v>2542</v>
      </c>
      <c r="Z1489" t="s">
        <v>775</v>
      </c>
      <c r="AA1489" t="s">
        <v>488</v>
      </c>
      <c r="AB1489">
        <v>3.1</v>
      </c>
      <c r="AC1489" t="s">
        <v>625</v>
      </c>
      <c r="AD1489">
        <v>31.15</v>
      </c>
      <c r="AE1489" t="s">
        <v>492</v>
      </c>
      <c r="AF1489">
        <v>1.1000000000000001</v>
      </c>
      <c r="AG1489">
        <v>0</v>
      </c>
      <c r="AH1489">
        <v>0</v>
      </c>
      <c r="AI1489" s="4">
        <v>39059</v>
      </c>
    </row>
    <row r="1490" spans="1:35">
      <c r="A1490">
        <v>1489</v>
      </c>
      <c r="B1490" t="str">
        <f>"000919"</f>
        <v>000919</v>
      </c>
      <c r="C1490" t="s">
        <v>8263</v>
      </c>
      <c r="D1490" s="4">
        <v>43190</v>
      </c>
      <c r="E1490" t="s">
        <v>1018</v>
      </c>
      <c r="F1490" t="s">
        <v>442</v>
      </c>
      <c r="G1490" t="s">
        <v>3091</v>
      </c>
      <c r="H1490">
        <v>0.09</v>
      </c>
      <c r="I1490">
        <v>5.23</v>
      </c>
      <c r="J1490">
        <v>1.8</v>
      </c>
      <c r="K1490" t="s">
        <v>2621</v>
      </c>
      <c r="L1490">
        <v>-4.82</v>
      </c>
      <c r="M1490" t="s">
        <v>8264</v>
      </c>
      <c r="N1490" t="s">
        <v>8265</v>
      </c>
      <c r="O1490" t="s">
        <v>4474</v>
      </c>
      <c r="P1490" t="s">
        <v>8266</v>
      </c>
      <c r="Q1490">
        <v>9.4600000000000009</v>
      </c>
      <c r="R1490" t="s">
        <v>1307</v>
      </c>
      <c r="S1490">
        <v>2.62</v>
      </c>
      <c r="T1490">
        <v>25.29</v>
      </c>
      <c r="U1490" t="s">
        <v>5550</v>
      </c>
      <c r="V1490" t="s">
        <v>1039</v>
      </c>
      <c r="W1490" t="s">
        <v>407</v>
      </c>
      <c r="X1490">
        <v>1.8</v>
      </c>
      <c r="Y1490" t="s">
        <v>2790</v>
      </c>
      <c r="Z1490" t="s">
        <v>2264</v>
      </c>
      <c r="AA1490" t="s">
        <v>8267</v>
      </c>
      <c r="AB1490">
        <v>1.4</v>
      </c>
      <c r="AC1490" t="s">
        <v>2515</v>
      </c>
      <c r="AD1490">
        <v>66.900000000000006</v>
      </c>
      <c r="AE1490" t="s">
        <v>140</v>
      </c>
      <c r="AF1490">
        <v>0.92</v>
      </c>
      <c r="AG1490">
        <v>0</v>
      </c>
      <c r="AH1490">
        <v>0</v>
      </c>
      <c r="AI1490" s="4">
        <v>36482</v>
      </c>
    </row>
    <row r="1491" spans="1:35">
      <c r="A1491">
        <v>1490</v>
      </c>
      <c r="B1491" t="str">
        <f>"000731"</f>
        <v>000731</v>
      </c>
      <c r="C1491" t="s">
        <v>8268</v>
      </c>
      <c r="D1491" s="4">
        <v>43190</v>
      </c>
      <c r="E1491" t="s">
        <v>2429</v>
      </c>
      <c r="F1491" t="s">
        <v>2429</v>
      </c>
      <c r="G1491" t="s">
        <v>2125</v>
      </c>
      <c r="H1491">
        <v>0.08</v>
      </c>
      <c r="I1491">
        <v>4.4400000000000004</v>
      </c>
      <c r="J1491">
        <v>1.8</v>
      </c>
      <c r="K1491" t="s">
        <v>2398</v>
      </c>
      <c r="L1491">
        <v>-19.72</v>
      </c>
      <c r="M1491" t="s">
        <v>8269</v>
      </c>
      <c r="N1491" t="s">
        <v>3581</v>
      </c>
      <c r="O1491" t="s">
        <v>8270</v>
      </c>
      <c r="P1491" t="s">
        <v>8271</v>
      </c>
      <c r="Q1491">
        <v>45.99</v>
      </c>
      <c r="R1491" t="s">
        <v>1496</v>
      </c>
      <c r="S1491">
        <v>1.64</v>
      </c>
      <c r="T1491">
        <v>28.64</v>
      </c>
      <c r="U1491" t="s">
        <v>737</v>
      </c>
      <c r="V1491" t="s">
        <v>101</v>
      </c>
      <c r="W1491" t="s">
        <v>1943</v>
      </c>
      <c r="X1491">
        <v>1.8</v>
      </c>
      <c r="Y1491" t="s">
        <v>161</v>
      </c>
      <c r="Z1491" t="s">
        <v>4568</v>
      </c>
      <c r="AA1491" t="s">
        <v>97</v>
      </c>
      <c r="AB1491">
        <v>1.1299999999999999</v>
      </c>
      <c r="AC1491" t="s">
        <v>260</v>
      </c>
      <c r="AD1491">
        <v>63.53</v>
      </c>
      <c r="AE1491" t="s">
        <v>424</v>
      </c>
      <c r="AF1491">
        <v>1.08</v>
      </c>
      <c r="AG1491">
        <v>0</v>
      </c>
      <c r="AH1491">
        <v>0</v>
      </c>
      <c r="AI1491" s="4">
        <v>35598</v>
      </c>
    </row>
    <row r="1492" spans="1:35">
      <c r="A1492">
        <v>1491</v>
      </c>
      <c r="B1492" t="str">
        <f>"603698"</f>
        <v>603698</v>
      </c>
      <c r="C1492" t="s">
        <v>8272</v>
      </c>
      <c r="D1492" s="4">
        <v>43190</v>
      </c>
      <c r="E1492" t="s">
        <v>349</v>
      </c>
      <c r="F1492" t="s">
        <v>349</v>
      </c>
      <c r="G1492" t="s">
        <v>6078</v>
      </c>
      <c r="H1492">
        <v>0.11</v>
      </c>
      <c r="I1492">
        <v>6.01</v>
      </c>
      <c r="J1492">
        <v>1.79</v>
      </c>
      <c r="K1492" t="s">
        <v>711</v>
      </c>
      <c r="L1492">
        <v>-11.37</v>
      </c>
      <c r="M1492" t="s">
        <v>8273</v>
      </c>
      <c r="N1492">
        <v>0</v>
      </c>
      <c r="O1492" t="s">
        <v>8273</v>
      </c>
      <c r="P1492" t="s">
        <v>8274</v>
      </c>
      <c r="Q1492">
        <v>41.29</v>
      </c>
      <c r="R1492" t="s">
        <v>1946</v>
      </c>
      <c r="S1492">
        <v>2.08</v>
      </c>
      <c r="T1492">
        <v>53</v>
      </c>
      <c r="U1492" t="s">
        <v>1890</v>
      </c>
      <c r="V1492" t="s">
        <v>502</v>
      </c>
      <c r="W1492" t="s">
        <v>1779</v>
      </c>
      <c r="X1492">
        <v>1.79</v>
      </c>
      <c r="Y1492" t="s">
        <v>354</v>
      </c>
      <c r="Z1492" t="s">
        <v>295</v>
      </c>
      <c r="AA1492" t="s">
        <v>8275</v>
      </c>
      <c r="AB1492">
        <v>2.39</v>
      </c>
      <c r="AC1492" t="s">
        <v>2542</v>
      </c>
      <c r="AD1492">
        <v>68.930000000000007</v>
      </c>
      <c r="AE1492" t="s">
        <v>521</v>
      </c>
      <c r="AF1492">
        <v>2.57</v>
      </c>
      <c r="AG1492">
        <v>0</v>
      </c>
      <c r="AH1492">
        <v>0</v>
      </c>
      <c r="AI1492" s="4">
        <v>42032</v>
      </c>
    </row>
    <row r="1493" spans="1:35">
      <c r="A1493">
        <v>1492</v>
      </c>
      <c r="B1493" t="str">
        <f>"600865"</f>
        <v>600865</v>
      </c>
      <c r="C1493" t="s">
        <v>8276</v>
      </c>
      <c r="D1493" s="4">
        <v>43190</v>
      </c>
      <c r="E1493" t="s">
        <v>156</v>
      </c>
      <c r="F1493" t="s">
        <v>156</v>
      </c>
      <c r="G1493" t="s">
        <v>2305</v>
      </c>
      <c r="H1493">
        <v>0.08</v>
      </c>
      <c r="I1493">
        <v>4.5599999999999996</v>
      </c>
      <c r="J1493">
        <v>1.79</v>
      </c>
      <c r="K1493" t="s">
        <v>696</v>
      </c>
      <c r="L1493">
        <v>-21.77</v>
      </c>
      <c r="M1493" t="s">
        <v>8054</v>
      </c>
      <c r="N1493" t="s">
        <v>8277</v>
      </c>
      <c r="O1493" t="s">
        <v>6013</v>
      </c>
      <c r="P1493" t="s">
        <v>8278</v>
      </c>
      <c r="Q1493">
        <v>100.28</v>
      </c>
      <c r="R1493" t="s">
        <v>3157</v>
      </c>
      <c r="S1493">
        <v>2.14</v>
      </c>
      <c r="T1493">
        <v>30.27</v>
      </c>
      <c r="U1493" t="s">
        <v>514</v>
      </c>
      <c r="V1493" t="s">
        <v>2697</v>
      </c>
      <c r="W1493" t="s">
        <v>1974</v>
      </c>
      <c r="X1493">
        <v>1.79</v>
      </c>
      <c r="Y1493" t="s">
        <v>2608</v>
      </c>
      <c r="Z1493" t="s">
        <v>89</v>
      </c>
      <c r="AA1493" t="s">
        <v>8279</v>
      </c>
      <c r="AB1493">
        <v>1.3</v>
      </c>
      <c r="AC1493" t="s">
        <v>304</v>
      </c>
      <c r="AD1493">
        <v>80.61</v>
      </c>
      <c r="AE1493" t="s">
        <v>1245</v>
      </c>
      <c r="AF1493">
        <v>0.62</v>
      </c>
      <c r="AG1493">
        <v>0</v>
      </c>
      <c r="AH1493">
        <v>0</v>
      </c>
      <c r="AI1493" s="4">
        <v>34555</v>
      </c>
    </row>
    <row r="1494" spans="1:35">
      <c r="A1494">
        <v>1493</v>
      </c>
      <c r="B1494" t="str">
        <f>"600687"</f>
        <v>600687</v>
      </c>
      <c r="C1494" t="s">
        <v>8280</v>
      </c>
      <c r="D1494" s="4">
        <v>43190</v>
      </c>
      <c r="E1494" t="s">
        <v>759</v>
      </c>
      <c r="F1494" t="s">
        <v>699</v>
      </c>
      <c r="G1494" t="s">
        <v>2039</v>
      </c>
      <c r="H1494">
        <v>7.0000000000000007E-2</v>
      </c>
      <c r="I1494">
        <v>4.17</v>
      </c>
      <c r="J1494">
        <v>1.79</v>
      </c>
      <c r="K1494" t="s">
        <v>2273</v>
      </c>
      <c r="L1494">
        <v>13.98</v>
      </c>
      <c r="M1494" t="s">
        <v>319</v>
      </c>
      <c r="N1494" t="s">
        <v>7186</v>
      </c>
      <c r="O1494" t="s">
        <v>319</v>
      </c>
      <c r="P1494" t="s">
        <v>804</v>
      </c>
      <c r="Q1494">
        <v>3.99</v>
      </c>
      <c r="R1494" t="s">
        <v>867</v>
      </c>
      <c r="S1494">
        <v>1.17</v>
      </c>
      <c r="T1494">
        <v>13.74</v>
      </c>
      <c r="U1494" t="s">
        <v>2504</v>
      </c>
      <c r="V1494" t="s">
        <v>3472</v>
      </c>
      <c r="W1494" t="s">
        <v>1611</v>
      </c>
      <c r="X1494">
        <v>1.79</v>
      </c>
      <c r="Y1494" t="s">
        <v>4205</v>
      </c>
      <c r="Z1494" t="s">
        <v>6982</v>
      </c>
      <c r="AA1494" t="s">
        <v>840</v>
      </c>
      <c r="AB1494">
        <v>2.1800000000000002</v>
      </c>
      <c r="AC1494" t="s">
        <v>4112</v>
      </c>
      <c r="AD1494">
        <v>46.9</v>
      </c>
      <c r="AE1494" t="s">
        <v>589</v>
      </c>
      <c r="AF1494">
        <v>1.95</v>
      </c>
      <c r="AG1494">
        <v>0</v>
      </c>
      <c r="AH1494">
        <v>0</v>
      </c>
      <c r="AI1494" s="4">
        <v>34281</v>
      </c>
    </row>
    <row r="1495" spans="1:35">
      <c r="A1495">
        <v>1494</v>
      </c>
      <c r="B1495" t="str">
        <f>"600513"</f>
        <v>600513</v>
      </c>
      <c r="C1495" t="s">
        <v>8281</v>
      </c>
      <c r="D1495" s="4">
        <v>43190</v>
      </c>
      <c r="E1495" t="s">
        <v>2729</v>
      </c>
      <c r="F1495" t="s">
        <v>2729</v>
      </c>
      <c r="G1495" t="s">
        <v>2258</v>
      </c>
      <c r="H1495">
        <v>0.06</v>
      </c>
      <c r="I1495">
        <v>3.06</v>
      </c>
      <c r="J1495">
        <v>1.79</v>
      </c>
      <c r="K1495" t="s">
        <v>1484</v>
      </c>
      <c r="L1495">
        <v>70.06</v>
      </c>
      <c r="M1495" t="s">
        <v>8282</v>
      </c>
      <c r="N1495" t="s">
        <v>630</v>
      </c>
      <c r="O1495" t="s">
        <v>8282</v>
      </c>
      <c r="P1495" t="s">
        <v>8283</v>
      </c>
      <c r="Q1495">
        <v>21.51</v>
      </c>
      <c r="R1495" t="s">
        <v>3441</v>
      </c>
      <c r="S1495">
        <v>1.01</v>
      </c>
      <c r="T1495">
        <v>61.84</v>
      </c>
      <c r="U1495" t="s">
        <v>250</v>
      </c>
      <c r="V1495" t="s">
        <v>4000</v>
      </c>
      <c r="W1495" t="s">
        <v>863</v>
      </c>
      <c r="X1495">
        <v>1.79</v>
      </c>
      <c r="Y1495" t="s">
        <v>2507</v>
      </c>
      <c r="Z1495" t="s">
        <v>1489</v>
      </c>
      <c r="AA1495" t="s">
        <v>6850</v>
      </c>
      <c r="AB1495">
        <v>2.1800000000000002</v>
      </c>
      <c r="AC1495" t="s">
        <v>5880</v>
      </c>
      <c r="AD1495">
        <v>75.739999999999995</v>
      </c>
      <c r="AE1495" t="s">
        <v>217</v>
      </c>
      <c r="AF1495">
        <v>0.9</v>
      </c>
      <c r="AG1495">
        <v>0</v>
      </c>
      <c r="AH1495">
        <v>0</v>
      </c>
      <c r="AI1495" s="4">
        <v>37699</v>
      </c>
    </row>
    <row r="1496" spans="1:35">
      <c r="A1496">
        <v>1495</v>
      </c>
      <c r="B1496" t="str">
        <f>"600479"</f>
        <v>600479</v>
      </c>
      <c r="C1496" t="s">
        <v>8284</v>
      </c>
      <c r="D1496" s="4">
        <v>43190</v>
      </c>
      <c r="E1496" t="s">
        <v>2581</v>
      </c>
      <c r="F1496" t="s">
        <v>160</v>
      </c>
      <c r="G1496" t="s">
        <v>4747</v>
      </c>
      <c r="H1496">
        <v>0.08</v>
      </c>
      <c r="I1496">
        <v>4.32</v>
      </c>
      <c r="J1496">
        <v>1.79</v>
      </c>
      <c r="K1496" t="s">
        <v>2510</v>
      </c>
      <c r="L1496">
        <v>4.9800000000000004</v>
      </c>
      <c r="M1496" t="s">
        <v>5986</v>
      </c>
      <c r="N1496" t="s">
        <v>8285</v>
      </c>
      <c r="O1496" t="s">
        <v>8286</v>
      </c>
      <c r="P1496" t="s">
        <v>8287</v>
      </c>
      <c r="Q1496">
        <v>22.37</v>
      </c>
      <c r="R1496" t="s">
        <v>1837</v>
      </c>
      <c r="S1496">
        <v>1.49</v>
      </c>
      <c r="T1496">
        <v>46.95</v>
      </c>
      <c r="U1496" t="s">
        <v>3073</v>
      </c>
      <c r="V1496" t="s">
        <v>1294</v>
      </c>
      <c r="W1496" t="s">
        <v>944</v>
      </c>
      <c r="X1496">
        <v>1.79</v>
      </c>
      <c r="Y1496" t="s">
        <v>521</v>
      </c>
      <c r="Z1496" t="s">
        <v>5864</v>
      </c>
      <c r="AA1496" t="s">
        <v>804</v>
      </c>
      <c r="AB1496">
        <v>2.62</v>
      </c>
      <c r="AC1496" t="s">
        <v>389</v>
      </c>
      <c r="AD1496">
        <v>57.09</v>
      </c>
      <c r="AE1496" t="s">
        <v>846</v>
      </c>
      <c r="AF1496">
        <v>1.4</v>
      </c>
      <c r="AG1496">
        <v>0</v>
      </c>
      <c r="AH1496">
        <v>0</v>
      </c>
      <c r="AI1496" s="4">
        <v>38058</v>
      </c>
    </row>
    <row r="1497" spans="1:35">
      <c r="A1497">
        <v>1496</v>
      </c>
      <c r="B1497" t="str">
        <f>"600300"</f>
        <v>600300</v>
      </c>
      <c r="C1497" t="s">
        <v>8288</v>
      </c>
      <c r="D1497" s="4">
        <v>43190</v>
      </c>
      <c r="E1497" t="s">
        <v>1190</v>
      </c>
      <c r="F1497" t="s">
        <v>1190</v>
      </c>
      <c r="G1497" t="s">
        <v>4505</v>
      </c>
      <c r="H1497">
        <v>0.03</v>
      </c>
      <c r="I1497">
        <v>1.65</v>
      </c>
      <c r="J1497">
        <v>1.79</v>
      </c>
      <c r="K1497" t="s">
        <v>391</v>
      </c>
      <c r="L1497">
        <v>9.98</v>
      </c>
      <c r="M1497" t="s">
        <v>4222</v>
      </c>
      <c r="N1497" t="s">
        <v>8289</v>
      </c>
      <c r="O1497" t="s">
        <v>8290</v>
      </c>
      <c r="P1497" t="s">
        <v>8291</v>
      </c>
      <c r="Q1497">
        <v>-46.29</v>
      </c>
      <c r="R1497" t="s">
        <v>5415</v>
      </c>
      <c r="S1497">
        <v>0.42</v>
      </c>
      <c r="T1497">
        <v>24.28</v>
      </c>
      <c r="U1497" t="s">
        <v>2708</v>
      </c>
      <c r="V1497" t="s">
        <v>1031</v>
      </c>
      <c r="W1497" t="s">
        <v>512</v>
      </c>
      <c r="X1497">
        <v>1.79</v>
      </c>
      <c r="Y1497" t="s">
        <v>5794</v>
      </c>
      <c r="Z1497" t="s">
        <v>3422</v>
      </c>
      <c r="AA1497" t="s">
        <v>2807</v>
      </c>
      <c r="AB1497">
        <v>1.94</v>
      </c>
      <c r="AC1497" t="s">
        <v>450</v>
      </c>
      <c r="AD1497">
        <v>34.119999999999997</v>
      </c>
      <c r="AE1497" t="s">
        <v>975</v>
      </c>
      <c r="AF1497">
        <v>0.12</v>
      </c>
      <c r="AG1497">
        <v>0</v>
      </c>
      <c r="AH1497">
        <v>0</v>
      </c>
      <c r="AI1497" s="4">
        <v>36707</v>
      </c>
    </row>
    <row r="1498" spans="1:35">
      <c r="A1498">
        <v>1497</v>
      </c>
      <c r="B1498" t="str">
        <f>"600213"</f>
        <v>600213</v>
      </c>
      <c r="C1498" t="s">
        <v>8292</v>
      </c>
      <c r="D1498" s="4">
        <v>43190</v>
      </c>
      <c r="E1498" t="s">
        <v>1004</v>
      </c>
      <c r="F1498" t="s">
        <v>1004</v>
      </c>
      <c r="G1498">
        <v>8274</v>
      </c>
      <c r="H1498">
        <v>0.01</v>
      </c>
      <c r="I1498">
        <v>0.81</v>
      </c>
      <c r="J1498">
        <v>1.79</v>
      </c>
      <c r="K1498" t="s">
        <v>1995</v>
      </c>
      <c r="L1498">
        <v>-10.09</v>
      </c>
      <c r="M1498" t="s">
        <v>4257</v>
      </c>
      <c r="N1498">
        <v>0</v>
      </c>
      <c r="O1498" t="s">
        <v>4525</v>
      </c>
      <c r="P1498" t="s">
        <v>7246</v>
      </c>
      <c r="Q1498">
        <v>-41.49</v>
      </c>
      <c r="R1498" t="s">
        <v>8293</v>
      </c>
      <c r="S1498">
        <v>-1.96</v>
      </c>
      <c r="T1498">
        <v>19.05</v>
      </c>
      <c r="U1498" t="s">
        <v>245</v>
      </c>
      <c r="V1498" t="s">
        <v>1517</v>
      </c>
      <c r="W1498" t="s">
        <v>985</v>
      </c>
      <c r="X1498">
        <v>1.79</v>
      </c>
      <c r="Y1498" t="s">
        <v>2452</v>
      </c>
      <c r="Z1498" t="s">
        <v>370</v>
      </c>
      <c r="AA1498" t="s">
        <v>391</v>
      </c>
      <c r="AB1498">
        <v>9.59</v>
      </c>
      <c r="AC1498" t="s">
        <v>1202</v>
      </c>
      <c r="AD1498">
        <v>4.0599999999999996</v>
      </c>
      <c r="AE1498" t="s">
        <v>143</v>
      </c>
      <c r="AF1498">
        <v>1.55</v>
      </c>
      <c r="AG1498">
        <v>0</v>
      </c>
      <c r="AH1498">
        <v>0</v>
      </c>
      <c r="AI1498" s="4">
        <v>36403</v>
      </c>
    </row>
    <row r="1499" spans="1:35">
      <c r="A1499">
        <v>1498</v>
      </c>
      <c r="B1499" t="str">
        <f>"300690"</f>
        <v>300690</v>
      </c>
      <c r="C1499" t="s">
        <v>8294</v>
      </c>
      <c r="D1499" s="4">
        <v>43190</v>
      </c>
      <c r="E1499" t="s">
        <v>443</v>
      </c>
      <c r="F1499" t="s">
        <v>6370</v>
      </c>
      <c r="G1499">
        <v>1443</v>
      </c>
      <c r="H1499">
        <v>0.15</v>
      </c>
      <c r="I1499">
        <v>7.93</v>
      </c>
      <c r="J1499">
        <v>1.79</v>
      </c>
      <c r="K1499" t="s">
        <v>8295</v>
      </c>
      <c r="L1499">
        <v>-8.61</v>
      </c>
      <c r="M1499" t="s">
        <v>3099</v>
      </c>
      <c r="N1499" t="s">
        <v>6768</v>
      </c>
      <c r="O1499" t="s">
        <v>3099</v>
      </c>
      <c r="P1499" t="s">
        <v>7505</v>
      </c>
      <c r="Q1499">
        <v>-28.18</v>
      </c>
      <c r="R1499" t="s">
        <v>1489</v>
      </c>
      <c r="S1499">
        <v>1.55</v>
      </c>
      <c r="T1499">
        <v>39.1</v>
      </c>
      <c r="U1499" t="s">
        <v>407</v>
      </c>
      <c r="V1499" t="s">
        <v>4952</v>
      </c>
      <c r="W1499" t="s">
        <v>2031</v>
      </c>
      <c r="X1499">
        <v>1.79</v>
      </c>
      <c r="Y1499" t="s">
        <v>3553</v>
      </c>
      <c r="Z1499" t="s">
        <v>3553</v>
      </c>
      <c r="AA1499">
        <v>0</v>
      </c>
      <c r="AB1499">
        <v>3.01</v>
      </c>
      <c r="AC1499" t="s">
        <v>513</v>
      </c>
      <c r="AD1499">
        <v>90.73</v>
      </c>
      <c r="AE1499" t="s">
        <v>3368</v>
      </c>
      <c r="AF1499">
        <v>5.04</v>
      </c>
      <c r="AG1499">
        <v>0</v>
      </c>
      <c r="AH1499">
        <v>0</v>
      </c>
      <c r="AI1499" s="4">
        <v>42955</v>
      </c>
    </row>
    <row r="1500" spans="1:35">
      <c r="A1500">
        <v>1499</v>
      </c>
      <c r="B1500" t="str">
        <f>"300604"</f>
        <v>300604</v>
      </c>
      <c r="C1500" t="s">
        <v>8296</v>
      </c>
      <c r="D1500" s="4">
        <v>43190</v>
      </c>
      <c r="E1500" t="s">
        <v>8297</v>
      </c>
      <c r="F1500" t="s">
        <v>4654</v>
      </c>
      <c r="G1500">
        <v>2363</v>
      </c>
      <c r="H1500">
        <v>0.1</v>
      </c>
      <c r="I1500">
        <v>5.55</v>
      </c>
      <c r="J1500">
        <v>1.79</v>
      </c>
      <c r="K1500" t="s">
        <v>8298</v>
      </c>
      <c r="L1500">
        <v>122.46</v>
      </c>
      <c r="M1500" t="s">
        <v>8299</v>
      </c>
      <c r="N1500" t="s">
        <v>8300</v>
      </c>
      <c r="O1500" t="s">
        <v>8066</v>
      </c>
      <c r="P1500" t="s">
        <v>8301</v>
      </c>
      <c r="Q1500">
        <v>80.400000000000006</v>
      </c>
      <c r="R1500" t="s">
        <v>1459</v>
      </c>
      <c r="S1500">
        <v>1.38</v>
      </c>
      <c r="T1500">
        <v>62.89</v>
      </c>
      <c r="U1500" t="s">
        <v>3324</v>
      </c>
      <c r="V1500" t="s">
        <v>1483</v>
      </c>
      <c r="W1500" t="s">
        <v>7427</v>
      </c>
      <c r="X1500">
        <v>1.79</v>
      </c>
      <c r="Y1500" t="s">
        <v>993</v>
      </c>
      <c r="Z1500" t="s">
        <v>595</v>
      </c>
      <c r="AA1500" t="s">
        <v>5180</v>
      </c>
      <c r="AB1500">
        <v>10.72</v>
      </c>
      <c r="AC1500" t="s">
        <v>704</v>
      </c>
      <c r="AD1500">
        <v>75.95</v>
      </c>
      <c r="AE1500" t="s">
        <v>1609</v>
      </c>
      <c r="AF1500">
        <v>3.6</v>
      </c>
      <c r="AG1500">
        <v>0</v>
      </c>
      <c r="AH1500">
        <v>0</v>
      </c>
      <c r="AI1500" s="4">
        <v>42842</v>
      </c>
    </row>
    <row r="1501" spans="1:35">
      <c r="A1501">
        <v>1500</v>
      </c>
      <c r="B1501" t="str">
        <f>"300292"</f>
        <v>300292</v>
      </c>
      <c r="C1501" t="s">
        <v>8302</v>
      </c>
      <c r="D1501" s="4">
        <v>43190</v>
      </c>
      <c r="E1501" t="s">
        <v>1082</v>
      </c>
      <c r="F1501" t="s">
        <v>2595</v>
      </c>
      <c r="G1501" t="s">
        <v>1440</v>
      </c>
      <c r="H1501">
        <v>0.04</v>
      </c>
      <c r="I1501">
        <v>2.17</v>
      </c>
      <c r="J1501">
        <v>1.79</v>
      </c>
      <c r="K1501" t="s">
        <v>3802</v>
      </c>
      <c r="L1501">
        <v>45.74</v>
      </c>
      <c r="M1501" t="s">
        <v>5215</v>
      </c>
      <c r="N1501">
        <v>0</v>
      </c>
      <c r="O1501" t="s">
        <v>8210</v>
      </c>
      <c r="P1501" t="s">
        <v>8303</v>
      </c>
      <c r="Q1501">
        <v>3.28</v>
      </c>
      <c r="R1501" t="s">
        <v>2571</v>
      </c>
      <c r="S1501">
        <v>0.45</v>
      </c>
      <c r="T1501">
        <v>21.28</v>
      </c>
      <c r="U1501" t="s">
        <v>816</v>
      </c>
      <c r="V1501" t="s">
        <v>101</v>
      </c>
      <c r="W1501" t="s">
        <v>1067</v>
      </c>
      <c r="X1501">
        <v>1.79</v>
      </c>
      <c r="Y1501" t="s">
        <v>568</v>
      </c>
      <c r="Z1501" t="s">
        <v>4863</v>
      </c>
      <c r="AA1501" t="s">
        <v>3140</v>
      </c>
      <c r="AB1501">
        <v>1.57</v>
      </c>
      <c r="AC1501" t="s">
        <v>450</v>
      </c>
      <c r="AD1501">
        <v>78.239999999999995</v>
      </c>
      <c r="AE1501" t="s">
        <v>1835</v>
      </c>
      <c r="AF1501">
        <v>0.69</v>
      </c>
      <c r="AG1501">
        <v>0</v>
      </c>
      <c r="AH1501">
        <v>0</v>
      </c>
      <c r="AI1501" s="4">
        <v>40968</v>
      </c>
    </row>
    <row r="1502" spans="1:35">
      <c r="A1502">
        <v>1501</v>
      </c>
      <c r="B1502" t="str">
        <f>"002706"</f>
        <v>002706</v>
      </c>
      <c r="C1502" t="s">
        <v>8304</v>
      </c>
      <c r="D1502" s="4">
        <v>43190</v>
      </c>
      <c r="E1502" t="s">
        <v>1021</v>
      </c>
      <c r="F1502" t="s">
        <v>592</v>
      </c>
      <c r="G1502" t="s">
        <v>5183</v>
      </c>
      <c r="H1502">
        <v>0.05</v>
      </c>
      <c r="I1502">
        <v>2.04</v>
      </c>
      <c r="J1502">
        <v>1.79</v>
      </c>
      <c r="K1502" t="s">
        <v>89</v>
      </c>
      <c r="L1502">
        <v>13.82</v>
      </c>
      <c r="M1502" t="s">
        <v>8305</v>
      </c>
      <c r="N1502" t="s">
        <v>8306</v>
      </c>
      <c r="O1502" t="s">
        <v>8307</v>
      </c>
      <c r="P1502" t="s">
        <v>8308</v>
      </c>
      <c r="Q1502">
        <v>29.65</v>
      </c>
      <c r="R1502" t="s">
        <v>1565</v>
      </c>
      <c r="S1502">
        <v>0.5</v>
      </c>
      <c r="T1502">
        <v>40.82</v>
      </c>
      <c r="U1502" t="s">
        <v>1693</v>
      </c>
      <c r="V1502" t="s">
        <v>173</v>
      </c>
      <c r="W1502" t="s">
        <v>203</v>
      </c>
      <c r="X1502">
        <v>1.79</v>
      </c>
      <c r="Y1502" t="s">
        <v>184</v>
      </c>
      <c r="Z1502" t="s">
        <v>479</v>
      </c>
      <c r="AA1502" t="s">
        <v>3978</v>
      </c>
      <c r="AB1502">
        <v>3.14</v>
      </c>
      <c r="AC1502" t="s">
        <v>79</v>
      </c>
      <c r="AD1502">
        <v>81.599999999999994</v>
      </c>
      <c r="AE1502" t="s">
        <v>1779</v>
      </c>
      <c r="AF1502">
        <v>0.47</v>
      </c>
      <c r="AG1502">
        <v>0</v>
      </c>
      <c r="AH1502">
        <v>0</v>
      </c>
      <c r="AI1502" s="4">
        <v>41660</v>
      </c>
    </row>
    <row r="1503" spans="1:35">
      <c r="A1503">
        <v>1502</v>
      </c>
      <c r="B1503" t="str">
        <f>"000776"</f>
        <v>000776</v>
      </c>
      <c r="C1503" t="s">
        <v>8309</v>
      </c>
      <c r="D1503" s="4">
        <v>43190</v>
      </c>
      <c r="E1503" t="s">
        <v>3167</v>
      </c>
      <c r="F1503" t="s">
        <v>4937</v>
      </c>
      <c r="G1503" t="s">
        <v>2039</v>
      </c>
      <c r="H1503">
        <v>0.2</v>
      </c>
      <c r="I1503">
        <v>11.3</v>
      </c>
      <c r="J1503">
        <v>1.79</v>
      </c>
      <c r="K1503" t="s">
        <v>113</v>
      </c>
      <c r="L1503">
        <v>-21.34</v>
      </c>
      <c r="M1503" t="s">
        <v>2328</v>
      </c>
      <c r="N1503" t="s">
        <v>391</v>
      </c>
      <c r="O1503" t="s">
        <v>275</v>
      </c>
      <c r="P1503" t="s">
        <v>391</v>
      </c>
      <c r="Q1503">
        <v>-28.63</v>
      </c>
      <c r="R1503" t="s">
        <v>435</v>
      </c>
      <c r="S1503">
        <v>3.64</v>
      </c>
      <c r="T1503">
        <v>0</v>
      </c>
      <c r="U1503" t="s">
        <v>8310</v>
      </c>
      <c r="V1503">
        <v>0</v>
      </c>
      <c r="W1503" t="s">
        <v>8311</v>
      </c>
      <c r="X1503">
        <v>1.79</v>
      </c>
      <c r="Y1503" t="s">
        <v>8312</v>
      </c>
      <c r="Z1503">
        <v>0</v>
      </c>
      <c r="AA1503">
        <v>0</v>
      </c>
      <c r="AB1503">
        <v>1.22</v>
      </c>
      <c r="AC1503" t="s">
        <v>6775</v>
      </c>
      <c r="AD1503">
        <v>22.2</v>
      </c>
      <c r="AE1503" t="s">
        <v>4542</v>
      </c>
      <c r="AF1503">
        <v>4.18</v>
      </c>
      <c r="AG1503">
        <v>0</v>
      </c>
      <c r="AH1503" t="s">
        <v>820</v>
      </c>
      <c r="AI1503" s="4">
        <v>35592</v>
      </c>
    </row>
    <row r="1504" spans="1:35">
      <c r="A1504">
        <v>1503</v>
      </c>
      <c r="B1504" t="str">
        <f>"000758"</f>
        <v>000758</v>
      </c>
      <c r="C1504" t="s">
        <v>8313</v>
      </c>
      <c r="D1504" s="4">
        <v>43190</v>
      </c>
      <c r="E1504" t="s">
        <v>1284</v>
      </c>
      <c r="F1504" t="s">
        <v>1284</v>
      </c>
      <c r="G1504" t="s">
        <v>210</v>
      </c>
      <c r="H1504">
        <v>0.05</v>
      </c>
      <c r="I1504">
        <v>2.64</v>
      </c>
      <c r="J1504">
        <v>1.79</v>
      </c>
      <c r="K1504" t="s">
        <v>1486</v>
      </c>
      <c r="L1504">
        <v>13.85</v>
      </c>
      <c r="M1504" t="s">
        <v>531</v>
      </c>
      <c r="N1504" t="s">
        <v>2837</v>
      </c>
      <c r="O1504" t="s">
        <v>2889</v>
      </c>
      <c r="P1504" t="s">
        <v>8314</v>
      </c>
      <c r="Q1504">
        <v>1.07</v>
      </c>
      <c r="R1504" t="s">
        <v>261</v>
      </c>
      <c r="S1504">
        <v>1.1299999999999999</v>
      </c>
      <c r="T1504">
        <v>16.350000000000001</v>
      </c>
      <c r="U1504" t="s">
        <v>2616</v>
      </c>
      <c r="V1504" t="s">
        <v>839</v>
      </c>
      <c r="W1504" t="s">
        <v>1397</v>
      </c>
      <c r="X1504">
        <v>1.79</v>
      </c>
      <c r="Y1504" t="s">
        <v>571</v>
      </c>
      <c r="Z1504" t="s">
        <v>1089</v>
      </c>
      <c r="AA1504" t="s">
        <v>386</v>
      </c>
      <c r="AB1504">
        <v>1.66</v>
      </c>
      <c r="AC1504" t="s">
        <v>1326</v>
      </c>
      <c r="AD1504">
        <v>23.58</v>
      </c>
      <c r="AE1504" t="s">
        <v>5864</v>
      </c>
      <c r="AF1504">
        <v>0.48</v>
      </c>
      <c r="AG1504">
        <v>0</v>
      </c>
      <c r="AH1504">
        <v>0</v>
      </c>
      <c r="AI1504" s="4">
        <v>35536</v>
      </c>
    </row>
    <row r="1505" spans="1:35">
      <c r="A1505">
        <v>1504</v>
      </c>
      <c r="B1505" t="str">
        <f>"600599"</f>
        <v>600599</v>
      </c>
      <c r="C1505" t="s">
        <v>8315</v>
      </c>
      <c r="D1505" s="4">
        <v>43190</v>
      </c>
      <c r="E1505" t="s">
        <v>1360</v>
      </c>
      <c r="F1505" t="s">
        <v>1360</v>
      </c>
      <c r="G1505">
        <v>6711</v>
      </c>
      <c r="H1505">
        <v>0.08</v>
      </c>
      <c r="I1505">
        <v>4.4400000000000004</v>
      </c>
      <c r="J1505">
        <v>1.79</v>
      </c>
      <c r="K1505" t="s">
        <v>8316</v>
      </c>
      <c r="L1505">
        <v>-35.130000000000003</v>
      </c>
      <c r="M1505" t="s">
        <v>8317</v>
      </c>
      <c r="N1505">
        <v>5371</v>
      </c>
      <c r="O1505" t="s">
        <v>8318</v>
      </c>
      <c r="P1505" t="s">
        <v>8319</v>
      </c>
      <c r="Q1505">
        <v>35.770000000000003</v>
      </c>
      <c r="R1505" t="s">
        <v>8320</v>
      </c>
      <c r="S1505">
        <v>0.32</v>
      </c>
      <c r="T1505">
        <v>68.680000000000007</v>
      </c>
      <c r="U1505" t="s">
        <v>548</v>
      </c>
      <c r="V1505" t="s">
        <v>125</v>
      </c>
      <c r="W1505" t="s">
        <v>8321</v>
      </c>
      <c r="X1505">
        <v>1.79</v>
      </c>
      <c r="Y1505" t="s">
        <v>5374</v>
      </c>
      <c r="Z1505" t="s">
        <v>5374</v>
      </c>
      <c r="AA1505">
        <v>0</v>
      </c>
      <c r="AB1505">
        <v>3.66</v>
      </c>
      <c r="AC1505" t="s">
        <v>46</v>
      </c>
      <c r="AD1505">
        <v>59.35</v>
      </c>
      <c r="AE1505" t="s">
        <v>169</v>
      </c>
      <c r="AF1505">
        <v>3.05</v>
      </c>
      <c r="AG1505">
        <v>0</v>
      </c>
      <c r="AH1505">
        <v>0</v>
      </c>
      <c r="AI1505" s="4">
        <v>37131</v>
      </c>
    </row>
    <row r="1506" spans="1:35">
      <c r="A1506">
        <v>1505</v>
      </c>
      <c r="B1506" t="str">
        <f>"600030"</f>
        <v>600030</v>
      </c>
      <c r="C1506" t="s">
        <v>8322</v>
      </c>
      <c r="D1506" s="4">
        <v>43190</v>
      </c>
      <c r="E1506" t="s">
        <v>1465</v>
      </c>
      <c r="F1506" t="s">
        <v>4164</v>
      </c>
      <c r="G1506" t="s">
        <v>3789</v>
      </c>
      <c r="H1506">
        <v>0.22</v>
      </c>
      <c r="I1506">
        <v>12.52</v>
      </c>
      <c r="J1506">
        <v>1.78</v>
      </c>
      <c r="K1506" t="s">
        <v>3344</v>
      </c>
      <c r="L1506">
        <v>12.74</v>
      </c>
      <c r="M1506" t="s">
        <v>3562</v>
      </c>
      <c r="N1506" t="s">
        <v>1210</v>
      </c>
      <c r="O1506" t="s">
        <v>1397</v>
      </c>
      <c r="P1506" t="s">
        <v>1908</v>
      </c>
      <c r="Q1506">
        <v>16.91</v>
      </c>
      <c r="R1506" t="s">
        <v>4168</v>
      </c>
      <c r="S1506">
        <v>4.57</v>
      </c>
      <c r="T1506">
        <v>0</v>
      </c>
      <c r="U1506" t="s">
        <v>8323</v>
      </c>
      <c r="V1506">
        <v>0</v>
      </c>
      <c r="W1506" t="s">
        <v>6751</v>
      </c>
      <c r="X1506">
        <v>1.78</v>
      </c>
      <c r="Y1506" t="s">
        <v>8324</v>
      </c>
      <c r="Z1506">
        <v>0</v>
      </c>
      <c r="AA1506">
        <v>0</v>
      </c>
      <c r="AB1506">
        <v>1.38</v>
      </c>
      <c r="AC1506" t="s">
        <v>8325</v>
      </c>
      <c r="AD1506">
        <v>23</v>
      </c>
      <c r="AE1506" t="s">
        <v>2345</v>
      </c>
      <c r="AF1506">
        <v>4.49</v>
      </c>
      <c r="AG1506">
        <v>0</v>
      </c>
      <c r="AH1506" t="s">
        <v>2291</v>
      </c>
      <c r="AI1506" s="4">
        <v>37627</v>
      </c>
    </row>
    <row r="1507" spans="1:35">
      <c r="A1507">
        <v>1506</v>
      </c>
      <c r="B1507" t="str">
        <f>"002588"</f>
        <v>002588</v>
      </c>
      <c r="C1507" t="s">
        <v>8326</v>
      </c>
      <c r="D1507" s="4">
        <v>43190</v>
      </c>
      <c r="E1507" t="s">
        <v>613</v>
      </c>
      <c r="F1507" t="s">
        <v>1651</v>
      </c>
      <c r="G1507" t="s">
        <v>2234</v>
      </c>
      <c r="H1507">
        <v>0.06</v>
      </c>
      <c r="I1507">
        <v>3.61</v>
      </c>
      <c r="J1507">
        <v>1.78</v>
      </c>
      <c r="K1507" t="s">
        <v>164</v>
      </c>
      <c r="L1507">
        <v>-7.21</v>
      </c>
      <c r="M1507" t="s">
        <v>8327</v>
      </c>
      <c r="N1507" t="s">
        <v>8195</v>
      </c>
      <c r="O1507" t="s">
        <v>8328</v>
      </c>
      <c r="P1507" t="s">
        <v>637</v>
      </c>
      <c r="Q1507">
        <v>-6.23</v>
      </c>
      <c r="R1507" t="s">
        <v>2542</v>
      </c>
      <c r="S1507">
        <v>2.15</v>
      </c>
      <c r="T1507">
        <v>18.11</v>
      </c>
      <c r="U1507" t="s">
        <v>4513</v>
      </c>
      <c r="V1507" t="s">
        <v>1164</v>
      </c>
      <c r="W1507" t="s">
        <v>1875</v>
      </c>
      <c r="X1507">
        <v>1.78</v>
      </c>
      <c r="Y1507" t="s">
        <v>1675</v>
      </c>
      <c r="Z1507" t="s">
        <v>981</v>
      </c>
      <c r="AA1507" t="s">
        <v>1435</v>
      </c>
      <c r="AB1507">
        <v>1.38</v>
      </c>
      <c r="AC1507" t="s">
        <v>408</v>
      </c>
      <c r="AD1507">
        <v>59.49</v>
      </c>
      <c r="AE1507" t="s">
        <v>1621</v>
      </c>
      <c r="AF1507">
        <v>0.26</v>
      </c>
      <c r="AG1507">
        <v>0</v>
      </c>
      <c r="AH1507">
        <v>0</v>
      </c>
      <c r="AI1507" s="4">
        <v>40704</v>
      </c>
    </row>
    <row r="1508" spans="1:35">
      <c r="A1508">
        <v>1507</v>
      </c>
      <c r="B1508" t="str">
        <f>"603813"</f>
        <v>603813</v>
      </c>
      <c r="C1508" t="s">
        <v>8329</v>
      </c>
      <c r="D1508" s="4">
        <v>43190</v>
      </c>
      <c r="E1508" t="s">
        <v>8330</v>
      </c>
      <c r="F1508" t="s">
        <v>4320</v>
      </c>
      <c r="G1508">
        <v>1813</v>
      </c>
      <c r="H1508">
        <v>0.11</v>
      </c>
      <c r="I1508">
        <v>6.34</v>
      </c>
      <c r="J1508">
        <v>1.77</v>
      </c>
      <c r="K1508" t="s">
        <v>642</v>
      </c>
      <c r="L1508">
        <v>31.34</v>
      </c>
      <c r="M1508" t="s">
        <v>8148</v>
      </c>
      <c r="N1508" t="s">
        <v>5049</v>
      </c>
      <c r="O1508" t="s">
        <v>7777</v>
      </c>
      <c r="P1508" t="s">
        <v>4743</v>
      </c>
      <c r="Q1508">
        <v>-9.3699999999999992</v>
      </c>
      <c r="R1508" t="s">
        <v>1210</v>
      </c>
      <c r="S1508">
        <v>2.4500000000000002</v>
      </c>
      <c r="T1508">
        <v>19.309999999999999</v>
      </c>
      <c r="U1508" t="s">
        <v>846</v>
      </c>
      <c r="V1508" t="s">
        <v>2507</v>
      </c>
      <c r="W1508" t="s">
        <v>828</v>
      </c>
      <c r="X1508">
        <v>1.77</v>
      </c>
      <c r="Y1508" t="s">
        <v>8331</v>
      </c>
      <c r="Z1508" t="s">
        <v>8332</v>
      </c>
      <c r="AA1508" t="s">
        <v>8333</v>
      </c>
      <c r="AB1508">
        <v>4.63</v>
      </c>
      <c r="AC1508" t="s">
        <v>2310</v>
      </c>
      <c r="AD1508">
        <v>88</v>
      </c>
      <c r="AE1508" t="s">
        <v>1210</v>
      </c>
      <c r="AF1508">
        <v>2.63</v>
      </c>
      <c r="AG1508">
        <v>0</v>
      </c>
      <c r="AH1508">
        <v>0</v>
      </c>
      <c r="AI1508" s="4">
        <v>42996</v>
      </c>
    </row>
    <row r="1509" spans="1:35">
      <c r="A1509">
        <v>1508</v>
      </c>
      <c r="B1509" t="str">
        <f>"603196"</f>
        <v>603196</v>
      </c>
      <c r="C1509" t="s">
        <v>8334</v>
      </c>
      <c r="D1509" s="4">
        <v>43190</v>
      </c>
      <c r="E1509" t="s">
        <v>94</v>
      </c>
      <c r="F1509" t="s">
        <v>6795</v>
      </c>
      <c r="G1509">
        <v>3176</v>
      </c>
      <c r="H1509">
        <v>7.0000000000000007E-2</v>
      </c>
      <c r="I1509">
        <v>3.86</v>
      </c>
      <c r="J1509">
        <v>1.77</v>
      </c>
      <c r="K1509" t="s">
        <v>4871</v>
      </c>
      <c r="L1509">
        <v>16.34</v>
      </c>
      <c r="M1509" t="s">
        <v>7356</v>
      </c>
      <c r="N1509" t="s">
        <v>1824</v>
      </c>
      <c r="O1509" t="s">
        <v>8335</v>
      </c>
      <c r="P1509" t="s">
        <v>626</v>
      </c>
      <c r="Q1509">
        <v>30.12</v>
      </c>
      <c r="R1509" t="s">
        <v>2102</v>
      </c>
      <c r="S1509">
        <v>1.08</v>
      </c>
      <c r="T1509">
        <v>64.209999999999994</v>
      </c>
      <c r="U1509" t="s">
        <v>354</v>
      </c>
      <c r="V1509" t="s">
        <v>1978</v>
      </c>
      <c r="W1509" t="s">
        <v>2115</v>
      </c>
      <c r="X1509">
        <v>1.77</v>
      </c>
      <c r="Y1509" t="s">
        <v>255</v>
      </c>
      <c r="Z1509" t="s">
        <v>845</v>
      </c>
      <c r="AA1509" t="s">
        <v>5416</v>
      </c>
      <c r="AB1509">
        <v>2.5</v>
      </c>
      <c r="AC1509" t="s">
        <v>2959</v>
      </c>
      <c r="AD1509">
        <v>83.2</v>
      </c>
      <c r="AE1509" t="s">
        <v>1229</v>
      </c>
      <c r="AF1509">
        <v>1.6</v>
      </c>
      <c r="AG1509">
        <v>0</v>
      </c>
      <c r="AH1509">
        <v>0</v>
      </c>
      <c r="AI1509" s="4">
        <v>42886</v>
      </c>
    </row>
    <row r="1510" spans="1:35">
      <c r="A1510">
        <v>1509</v>
      </c>
      <c r="B1510" t="str">
        <f>"600480"</f>
        <v>600480</v>
      </c>
      <c r="C1510" t="s">
        <v>8336</v>
      </c>
      <c r="D1510" s="4">
        <v>43190</v>
      </c>
      <c r="E1510" t="s">
        <v>155</v>
      </c>
      <c r="F1510" t="s">
        <v>5614</v>
      </c>
      <c r="G1510">
        <v>6437</v>
      </c>
      <c r="H1510">
        <v>0.15</v>
      </c>
      <c r="I1510">
        <v>8.4499999999999993</v>
      </c>
      <c r="J1510">
        <v>1.77</v>
      </c>
      <c r="K1510" t="s">
        <v>2064</v>
      </c>
      <c r="L1510">
        <v>11.33</v>
      </c>
      <c r="M1510" t="s">
        <v>1202</v>
      </c>
      <c r="N1510" t="s">
        <v>8337</v>
      </c>
      <c r="O1510" t="s">
        <v>608</v>
      </c>
      <c r="P1510" t="s">
        <v>7943</v>
      </c>
      <c r="Q1510">
        <v>-29.81</v>
      </c>
      <c r="R1510" t="s">
        <v>547</v>
      </c>
      <c r="S1510">
        <v>3.32</v>
      </c>
      <c r="T1510">
        <v>18.809999999999999</v>
      </c>
      <c r="U1510" t="s">
        <v>719</v>
      </c>
      <c r="V1510" t="s">
        <v>6615</v>
      </c>
      <c r="W1510" t="s">
        <v>1704</v>
      </c>
      <c r="X1510">
        <v>1.77</v>
      </c>
      <c r="Y1510" t="s">
        <v>3858</v>
      </c>
      <c r="Z1510" t="s">
        <v>3301</v>
      </c>
      <c r="AA1510" t="s">
        <v>476</v>
      </c>
      <c r="AB1510">
        <v>1.1000000000000001</v>
      </c>
      <c r="AC1510" t="s">
        <v>1781</v>
      </c>
      <c r="AD1510">
        <v>29.55</v>
      </c>
      <c r="AE1510" t="s">
        <v>1678</v>
      </c>
      <c r="AF1510">
        <v>3.9</v>
      </c>
      <c r="AG1510">
        <v>0</v>
      </c>
      <c r="AH1510">
        <v>0</v>
      </c>
      <c r="AI1510" s="4">
        <v>37848</v>
      </c>
    </row>
    <row r="1511" spans="1:35">
      <c r="A1511">
        <v>1510</v>
      </c>
      <c r="B1511" t="str">
        <f>"002532"</f>
        <v>002532</v>
      </c>
      <c r="C1511" t="s">
        <v>8338</v>
      </c>
      <c r="D1511" s="4">
        <v>43190</v>
      </c>
      <c r="E1511" t="s">
        <v>944</v>
      </c>
      <c r="F1511" t="s">
        <v>800</v>
      </c>
      <c r="G1511" t="s">
        <v>3138</v>
      </c>
      <c r="H1511">
        <v>0.05</v>
      </c>
      <c r="I1511">
        <v>2.59</v>
      </c>
      <c r="J1511">
        <v>1.77</v>
      </c>
      <c r="K1511" t="s">
        <v>1621</v>
      </c>
      <c r="L1511">
        <v>2.76</v>
      </c>
      <c r="M1511" t="s">
        <v>7825</v>
      </c>
      <c r="N1511" t="s">
        <v>6317</v>
      </c>
      <c r="O1511" t="s">
        <v>8339</v>
      </c>
      <c r="P1511" t="s">
        <v>227</v>
      </c>
      <c r="Q1511">
        <v>-48.79</v>
      </c>
      <c r="R1511" t="s">
        <v>1849</v>
      </c>
      <c r="S1511">
        <v>1.04</v>
      </c>
      <c r="T1511">
        <v>30.25</v>
      </c>
      <c r="U1511" t="s">
        <v>1843</v>
      </c>
      <c r="V1511" t="s">
        <v>4936</v>
      </c>
      <c r="W1511" t="s">
        <v>2853</v>
      </c>
      <c r="X1511">
        <v>1.77</v>
      </c>
      <c r="Y1511" t="s">
        <v>3420</v>
      </c>
      <c r="Z1511" t="s">
        <v>1018</v>
      </c>
      <c r="AA1511" t="s">
        <v>8340</v>
      </c>
      <c r="AB1511">
        <v>1.91</v>
      </c>
      <c r="AC1511" t="s">
        <v>161</v>
      </c>
      <c r="AD1511">
        <v>70.33</v>
      </c>
      <c r="AE1511" t="s">
        <v>383</v>
      </c>
      <c r="AF1511">
        <v>0.36</v>
      </c>
      <c r="AG1511">
        <v>0</v>
      </c>
      <c r="AH1511">
        <v>0</v>
      </c>
      <c r="AI1511" s="4">
        <v>40543</v>
      </c>
    </row>
    <row r="1512" spans="1:35">
      <c r="A1512">
        <v>1511</v>
      </c>
      <c r="B1512" t="str">
        <f>"002451"</f>
        <v>002451</v>
      </c>
      <c r="C1512" t="s">
        <v>8341</v>
      </c>
      <c r="D1512" s="4">
        <v>43190</v>
      </c>
      <c r="E1512" t="s">
        <v>142</v>
      </c>
      <c r="F1512" t="s">
        <v>2608</v>
      </c>
      <c r="G1512" t="s">
        <v>8342</v>
      </c>
      <c r="H1512">
        <v>0.03</v>
      </c>
      <c r="I1512">
        <v>1.51</v>
      </c>
      <c r="J1512">
        <v>1.77</v>
      </c>
      <c r="K1512" t="s">
        <v>256</v>
      </c>
      <c r="L1512">
        <v>55.42</v>
      </c>
      <c r="M1512" t="s">
        <v>8343</v>
      </c>
      <c r="N1512">
        <v>6917</v>
      </c>
      <c r="O1512" t="s">
        <v>8343</v>
      </c>
      <c r="P1512" t="s">
        <v>8249</v>
      </c>
      <c r="Q1512">
        <v>147.58000000000001</v>
      </c>
      <c r="R1512" t="s">
        <v>1016</v>
      </c>
      <c r="S1512">
        <v>0.33</v>
      </c>
      <c r="T1512">
        <v>33.03</v>
      </c>
      <c r="U1512" t="s">
        <v>747</v>
      </c>
      <c r="V1512" t="s">
        <v>3368</v>
      </c>
      <c r="W1512" t="s">
        <v>218</v>
      </c>
      <c r="X1512">
        <v>1.77</v>
      </c>
      <c r="Y1512" t="s">
        <v>4384</v>
      </c>
      <c r="Z1512" t="s">
        <v>869</v>
      </c>
      <c r="AA1512" t="s">
        <v>1627</v>
      </c>
      <c r="AB1512">
        <v>6.42</v>
      </c>
      <c r="AC1512" t="s">
        <v>6120</v>
      </c>
      <c r="AD1512">
        <v>42.98</v>
      </c>
      <c r="AE1512" t="s">
        <v>8051</v>
      </c>
      <c r="AF1512">
        <v>0.16</v>
      </c>
      <c r="AG1512">
        <v>0</v>
      </c>
      <c r="AH1512">
        <v>0</v>
      </c>
      <c r="AI1512" s="4">
        <v>40379</v>
      </c>
    </row>
    <row r="1513" spans="1:35">
      <c r="A1513">
        <v>1512</v>
      </c>
      <c r="B1513" t="str">
        <f>"600317"</f>
        <v>600317</v>
      </c>
      <c r="C1513" t="s">
        <v>8344</v>
      </c>
      <c r="D1513" s="4">
        <v>43190</v>
      </c>
      <c r="E1513" t="s">
        <v>1619</v>
      </c>
      <c r="F1513" t="s">
        <v>1619</v>
      </c>
      <c r="G1513" t="s">
        <v>8345</v>
      </c>
      <c r="H1513">
        <v>0.03</v>
      </c>
      <c r="I1513">
        <v>1.7</v>
      </c>
      <c r="J1513">
        <v>1.77</v>
      </c>
      <c r="K1513" t="s">
        <v>835</v>
      </c>
      <c r="L1513">
        <v>15.63</v>
      </c>
      <c r="M1513" t="s">
        <v>217</v>
      </c>
      <c r="N1513" t="s">
        <v>8346</v>
      </c>
      <c r="O1513" t="s">
        <v>134</v>
      </c>
      <c r="P1513" t="s">
        <v>95</v>
      </c>
      <c r="Q1513">
        <v>15.35</v>
      </c>
      <c r="R1513" t="s">
        <v>223</v>
      </c>
      <c r="S1513">
        <v>0.37</v>
      </c>
      <c r="T1513">
        <v>30.92</v>
      </c>
      <c r="U1513" t="s">
        <v>310</v>
      </c>
      <c r="V1513" t="s">
        <v>461</v>
      </c>
      <c r="W1513" t="s">
        <v>1820</v>
      </c>
      <c r="X1513">
        <v>1.77</v>
      </c>
      <c r="Y1513" t="s">
        <v>2197</v>
      </c>
      <c r="Z1513" t="s">
        <v>775</v>
      </c>
      <c r="AA1513" t="s">
        <v>402</v>
      </c>
      <c r="AB1513">
        <v>1.32</v>
      </c>
      <c r="AC1513" t="s">
        <v>2066</v>
      </c>
      <c r="AD1513">
        <v>69.489999999999995</v>
      </c>
      <c r="AE1513" t="s">
        <v>833</v>
      </c>
      <c r="AF1513">
        <v>0.24</v>
      </c>
      <c r="AG1513">
        <v>0</v>
      </c>
      <c r="AH1513">
        <v>0</v>
      </c>
      <c r="AI1513" s="4">
        <v>37287</v>
      </c>
    </row>
    <row r="1514" spans="1:35">
      <c r="A1514">
        <v>1513</v>
      </c>
      <c r="B1514" t="str">
        <f>"603200"</f>
        <v>603200</v>
      </c>
      <c r="C1514" t="s">
        <v>8347</v>
      </c>
      <c r="D1514" s="4">
        <v>43190</v>
      </c>
      <c r="E1514" t="s">
        <v>8348</v>
      </c>
      <c r="F1514" t="s">
        <v>8349</v>
      </c>
      <c r="G1514">
        <v>2465</v>
      </c>
      <c r="H1514">
        <v>0.17</v>
      </c>
      <c r="I1514">
        <v>9.99</v>
      </c>
      <c r="J1514">
        <v>1.76</v>
      </c>
      <c r="K1514" t="s">
        <v>2966</v>
      </c>
      <c r="L1514">
        <v>9.15</v>
      </c>
      <c r="M1514" t="s">
        <v>8319</v>
      </c>
      <c r="N1514" t="s">
        <v>8350</v>
      </c>
      <c r="O1514" t="s">
        <v>8152</v>
      </c>
      <c r="P1514" t="s">
        <v>8351</v>
      </c>
      <c r="Q1514">
        <v>5.26</v>
      </c>
      <c r="R1514" t="s">
        <v>234</v>
      </c>
      <c r="S1514">
        <v>3.72</v>
      </c>
      <c r="T1514">
        <v>36.869999999999997</v>
      </c>
      <c r="U1514" t="s">
        <v>1778</v>
      </c>
      <c r="V1514" t="s">
        <v>175</v>
      </c>
      <c r="W1514" t="s">
        <v>8352</v>
      </c>
      <c r="X1514">
        <v>1.76</v>
      </c>
      <c r="Y1514" t="s">
        <v>8131</v>
      </c>
      <c r="Z1514" t="s">
        <v>8353</v>
      </c>
      <c r="AA1514" t="s">
        <v>8354</v>
      </c>
      <c r="AB1514">
        <v>3.14</v>
      </c>
      <c r="AC1514" t="s">
        <v>201</v>
      </c>
      <c r="AD1514">
        <v>89.73</v>
      </c>
      <c r="AE1514" t="s">
        <v>143</v>
      </c>
      <c r="AF1514">
        <v>4.8899999999999997</v>
      </c>
      <c r="AG1514">
        <v>0</v>
      </c>
      <c r="AH1514">
        <v>0</v>
      </c>
      <c r="AI1514" s="4">
        <v>42887</v>
      </c>
    </row>
    <row r="1515" spans="1:35">
      <c r="A1515">
        <v>1514</v>
      </c>
      <c r="B1515" t="str">
        <f>"603801"</f>
        <v>603801</v>
      </c>
      <c r="C1515" t="s">
        <v>8355</v>
      </c>
      <c r="D1515" s="4">
        <v>43190</v>
      </c>
      <c r="E1515" t="s">
        <v>1203</v>
      </c>
      <c r="F1515" t="s">
        <v>4429</v>
      </c>
      <c r="G1515">
        <v>3770</v>
      </c>
      <c r="H1515">
        <v>0.19</v>
      </c>
      <c r="I1515">
        <v>10.210000000000001</v>
      </c>
      <c r="J1515">
        <v>1.76</v>
      </c>
      <c r="K1515" t="s">
        <v>1939</v>
      </c>
      <c r="L1515">
        <v>38.28</v>
      </c>
      <c r="M1515" t="s">
        <v>8356</v>
      </c>
      <c r="N1515" t="s">
        <v>6768</v>
      </c>
      <c r="O1515" t="s">
        <v>8357</v>
      </c>
      <c r="P1515" t="s">
        <v>8358</v>
      </c>
      <c r="Q1515">
        <v>48.23</v>
      </c>
      <c r="R1515" t="s">
        <v>1121</v>
      </c>
      <c r="S1515">
        <v>2.92</v>
      </c>
      <c r="T1515">
        <v>36.81</v>
      </c>
      <c r="U1515" t="s">
        <v>276</v>
      </c>
      <c r="V1515" t="s">
        <v>391</v>
      </c>
      <c r="W1515" t="s">
        <v>1480</v>
      </c>
      <c r="X1515">
        <v>1.76</v>
      </c>
      <c r="Y1515" t="s">
        <v>2429</v>
      </c>
      <c r="Z1515" t="s">
        <v>872</v>
      </c>
      <c r="AA1515" t="s">
        <v>8359</v>
      </c>
      <c r="AB1515">
        <v>4.88</v>
      </c>
      <c r="AC1515" t="s">
        <v>79</v>
      </c>
      <c r="AD1515">
        <v>74.540000000000006</v>
      </c>
      <c r="AE1515" t="s">
        <v>6541</v>
      </c>
      <c r="AF1515">
        <v>5.88</v>
      </c>
      <c r="AG1515">
        <v>0</v>
      </c>
      <c r="AH1515">
        <v>0</v>
      </c>
      <c r="AI1515" s="4">
        <v>42916</v>
      </c>
    </row>
    <row r="1516" spans="1:35">
      <c r="A1516">
        <v>1515</v>
      </c>
      <c r="B1516" t="str">
        <f>"603088"</f>
        <v>603088</v>
      </c>
      <c r="C1516" t="s">
        <v>8360</v>
      </c>
      <c r="D1516" s="4">
        <v>43190</v>
      </c>
      <c r="E1516" t="s">
        <v>2575</v>
      </c>
      <c r="F1516" t="s">
        <v>2575</v>
      </c>
      <c r="G1516">
        <v>8507</v>
      </c>
      <c r="H1516">
        <v>0.11</v>
      </c>
      <c r="I1516">
        <v>6.26</v>
      </c>
      <c r="J1516">
        <v>1.76</v>
      </c>
      <c r="K1516" t="s">
        <v>8361</v>
      </c>
      <c r="L1516">
        <v>13.39</v>
      </c>
      <c r="M1516" t="s">
        <v>8362</v>
      </c>
      <c r="N1516" t="s">
        <v>8363</v>
      </c>
      <c r="O1516" t="s">
        <v>8364</v>
      </c>
      <c r="P1516" t="s">
        <v>4486</v>
      </c>
      <c r="Q1516">
        <v>25.3</v>
      </c>
      <c r="R1516" t="s">
        <v>505</v>
      </c>
      <c r="S1516">
        <v>1.97</v>
      </c>
      <c r="T1516">
        <v>40.200000000000003</v>
      </c>
      <c r="U1516" t="s">
        <v>1204</v>
      </c>
      <c r="V1516" t="s">
        <v>611</v>
      </c>
      <c r="W1516" t="s">
        <v>1366</v>
      </c>
      <c r="X1516">
        <v>1.76</v>
      </c>
      <c r="Y1516" t="s">
        <v>122</v>
      </c>
      <c r="Z1516" t="s">
        <v>134</v>
      </c>
      <c r="AA1516" t="s">
        <v>8365</v>
      </c>
      <c r="AB1516">
        <v>2.96</v>
      </c>
      <c r="AC1516" t="s">
        <v>2563</v>
      </c>
      <c r="AD1516">
        <v>65.150000000000006</v>
      </c>
      <c r="AE1516" t="s">
        <v>916</v>
      </c>
      <c r="AF1516">
        <v>2.95</v>
      </c>
      <c r="AG1516">
        <v>0</v>
      </c>
      <c r="AH1516">
        <v>0</v>
      </c>
      <c r="AI1516" s="4">
        <v>41954</v>
      </c>
    </row>
    <row r="1517" spans="1:35">
      <c r="A1517">
        <v>1516</v>
      </c>
      <c r="B1517" t="str">
        <f>"300288"</f>
        <v>300288</v>
      </c>
      <c r="C1517" t="s">
        <v>8366</v>
      </c>
      <c r="D1517" s="4">
        <v>43190</v>
      </c>
      <c r="E1517" t="s">
        <v>499</v>
      </c>
      <c r="F1517" t="s">
        <v>975</v>
      </c>
      <c r="G1517">
        <v>4710</v>
      </c>
      <c r="H1517">
        <v>0.06</v>
      </c>
      <c r="I1517">
        <v>3.65</v>
      </c>
      <c r="J1517">
        <v>1.76</v>
      </c>
      <c r="K1517" t="s">
        <v>1475</v>
      </c>
      <c r="L1517">
        <v>7.42</v>
      </c>
      <c r="M1517" t="s">
        <v>8367</v>
      </c>
      <c r="N1517" t="s">
        <v>8368</v>
      </c>
      <c r="O1517" t="s">
        <v>6743</v>
      </c>
      <c r="P1517" t="s">
        <v>8369</v>
      </c>
      <c r="Q1517">
        <v>33.68</v>
      </c>
      <c r="R1517" t="s">
        <v>4613</v>
      </c>
      <c r="S1517">
        <v>1.37</v>
      </c>
      <c r="T1517">
        <v>50.2</v>
      </c>
      <c r="U1517" t="s">
        <v>747</v>
      </c>
      <c r="V1517" t="s">
        <v>138</v>
      </c>
      <c r="W1517" t="s">
        <v>1360</v>
      </c>
      <c r="X1517">
        <v>1.76</v>
      </c>
      <c r="Y1517" t="s">
        <v>217</v>
      </c>
      <c r="Z1517" t="s">
        <v>986</v>
      </c>
      <c r="AA1517" t="s">
        <v>8370</v>
      </c>
      <c r="AB1517">
        <v>4.1500000000000004</v>
      </c>
      <c r="AC1517" t="s">
        <v>405</v>
      </c>
      <c r="AD1517">
        <v>79.78</v>
      </c>
      <c r="AE1517" t="s">
        <v>165</v>
      </c>
      <c r="AF1517">
        <v>1.1399999999999999</v>
      </c>
      <c r="AG1517">
        <v>0</v>
      </c>
      <c r="AH1517">
        <v>0</v>
      </c>
      <c r="AI1517" s="4">
        <v>40955</v>
      </c>
    </row>
    <row r="1518" spans="1:35">
      <c r="A1518">
        <v>1517</v>
      </c>
      <c r="B1518" t="str">
        <f>"002540"</f>
        <v>002540</v>
      </c>
      <c r="C1518" t="s">
        <v>8371</v>
      </c>
      <c r="D1518" s="4">
        <v>43190</v>
      </c>
      <c r="E1518" t="s">
        <v>1082</v>
      </c>
      <c r="F1518" t="s">
        <v>3281</v>
      </c>
      <c r="G1518" t="s">
        <v>708</v>
      </c>
      <c r="H1518">
        <v>7.0000000000000007E-2</v>
      </c>
      <c r="I1518">
        <v>3.73</v>
      </c>
      <c r="J1518">
        <v>1.76</v>
      </c>
      <c r="K1518" t="s">
        <v>1802</v>
      </c>
      <c r="L1518">
        <v>9.26</v>
      </c>
      <c r="M1518" t="s">
        <v>8372</v>
      </c>
      <c r="N1518" t="s">
        <v>8373</v>
      </c>
      <c r="O1518" t="s">
        <v>2307</v>
      </c>
      <c r="P1518" t="s">
        <v>3040</v>
      </c>
      <c r="Q1518">
        <v>16.73</v>
      </c>
      <c r="R1518" t="s">
        <v>624</v>
      </c>
      <c r="S1518">
        <v>1.1000000000000001</v>
      </c>
      <c r="T1518">
        <v>19.5</v>
      </c>
      <c r="U1518" t="s">
        <v>111</v>
      </c>
      <c r="V1518" t="s">
        <v>1593</v>
      </c>
      <c r="W1518" t="s">
        <v>699</v>
      </c>
      <c r="X1518">
        <v>1.76</v>
      </c>
      <c r="Y1518" t="s">
        <v>375</v>
      </c>
      <c r="Z1518" t="s">
        <v>160</v>
      </c>
      <c r="AA1518" t="s">
        <v>8374</v>
      </c>
      <c r="AB1518">
        <v>1.61</v>
      </c>
      <c r="AC1518" t="s">
        <v>1616</v>
      </c>
      <c r="AD1518">
        <v>92.54</v>
      </c>
      <c r="AE1518" t="s">
        <v>275</v>
      </c>
      <c r="AF1518">
        <v>1.53</v>
      </c>
      <c r="AG1518">
        <v>0</v>
      </c>
      <c r="AH1518">
        <v>0</v>
      </c>
      <c r="AI1518" s="4">
        <v>40561</v>
      </c>
    </row>
    <row r="1519" spans="1:35">
      <c r="A1519">
        <v>1518</v>
      </c>
      <c r="B1519" t="str">
        <f>"002269"</f>
        <v>002269</v>
      </c>
      <c r="C1519" t="s">
        <v>8375</v>
      </c>
      <c r="D1519" s="4">
        <v>43190</v>
      </c>
      <c r="E1519" t="s">
        <v>2280</v>
      </c>
      <c r="F1519" t="s">
        <v>2280</v>
      </c>
      <c r="G1519" t="s">
        <v>843</v>
      </c>
      <c r="H1519">
        <v>0.02</v>
      </c>
      <c r="I1519">
        <v>1.1499999999999999</v>
      </c>
      <c r="J1519">
        <v>1.76</v>
      </c>
      <c r="K1519" t="s">
        <v>789</v>
      </c>
      <c r="L1519">
        <v>30.12</v>
      </c>
      <c r="M1519" t="s">
        <v>6637</v>
      </c>
      <c r="N1519" t="s">
        <v>6908</v>
      </c>
      <c r="O1519" t="s">
        <v>8376</v>
      </c>
      <c r="P1519" t="s">
        <v>5540</v>
      </c>
      <c r="Q1519">
        <v>74.209999999999994</v>
      </c>
      <c r="R1519" t="s">
        <v>8377</v>
      </c>
      <c r="S1519">
        <v>-0.12</v>
      </c>
      <c r="T1519">
        <v>44.22</v>
      </c>
      <c r="U1519" t="s">
        <v>8378</v>
      </c>
      <c r="V1519" t="s">
        <v>1419</v>
      </c>
      <c r="W1519" t="s">
        <v>1384</v>
      </c>
      <c r="X1519">
        <v>1.76</v>
      </c>
      <c r="Y1519" t="s">
        <v>2498</v>
      </c>
      <c r="Z1519" t="s">
        <v>2498</v>
      </c>
      <c r="AA1519">
        <v>0</v>
      </c>
      <c r="AB1519">
        <v>2.35</v>
      </c>
      <c r="AC1519" t="s">
        <v>2499</v>
      </c>
      <c r="AD1519">
        <v>45</v>
      </c>
      <c r="AE1519" t="s">
        <v>136</v>
      </c>
      <c r="AF1519">
        <v>0.06</v>
      </c>
      <c r="AG1519">
        <v>0</v>
      </c>
      <c r="AH1519">
        <v>0</v>
      </c>
      <c r="AI1519" s="4">
        <v>39688</v>
      </c>
    </row>
    <row r="1520" spans="1:35">
      <c r="A1520">
        <v>1519</v>
      </c>
      <c r="B1520" t="str">
        <f>"600138"</f>
        <v>600138</v>
      </c>
      <c r="C1520" t="s">
        <v>8379</v>
      </c>
      <c r="D1520" s="4">
        <v>43190</v>
      </c>
      <c r="E1520" t="s">
        <v>201</v>
      </c>
      <c r="F1520" t="s">
        <v>201</v>
      </c>
      <c r="G1520" t="s">
        <v>4929</v>
      </c>
      <c r="H1520">
        <v>0.14000000000000001</v>
      </c>
      <c r="I1520">
        <v>7.86</v>
      </c>
      <c r="J1520">
        <v>1.75</v>
      </c>
      <c r="K1520" t="s">
        <v>2280</v>
      </c>
      <c r="L1520">
        <v>22.82</v>
      </c>
      <c r="M1520" t="s">
        <v>37</v>
      </c>
      <c r="N1520" t="s">
        <v>8380</v>
      </c>
      <c r="O1520" t="s">
        <v>37</v>
      </c>
      <c r="P1520" t="s">
        <v>8381</v>
      </c>
      <c r="Q1520">
        <v>14.02</v>
      </c>
      <c r="R1520" t="s">
        <v>946</v>
      </c>
      <c r="S1520">
        <v>4.26</v>
      </c>
      <c r="T1520">
        <v>23.46</v>
      </c>
      <c r="U1520" t="s">
        <v>932</v>
      </c>
      <c r="V1520" t="s">
        <v>1177</v>
      </c>
      <c r="W1520" t="s">
        <v>2941</v>
      </c>
      <c r="X1520">
        <v>1.75</v>
      </c>
      <c r="Y1520" t="s">
        <v>573</v>
      </c>
      <c r="Z1520" t="s">
        <v>3016</v>
      </c>
      <c r="AA1520" t="s">
        <v>541</v>
      </c>
      <c r="AB1520">
        <v>2.65</v>
      </c>
      <c r="AC1520" t="s">
        <v>2809</v>
      </c>
      <c r="AD1520">
        <v>45.1</v>
      </c>
      <c r="AE1520" t="s">
        <v>1343</v>
      </c>
      <c r="AF1520">
        <v>2.42</v>
      </c>
      <c r="AG1520">
        <v>0</v>
      </c>
      <c r="AH1520">
        <v>0</v>
      </c>
      <c r="AI1520" s="4">
        <v>35767</v>
      </c>
    </row>
    <row r="1521" spans="1:35">
      <c r="A1521">
        <v>1520</v>
      </c>
      <c r="B1521" t="str">
        <f>"603818"</f>
        <v>603818</v>
      </c>
      <c r="C1521" t="s">
        <v>8382</v>
      </c>
      <c r="D1521" s="4">
        <v>43190</v>
      </c>
      <c r="E1521" t="s">
        <v>542</v>
      </c>
      <c r="F1521" t="s">
        <v>616</v>
      </c>
      <c r="G1521">
        <v>5797</v>
      </c>
      <c r="H1521">
        <v>0.06</v>
      </c>
      <c r="I1521">
        <v>3.39</v>
      </c>
      <c r="J1521">
        <v>1.75</v>
      </c>
      <c r="K1521" t="s">
        <v>1939</v>
      </c>
      <c r="L1521">
        <v>15.02</v>
      </c>
      <c r="M1521" t="s">
        <v>8383</v>
      </c>
      <c r="N1521" t="s">
        <v>4981</v>
      </c>
      <c r="O1521" t="s">
        <v>7324</v>
      </c>
      <c r="P1521" t="s">
        <v>3998</v>
      </c>
      <c r="Q1521">
        <v>12.46</v>
      </c>
      <c r="R1521" t="s">
        <v>615</v>
      </c>
      <c r="S1521">
        <v>1.46</v>
      </c>
      <c r="T1521">
        <v>36.270000000000003</v>
      </c>
      <c r="U1521" t="s">
        <v>1843</v>
      </c>
      <c r="V1521" t="s">
        <v>250</v>
      </c>
      <c r="W1521" t="s">
        <v>3471</v>
      </c>
      <c r="X1521">
        <v>1.75</v>
      </c>
      <c r="Y1521" t="s">
        <v>1229</v>
      </c>
      <c r="Z1521" t="s">
        <v>976</v>
      </c>
      <c r="AA1521" t="s">
        <v>5924</v>
      </c>
      <c r="AB1521">
        <v>3.56</v>
      </c>
      <c r="AC1521" t="s">
        <v>1062</v>
      </c>
      <c r="AD1521">
        <v>79.28</v>
      </c>
      <c r="AE1521" t="s">
        <v>2661</v>
      </c>
      <c r="AF1521">
        <v>0.76</v>
      </c>
      <c r="AG1521">
        <v>0</v>
      </c>
      <c r="AH1521">
        <v>0</v>
      </c>
      <c r="AI1521" s="4">
        <v>42116</v>
      </c>
    </row>
    <row r="1522" spans="1:35">
      <c r="A1522">
        <v>1521</v>
      </c>
      <c r="B1522" t="str">
        <f>"603218"</f>
        <v>603218</v>
      </c>
      <c r="C1522" t="s">
        <v>8384</v>
      </c>
      <c r="D1522" s="4">
        <v>43190</v>
      </c>
      <c r="E1522" t="s">
        <v>241</v>
      </c>
      <c r="F1522" t="s">
        <v>8385</v>
      </c>
      <c r="G1522">
        <v>4995</v>
      </c>
      <c r="H1522">
        <v>0.12</v>
      </c>
      <c r="I1522">
        <v>6.82</v>
      </c>
      <c r="J1522">
        <v>1.75</v>
      </c>
      <c r="K1522" t="s">
        <v>1059</v>
      </c>
      <c r="L1522">
        <v>35.53</v>
      </c>
      <c r="M1522" t="s">
        <v>8386</v>
      </c>
      <c r="N1522" t="s">
        <v>921</v>
      </c>
      <c r="O1522" t="s">
        <v>8387</v>
      </c>
      <c r="P1522" t="s">
        <v>3917</v>
      </c>
      <c r="Q1522">
        <v>-13.11</v>
      </c>
      <c r="R1522" t="s">
        <v>161</v>
      </c>
      <c r="S1522">
        <v>3.38</v>
      </c>
      <c r="T1522">
        <v>20.43</v>
      </c>
      <c r="U1522" t="s">
        <v>1698</v>
      </c>
      <c r="V1522" t="s">
        <v>700</v>
      </c>
      <c r="W1522" t="s">
        <v>598</v>
      </c>
      <c r="X1522">
        <v>1.75</v>
      </c>
      <c r="Y1522" t="s">
        <v>88</v>
      </c>
      <c r="Z1522" t="s">
        <v>2593</v>
      </c>
      <c r="AA1522" t="s">
        <v>8388</v>
      </c>
      <c r="AB1522">
        <v>2.66</v>
      </c>
      <c r="AC1522" t="s">
        <v>1881</v>
      </c>
      <c r="AD1522">
        <v>74.739999999999995</v>
      </c>
      <c r="AE1522" t="s">
        <v>2235</v>
      </c>
      <c r="AF1522">
        <v>2.17</v>
      </c>
      <c r="AG1522">
        <v>0</v>
      </c>
      <c r="AH1522">
        <v>0</v>
      </c>
      <c r="AI1522" s="4">
        <v>42732</v>
      </c>
    </row>
    <row r="1523" spans="1:35">
      <c r="A1523">
        <v>1522</v>
      </c>
      <c r="B1523" t="str">
        <f>"600363"</f>
        <v>600363</v>
      </c>
      <c r="C1523" t="s">
        <v>8389</v>
      </c>
      <c r="D1523" s="4">
        <v>43190</v>
      </c>
      <c r="E1523" t="s">
        <v>1563</v>
      </c>
      <c r="F1523" t="s">
        <v>1563</v>
      </c>
      <c r="G1523">
        <v>9881</v>
      </c>
      <c r="H1523">
        <v>0.09</v>
      </c>
      <c r="I1523">
        <v>5.14</v>
      </c>
      <c r="J1523">
        <v>1.75</v>
      </c>
      <c r="K1523" t="s">
        <v>285</v>
      </c>
      <c r="L1523">
        <v>31.51</v>
      </c>
      <c r="M1523" t="s">
        <v>8390</v>
      </c>
      <c r="N1523" t="s">
        <v>8391</v>
      </c>
      <c r="O1523" t="s">
        <v>6997</v>
      </c>
      <c r="P1523" t="s">
        <v>8392</v>
      </c>
      <c r="Q1523">
        <v>-18.53</v>
      </c>
      <c r="R1523" t="s">
        <v>407</v>
      </c>
      <c r="S1523">
        <v>2.37</v>
      </c>
      <c r="T1523">
        <v>12.37</v>
      </c>
      <c r="U1523" t="s">
        <v>2709</v>
      </c>
      <c r="V1523" t="s">
        <v>1039</v>
      </c>
      <c r="W1523" t="s">
        <v>1565</v>
      </c>
      <c r="X1523">
        <v>1.75</v>
      </c>
      <c r="Y1523" t="s">
        <v>646</v>
      </c>
      <c r="Z1523" t="s">
        <v>76</v>
      </c>
      <c r="AA1523" t="s">
        <v>1646</v>
      </c>
      <c r="AB1523">
        <v>1.75</v>
      </c>
      <c r="AC1523" t="s">
        <v>2291</v>
      </c>
      <c r="AD1523">
        <v>53.31</v>
      </c>
      <c r="AE1523" t="s">
        <v>1909</v>
      </c>
      <c r="AF1523">
        <v>1.44</v>
      </c>
      <c r="AG1523">
        <v>0</v>
      </c>
      <c r="AH1523">
        <v>0</v>
      </c>
      <c r="AI1523" s="4">
        <v>36979</v>
      </c>
    </row>
    <row r="1524" spans="1:35">
      <c r="A1524">
        <v>1523</v>
      </c>
      <c r="B1524" t="str">
        <f>"600048"</f>
        <v>600048</v>
      </c>
      <c r="C1524" t="s">
        <v>8393</v>
      </c>
      <c r="D1524" s="4">
        <v>43190</v>
      </c>
      <c r="E1524" t="s">
        <v>399</v>
      </c>
      <c r="F1524" t="s">
        <v>315</v>
      </c>
      <c r="G1524" t="s">
        <v>8394</v>
      </c>
      <c r="H1524">
        <v>0.16</v>
      </c>
      <c r="I1524">
        <v>8.41</v>
      </c>
      <c r="J1524">
        <v>1.75</v>
      </c>
      <c r="K1524" t="s">
        <v>1221</v>
      </c>
      <c r="L1524">
        <v>12.4</v>
      </c>
      <c r="M1524" t="s">
        <v>2136</v>
      </c>
      <c r="N1524" t="s">
        <v>676</v>
      </c>
      <c r="O1524" t="s">
        <v>1211</v>
      </c>
      <c r="P1524" t="s">
        <v>183</v>
      </c>
      <c r="Q1524">
        <v>0.26</v>
      </c>
      <c r="R1524" t="s">
        <v>8395</v>
      </c>
      <c r="S1524">
        <v>5.77</v>
      </c>
      <c r="T1524">
        <v>39.79</v>
      </c>
      <c r="U1524" t="s">
        <v>8396</v>
      </c>
      <c r="V1524" t="s">
        <v>8397</v>
      </c>
      <c r="W1524" t="s">
        <v>3073</v>
      </c>
      <c r="X1524">
        <v>1.75</v>
      </c>
      <c r="Y1524" t="s">
        <v>8398</v>
      </c>
      <c r="Z1524" t="s">
        <v>8399</v>
      </c>
      <c r="AA1524" t="s">
        <v>8400</v>
      </c>
      <c r="AB1524">
        <v>1.6</v>
      </c>
      <c r="AC1524" t="s">
        <v>8401</v>
      </c>
      <c r="AD1524">
        <v>14.37</v>
      </c>
      <c r="AE1524" t="s">
        <v>3129</v>
      </c>
      <c r="AF1524">
        <v>1.35</v>
      </c>
      <c r="AG1524">
        <v>0</v>
      </c>
      <c r="AH1524">
        <v>0</v>
      </c>
      <c r="AI1524" s="4">
        <v>38929</v>
      </c>
    </row>
    <row r="1525" spans="1:35">
      <c r="A1525">
        <v>1524</v>
      </c>
      <c r="B1525" t="str">
        <f>"300360"</f>
        <v>300360</v>
      </c>
      <c r="C1525" t="s">
        <v>8402</v>
      </c>
      <c r="D1525" s="4">
        <v>43190</v>
      </c>
      <c r="E1525" t="s">
        <v>623</v>
      </c>
      <c r="F1525" t="s">
        <v>1732</v>
      </c>
      <c r="G1525" t="s">
        <v>1448</v>
      </c>
      <c r="H1525">
        <v>0.09</v>
      </c>
      <c r="I1525">
        <v>5.0199999999999996</v>
      </c>
      <c r="J1525">
        <v>1.75</v>
      </c>
      <c r="K1525" t="s">
        <v>95</v>
      </c>
      <c r="L1525">
        <v>-18.489999999999998</v>
      </c>
      <c r="M1525" t="s">
        <v>5077</v>
      </c>
      <c r="N1525" t="s">
        <v>2787</v>
      </c>
      <c r="O1525" t="s">
        <v>8403</v>
      </c>
      <c r="P1525" t="s">
        <v>8404</v>
      </c>
      <c r="Q1525">
        <v>-22.28</v>
      </c>
      <c r="R1525" t="s">
        <v>5537</v>
      </c>
      <c r="S1525">
        <v>2.16</v>
      </c>
      <c r="T1525">
        <v>34.619999999999997</v>
      </c>
      <c r="U1525" t="s">
        <v>1943</v>
      </c>
      <c r="V1525" t="s">
        <v>2568</v>
      </c>
      <c r="W1525" t="s">
        <v>8405</v>
      </c>
      <c r="X1525">
        <v>1.75</v>
      </c>
      <c r="Y1525" t="s">
        <v>3044</v>
      </c>
      <c r="Z1525" t="s">
        <v>4794</v>
      </c>
      <c r="AA1525" t="s">
        <v>8406</v>
      </c>
      <c r="AB1525">
        <v>1.47</v>
      </c>
      <c r="AC1525" t="s">
        <v>159</v>
      </c>
      <c r="AD1525">
        <v>82.62</v>
      </c>
      <c r="AE1525" t="s">
        <v>1909</v>
      </c>
      <c r="AF1525">
        <v>1.55</v>
      </c>
      <c r="AG1525">
        <v>0</v>
      </c>
      <c r="AH1525">
        <v>0</v>
      </c>
      <c r="AI1525" s="4">
        <v>41660</v>
      </c>
    </row>
    <row r="1526" spans="1:35">
      <c r="A1526">
        <v>1525</v>
      </c>
      <c r="B1526" t="str">
        <f>"002879"</f>
        <v>002879</v>
      </c>
      <c r="C1526" t="s">
        <v>8407</v>
      </c>
      <c r="D1526" s="4">
        <v>43190</v>
      </c>
      <c r="E1526" t="s">
        <v>95</v>
      </c>
      <c r="F1526" t="s">
        <v>3955</v>
      </c>
      <c r="G1526">
        <v>1823</v>
      </c>
      <c r="H1526">
        <v>0.13</v>
      </c>
      <c r="I1526">
        <v>7.25</v>
      </c>
      <c r="J1526">
        <v>1.75</v>
      </c>
      <c r="K1526" t="s">
        <v>2306</v>
      </c>
      <c r="L1526">
        <v>15.58</v>
      </c>
      <c r="M1526" t="s">
        <v>8408</v>
      </c>
      <c r="N1526" t="s">
        <v>8409</v>
      </c>
      <c r="O1526" t="s">
        <v>8408</v>
      </c>
      <c r="P1526" t="s">
        <v>5931</v>
      </c>
      <c r="Q1526">
        <v>5.41</v>
      </c>
      <c r="R1526" t="s">
        <v>155</v>
      </c>
      <c r="S1526">
        <v>2.25</v>
      </c>
      <c r="T1526">
        <v>50.3</v>
      </c>
      <c r="U1526" t="s">
        <v>115</v>
      </c>
      <c r="V1526" t="s">
        <v>161</v>
      </c>
      <c r="W1526" t="s">
        <v>345</v>
      </c>
      <c r="X1526">
        <v>1.75</v>
      </c>
      <c r="Y1526" t="s">
        <v>1666</v>
      </c>
      <c r="Z1526" t="s">
        <v>1011</v>
      </c>
      <c r="AA1526" t="s">
        <v>3795</v>
      </c>
      <c r="AB1526">
        <v>2.36</v>
      </c>
      <c r="AC1526" t="s">
        <v>173</v>
      </c>
      <c r="AD1526">
        <v>84.11</v>
      </c>
      <c r="AE1526" t="s">
        <v>869</v>
      </c>
      <c r="AF1526">
        <v>3.67</v>
      </c>
      <c r="AG1526">
        <v>0</v>
      </c>
      <c r="AH1526">
        <v>0</v>
      </c>
      <c r="AI1526" s="4">
        <v>42923</v>
      </c>
    </row>
    <row r="1527" spans="1:35">
      <c r="A1527">
        <v>1526</v>
      </c>
      <c r="B1527" t="str">
        <f>"002455"</f>
        <v>002455</v>
      </c>
      <c r="C1527" t="s">
        <v>8410</v>
      </c>
      <c r="D1527" s="4">
        <v>43190</v>
      </c>
      <c r="E1527" t="s">
        <v>1243</v>
      </c>
      <c r="F1527" t="s">
        <v>167</v>
      </c>
      <c r="G1527">
        <v>9924</v>
      </c>
      <c r="H1527">
        <v>0.05</v>
      </c>
      <c r="I1527">
        <v>2.5099999999999998</v>
      </c>
      <c r="J1527">
        <v>1.75</v>
      </c>
      <c r="K1527" t="s">
        <v>1567</v>
      </c>
      <c r="L1527">
        <v>34.96</v>
      </c>
      <c r="M1527" t="s">
        <v>8411</v>
      </c>
      <c r="N1527" t="s">
        <v>8412</v>
      </c>
      <c r="O1527" t="s">
        <v>8413</v>
      </c>
      <c r="P1527" t="s">
        <v>8414</v>
      </c>
      <c r="Q1527">
        <v>23.66</v>
      </c>
      <c r="R1527" t="s">
        <v>1682</v>
      </c>
      <c r="S1527">
        <v>0.63</v>
      </c>
      <c r="T1527">
        <v>12.75</v>
      </c>
      <c r="U1527" t="s">
        <v>1832</v>
      </c>
      <c r="V1527" t="s">
        <v>759</v>
      </c>
      <c r="W1527" t="s">
        <v>3643</v>
      </c>
      <c r="X1527">
        <v>1.75</v>
      </c>
      <c r="Y1527" t="s">
        <v>164</v>
      </c>
      <c r="Z1527" t="s">
        <v>300</v>
      </c>
      <c r="AA1527" t="s">
        <v>8415</v>
      </c>
      <c r="AB1527">
        <v>2.54</v>
      </c>
      <c r="AC1527" t="s">
        <v>1214</v>
      </c>
      <c r="AD1527">
        <v>51.66</v>
      </c>
      <c r="AE1527" t="s">
        <v>324</v>
      </c>
      <c r="AF1527">
        <v>0.81</v>
      </c>
      <c r="AG1527">
        <v>0</v>
      </c>
      <c r="AH1527">
        <v>0</v>
      </c>
      <c r="AI1527" s="4">
        <v>40393</v>
      </c>
    </row>
    <row r="1528" spans="1:35">
      <c r="A1528">
        <v>1527</v>
      </c>
      <c r="B1528" t="str">
        <f>"002385"</f>
        <v>002385</v>
      </c>
      <c r="C1528" t="s">
        <v>8416</v>
      </c>
      <c r="D1528" s="4">
        <v>43190</v>
      </c>
      <c r="E1528" t="s">
        <v>408</v>
      </c>
      <c r="F1528" t="s">
        <v>2291</v>
      </c>
      <c r="G1528" t="s">
        <v>5319</v>
      </c>
      <c r="H1528">
        <v>0.04</v>
      </c>
      <c r="I1528">
        <v>2.38</v>
      </c>
      <c r="J1528">
        <v>1.75</v>
      </c>
      <c r="K1528" t="s">
        <v>3653</v>
      </c>
      <c r="L1528">
        <v>15.97</v>
      </c>
      <c r="M1528" t="s">
        <v>985</v>
      </c>
      <c r="N1528" t="s">
        <v>8417</v>
      </c>
      <c r="O1528" t="s">
        <v>935</v>
      </c>
      <c r="P1528" t="s">
        <v>1288</v>
      </c>
      <c r="Q1528">
        <v>-5.91</v>
      </c>
      <c r="R1528" t="s">
        <v>762</v>
      </c>
      <c r="S1528">
        <v>1.07</v>
      </c>
      <c r="T1528">
        <v>21.78</v>
      </c>
      <c r="U1528" t="s">
        <v>2761</v>
      </c>
      <c r="V1528" t="s">
        <v>8418</v>
      </c>
      <c r="W1528" t="s">
        <v>2059</v>
      </c>
      <c r="X1528">
        <v>1.75</v>
      </c>
      <c r="Y1528" t="s">
        <v>2797</v>
      </c>
      <c r="Z1528" t="s">
        <v>1667</v>
      </c>
      <c r="AA1528" t="s">
        <v>3281</v>
      </c>
      <c r="AB1528">
        <v>2.21</v>
      </c>
      <c r="AC1528" t="s">
        <v>252</v>
      </c>
      <c r="AD1528">
        <v>54.29</v>
      </c>
      <c r="AE1528" t="s">
        <v>161</v>
      </c>
      <c r="AF1528">
        <v>0.34</v>
      </c>
      <c r="AG1528">
        <v>0</v>
      </c>
      <c r="AH1528">
        <v>0</v>
      </c>
      <c r="AI1528" s="4">
        <v>40277</v>
      </c>
    </row>
    <row r="1529" spans="1:35">
      <c r="A1529">
        <v>1528</v>
      </c>
      <c r="B1529" t="str">
        <f>"002210"</f>
        <v>002210</v>
      </c>
      <c r="C1529" t="s">
        <v>8419</v>
      </c>
      <c r="D1529" s="4">
        <v>43190</v>
      </c>
      <c r="E1529" t="s">
        <v>1052</v>
      </c>
      <c r="F1529" t="s">
        <v>101</v>
      </c>
      <c r="G1529" t="s">
        <v>8354</v>
      </c>
      <c r="H1529">
        <v>0.04</v>
      </c>
      <c r="I1529">
        <v>2.54</v>
      </c>
      <c r="J1529">
        <v>1.75</v>
      </c>
      <c r="K1529" t="s">
        <v>399</v>
      </c>
      <c r="L1529">
        <v>32.450000000000003</v>
      </c>
      <c r="M1529" t="s">
        <v>8420</v>
      </c>
      <c r="N1529" t="s">
        <v>8421</v>
      </c>
      <c r="O1529" t="s">
        <v>7593</v>
      </c>
      <c r="P1529" t="s">
        <v>8422</v>
      </c>
      <c r="Q1529">
        <v>2.39</v>
      </c>
      <c r="R1529" t="s">
        <v>449</v>
      </c>
      <c r="S1529">
        <v>1.3</v>
      </c>
      <c r="T1529">
        <v>1.53</v>
      </c>
      <c r="U1529" t="s">
        <v>409</v>
      </c>
      <c r="V1529" t="s">
        <v>1194</v>
      </c>
      <c r="W1529" t="s">
        <v>696</v>
      </c>
      <c r="X1529">
        <v>1.75</v>
      </c>
      <c r="Y1529" t="s">
        <v>1550</v>
      </c>
      <c r="Z1529" t="s">
        <v>587</v>
      </c>
      <c r="AA1529" t="s">
        <v>1213</v>
      </c>
      <c r="AB1529">
        <v>4.8499999999999996</v>
      </c>
      <c r="AC1529" t="s">
        <v>1412</v>
      </c>
      <c r="AD1529">
        <v>18.68</v>
      </c>
      <c r="AE1529" t="s">
        <v>1074</v>
      </c>
      <c r="AF1529">
        <v>0.21</v>
      </c>
      <c r="AG1529">
        <v>0</v>
      </c>
      <c r="AH1529">
        <v>0</v>
      </c>
      <c r="AI1529" s="4">
        <v>39477</v>
      </c>
    </row>
    <row r="1530" spans="1:35">
      <c r="A1530">
        <v>1529</v>
      </c>
      <c r="B1530" t="str">
        <f>"000666"</f>
        <v>000666</v>
      </c>
      <c r="C1530" t="s">
        <v>8423</v>
      </c>
      <c r="D1530" s="4">
        <v>43190</v>
      </c>
      <c r="E1530" t="s">
        <v>5195</v>
      </c>
      <c r="F1530" t="s">
        <v>205</v>
      </c>
      <c r="G1530">
        <v>8010</v>
      </c>
      <c r="H1530">
        <v>0.19</v>
      </c>
      <c r="I1530">
        <v>10.69</v>
      </c>
      <c r="J1530">
        <v>1.75</v>
      </c>
      <c r="K1530" t="s">
        <v>867</v>
      </c>
      <c r="L1530">
        <v>-17.63</v>
      </c>
      <c r="M1530" t="s">
        <v>545</v>
      </c>
      <c r="N1530" t="s">
        <v>2997</v>
      </c>
      <c r="O1530" t="s">
        <v>348</v>
      </c>
      <c r="P1530" t="s">
        <v>595</v>
      </c>
      <c r="Q1530">
        <v>-50.84</v>
      </c>
      <c r="R1530" t="s">
        <v>1593</v>
      </c>
      <c r="S1530">
        <v>4.88</v>
      </c>
      <c r="T1530">
        <v>49.04</v>
      </c>
      <c r="U1530" t="s">
        <v>8424</v>
      </c>
      <c r="V1530" t="s">
        <v>718</v>
      </c>
      <c r="W1530" t="s">
        <v>161</v>
      </c>
      <c r="X1530">
        <v>1.75</v>
      </c>
      <c r="Y1530" t="s">
        <v>1114</v>
      </c>
      <c r="Z1530" t="s">
        <v>580</v>
      </c>
      <c r="AA1530" t="s">
        <v>2211</v>
      </c>
      <c r="AB1530">
        <v>1.69</v>
      </c>
      <c r="AC1530" t="s">
        <v>2014</v>
      </c>
      <c r="AD1530">
        <v>20.52</v>
      </c>
      <c r="AE1530" t="s">
        <v>389</v>
      </c>
      <c r="AF1530">
        <v>2.71</v>
      </c>
      <c r="AG1530">
        <v>0</v>
      </c>
      <c r="AH1530">
        <v>0</v>
      </c>
      <c r="AI1530" s="4">
        <v>35409</v>
      </c>
    </row>
    <row r="1531" spans="1:35">
      <c r="A1531">
        <v>1530</v>
      </c>
      <c r="B1531" t="str">
        <f>"000627"</f>
        <v>000627</v>
      </c>
      <c r="C1531" t="s">
        <v>8425</v>
      </c>
      <c r="D1531" s="4">
        <v>43190</v>
      </c>
      <c r="E1531" t="s">
        <v>1410</v>
      </c>
      <c r="F1531" t="s">
        <v>1214</v>
      </c>
      <c r="G1531" t="s">
        <v>1105</v>
      </c>
      <c r="H1531">
        <v>7.0000000000000007E-2</v>
      </c>
      <c r="I1531">
        <v>3.89</v>
      </c>
      <c r="J1531">
        <v>1.75</v>
      </c>
      <c r="K1531" t="s">
        <v>310</v>
      </c>
      <c r="L1531">
        <v>-34.03</v>
      </c>
      <c r="M1531" t="s">
        <v>1903</v>
      </c>
      <c r="N1531" t="s">
        <v>514</v>
      </c>
      <c r="O1531" t="s">
        <v>650</v>
      </c>
      <c r="P1531" t="s">
        <v>499</v>
      </c>
      <c r="Q1531">
        <v>207.48</v>
      </c>
      <c r="R1531" t="s">
        <v>312</v>
      </c>
      <c r="S1531">
        <v>0.69</v>
      </c>
      <c r="T1531">
        <v>0</v>
      </c>
      <c r="U1531" t="s">
        <v>8426</v>
      </c>
      <c r="V1531" t="s">
        <v>5064</v>
      </c>
      <c r="W1531" t="s">
        <v>1799</v>
      </c>
      <c r="X1531">
        <v>1.75</v>
      </c>
      <c r="Y1531" t="s">
        <v>8427</v>
      </c>
      <c r="Z1531" t="s">
        <v>1750</v>
      </c>
      <c r="AA1531" t="s">
        <v>8428</v>
      </c>
      <c r="AB1531">
        <v>1.78</v>
      </c>
      <c r="AC1531" t="s">
        <v>2761</v>
      </c>
      <c r="AD1531">
        <v>11.68</v>
      </c>
      <c r="AE1531" t="s">
        <v>558</v>
      </c>
      <c r="AF1531">
        <v>2.2400000000000002</v>
      </c>
      <c r="AG1531">
        <v>0</v>
      </c>
      <c r="AH1531">
        <v>0</v>
      </c>
      <c r="AI1531" s="4">
        <v>35381</v>
      </c>
    </row>
    <row r="1532" spans="1:35">
      <c r="A1532">
        <v>1531</v>
      </c>
      <c r="B1532" t="str">
        <f>"600269"</f>
        <v>600269</v>
      </c>
      <c r="C1532" t="s">
        <v>8429</v>
      </c>
      <c r="D1532" s="4">
        <v>43190</v>
      </c>
      <c r="E1532" t="s">
        <v>242</v>
      </c>
      <c r="F1532" t="s">
        <v>242</v>
      </c>
      <c r="G1532" t="s">
        <v>1261</v>
      </c>
      <c r="H1532">
        <v>0.1</v>
      </c>
      <c r="I1532">
        <v>6.28</v>
      </c>
      <c r="J1532">
        <v>1.74</v>
      </c>
      <c r="K1532" t="s">
        <v>699</v>
      </c>
      <c r="L1532">
        <v>-7.04</v>
      </c>
      <c r="M1532" t="s">
        <v>1320</v>
      </c>
      <c r="N1532" t="s">
        <v>8430</v>
      </c>
      <c r="O1532" t="s">
        <v>593</v>
      </c>
      <c r="P1532" t="s">
        <v>4614</v>
      </c>
      <c r="Q1532">
        <v>-47.07</v>
      </c>
      <c r="R1532" t="s">
        <v>8431</v>
      </c>
      <c r="S1532">
        <v>3.58</v>
      </c>
      <c r="T1532">
        <v>49.19</v>
      </c>
      <c r="U1532" t="s">
        <v>3308</v>
      </c>
      <c r="V1532" t="s">
        <v>956</v>
      </c>
      <c r="W1532" t="s">
        <v>2766</v>
      </c>
      <c r="X1532">
        <v>1.74</v>
      </c>
      <c r="Y1532" t="s">
        <v>2545</v>
      </c>
      <c r="Z1532" t="s">
        <v>1388</v>
      </c>
      <c r="AA1532" t="s">
        <v>815</v>
      </c>
      <c r="AB1532">
        <v>0.65</v>
      </c>
      <c r="AC1532" t="s">
        <v>1453</v>
      </c>
      <c r="AD1532">
        <v>44.14</v>
      </c>
      <c r="AE1532" t="s">
        <v>980</v>
      </c>
      <c r="AF1532">
        <v>0.79</v>
      </c>
      <c r="AG1532">
        <v>0</v>
      </c>
      <c r="AH1532">
        <v>0</v>
      </c>
      <c r="AI1532" s="4">
        <v>36664</v>
      </c>
    </row>
    <row r="1533" spans="1:35">
      <c r="A1533">
        <v>1532</v>
      </c>
      <c r="B1533" t="str">
        <f>"300695"</f>
        <v>300695</v>
      </c>
      <c r="C1533" t="s">
        <v>8432</v>
      </c>
      <c r="D1533" s="4">
        <v>43190</v>
      </c>
      <c r="E1533" t="s">
        <v>8433</v>
      </c>
      <c r="F1533" t="s">
        <v>8434</v>
      </c>
      <c r="G1533">
        <v>918</v>
      </c>
      <c r="H1533">
        <v>0.43</v>
      </c>
      <c r="I1533">
        <v>23.35</v>
      </c>
      <c r="J1533">
        <v>1.74</v>
      </c>
      <c r="K1533" t="s">
        <v>677</v>
      </c>
      <c r="L1533">
        <v>7.44</v>
      </c>
      <c r="M1533" t="s">
        <v>8435</v>
      </c>
      <c r="N1533" t="s">
        <v>8436</v>
      </c>
      <c r="O1533" t="s">
        <v>8040</v>
      </c>
      <c r="P1533" t="s">
        <v>6742</v>
      </c>
      <c r="Q1533">
        <v>-6.37</v>
      </c>
      <c r="R1533" t="s">
        <v>1959</v>
      </c>
      <c r="S1533">
        <v>6.1</v>
      </c>
      <c r="T1533">
        <v>46.63</v>
      </c>
      <c r="U1533" t="s">
        <v>691</v>
      </c>
      <c r="V1533" t="s">
        <v>1343</v>
      </c>
      <c r="W1533" t="s">
        <v>1624</v>
      </c>
      <c r="X1533">
        <v>1.74</v>
      </c>
      <c r="Y1533" t="s">
        <v>559</v>
      </c>
      <c r="Z1533" t="s">
        <v>1152</v>
      </c>
      <c r="AA1533" t="s">
        <v>529</v>
      </c>
      <c r="AB1533">
        <v>2.64</v>
      </c>
      <c r="AC1533" t="s">
        <v>298</v>
      </c>
      <c r="AD1533">
        <v>83.77</v>
      </c>
      <c r="AE1533" t="s">
        <v>3489</v>
      </c>
      <c r="AF1533">
        <v>14.95</v>
      </c>
      <c r="AG1533">
        <v>0</v>
      </c>
      <c r="AH1533">
        <v>0</v>
      </c>
      <c r="AI1533" s="4">
        <v>42986</v>
      </c>
    </row>
    <row r="1534" spans="1:35">
      <c r="A1534">
        <v>1533</v>
      </c>
      <c r="B1534" t="str">
        <f>"300367"</f>
        <v>300367</v>
      </c>
      <c r="C1534" t="s">
        <v>8437</v>
      </c>
      <c r="D1534" s="4">
        <v>43190</v>
      </c>
      <c r="E1534" t="s">
        <v>3643</v>
      </c>
      <c r="F1534" t="s">
        <v>2413</v>
      </c>
      <c r="G1534" t="s">
        <v>4360</v>
      </c>
      <c r="H1534">
        <v>7.0000000000000007E-2</v>
      </c>
      <c r="I1534">
        <v>4.25</v>
      </c>
      <c r="J1534">
        <v>1.74</v>
      </c>
      <c r="K1534" t="s">
        <v>1594</v>
      </c>
      <c r="L1534">
        <v>27.51</v>
      </c>
      <c r="M1534" t="s">
        <v>8438</v>
      </c>
      <c r="N1534" t="s">
        <v>8439</v>
      </c>
      <c r="O1534" t="s">
        <v>5822</v>
      </c>
      <c r="P1534" t="s">
        <v>8440</v>
      </c>
      <c r="Q1534">
        <v>21.39</v>
      </c>
      <c r="R1534" t="s">
        <v>625</v>
      </c>
      <c r="S1534">
        <v>1.36</v>
      </c>
      <c r="T1534">
        <v>60.06</v>
      </c>
      <c r="U1534" t="s">
        <v>2400</v>
      </c>
      <c r="V1534" t="s">
        <v>2348</v>
      </c>
      <c r="W1534" t="s">
        <v>93</v>
      </c>
      <c r="X1534">
        <v>1.74</v>
      </c>
      <c r="Y1534" t="s">
        <v>706</v>
      </c>
      <c r="Z1534" t="s">
        <v>1190</v>
      </c>
      <c r="AA1534" t="s">
        <v>130</v>
      </c>
      <c r="AB1534">
        <v>2.92</v>
      </c>
      <c r="AC1534" t="s">
        <v>2866</v>
      </c>
      <c r="AD1534">
        <v>59.39</v>
      </c>
      <c r="AE1534" t="s">
        <v>747</v>
      </c>
      <c r="AF1534">
        <v>1.81</v>
      </c>
      <c r="AG1534">
        <v>0</v>
      </c>
      <c r="AH1534">
        <v>0</v>
      </c>
      <c r="AI1534" s="4">
        <v>41668</v>
      </c>
    </row>
    <row r="1535" spans="1:35">
      <c r="A1535">
        <v>1534</v>
      </c>
      <c r="B1535" t="str">
        <f>"300220"</f>
        <v>300220</v>
      </c>
      <c r="C1535" t="s">
        <v>8441</v>
      </c>
      <c r="D1535" s="4">
        <v>43190</v>
      </c>
      <c r="E1535" t="s">
        <v>322</v>
      </c>
      <c r="F1535" t="s">
        <v>2603</v>
      </c>
      <c r="G1535">
        <v>8044</v>
      </c>
      <c r="H1535">
        <v>0.03</v>
      </c>
      <c r="I1535">
        <v>1.97</v>
      </c>
      <c r="J1535">
        <v>1.74</v>
      </c>
      <c r="K1535" t="s">
        <v>8442</v>
      </c>
      <c r="L1535">
        <v>7.19</v>
      </c>
      <c r="M1535" t="s">
        <v>8443</v>
      </c>
      <c r="N1535">
        <v>0</v>
      </c>
      <c r="O1535" t="s">
        <v>8443</v>
      </c>
      <c r="P1535" t="s">
        <v>8444</v>
      </c>
      <c r="Q1535">
        <v>9.5</v>
      </c>
      <c r="R1535" t="s">
        <v>8445</v>
      </c>
      <c r="S1535">
        <v>0.21</v>
      </c>
      <c r="T1535">
        <v>26.27</v>
      </c>
      <c r="U1535" t="s">
        <v>1594</v>
      </c>
      <c r="V1535" t="s">
        <v>1860</v>
      </c>
      <c r="W1535" t="s">
        <v>6447</v>
      </c>
      <c r="X1535">
        <v>1.74</v>
      </c>
      <c r="Y1535" t="s">
        <v>8446</v>
      </c>
      <c r="Z1535" t="s">
        <v>5609</v>
      </c>
      <c r="AA1535" t="s">
        <v>3991</v>
      </c>
      <c r="AB1535">
        <v>5.94</v>
      </c>
      <c r="AC1535" t="s">
        <v>2889</v>
      </c>
      <c r="AD1535">
        <v>71.88</v>
      </c>
      <c r="AE1535" t="s">
        <v>3634</v>
      </c>
      <c r="AF1535">
        <v>0.68</v>
      </c>
      <c r="AG1535">
        <v>0</v>
      </c>
      <c r="AH1535">
        <v>0</v>
      </c>
      <c r="AI1535" s="4">
        <v>40688</v>
      </c>
    </row>
    <row r="1536" spans="1:35">
      <c r="A1536">
        <v>1535</v>
      </c>
      <c r="B1536" t="str">
        <f>"002531"</f>
        <v>002531</v>
      </c>
      <c r="C1536" t="s">
        <v>8447</v>
      </c>
      <c r="D1536" s="4">
        <v>43190</v>
      </c>
      <c r="E1536" t="s">
        <v>1678</v>
      </c>
      <c r="F1536" t="s">
        <v>1126</v>
      </c>
      <c r="G1536" t="s">
        <v>8448</v>
      </c>
      <c r="H1536">
        <v>0.05</v>
      </c>
      <c r="I1536">
        <v>2.77</v>
      </c>
      <c r="J1536">
        <v>1.74</v>
      </c>
      <c r="K1536" t="s">
        <v>1779</v>
      </c>
      <c r="L1536">
        <v>18.29</v>
      </c>
      <c r="M1536" t="s">
        <v>3596</v>
      </c>
      <c r="N1536" t="s">
        <v>4686</v>
      </c>
      <c r="O1536" t="s">
        <v>8449</v>
      </c>
      <c r="P1536" t="s">
        <v>8450</v>
      </c>
      <c r="Q1536">
        <v>2.29</v>
      </c>
      <c r="R1536" t="s">
        <v>924</v>
      </c>
      <c r="S1536">
        <v>0.75</v>
      </c>
      <c r="T1536">
        <v>26.21</v>
      </c>
      <c r="U1536" t="s">
        <v>1820</v>
      </c>
      <c r="V1536" t="s">
        <v>2642</v>
      </c>
      <c r="W1536" t="s">
        <v>2523</v>
      </c>
      <c r="X1536">
        <v>1.74</v>
      </c>
      <c r="Y1536" t="s">
        <v>5850</v>
      </c>
      <c r="Z1536" t="s">
        <v>312</v>
      </c>
      <c r="AA1536" t="s">
        <v>775</v>
      </c>
      <c r="AB1536">
        <v>1.55</v>
      </c>
      <c r="AC1536" t="s">
        <v>1022</v>
      </c>
      <c r="AD1536">
        <v>47.99</v>
      </c>
      <c r="AE1536" t="s">
        <v>115</v>
      </c>
      <c r="AF1536">
        <v>0.95</v>
      </c>
      <c r="AG1536">
        <v>0</v>
      </c>
      <c r="AH1536">
        <v>0</v>
      </c>
      <c r="AI1536" s="4">
        <v>40543</v>
      </c>
    </row>
    <row r="1537" spans="1:35">
      <c r="A1537">
        <v>1536</v>
      </c>
      <c r="B1537" t="str">
        <f>"002254"</f>
        <v>002254</v>
      </c>
      <c r="C1537" t="s">
        <v>8451</v>
      </c>
      <c r="D1537" s="4">
        <v>43190</v>
      </c>
      <c r="E1537" t="s">
        <v>2674</v>
      </c>
      <c r="F1537" t="s">
        <v>2674</v>
      </c>
      <c r="G1537" t="s">
        <v>522</v>
      </c>
      <c r="H1537">
        <v>0.06</v>
      </c>
      <c r="I1537">
        <v>3.38</v>
      </c>
      <c r="J1537">
        <v>1.74</v>
      </c>
      <c r="K1537" t="s">
        <v>3044</v>
      </c>
      <c r="L1537">
        <v>3.81</v>
      </c>
      <c r="M1537" t="s">
        <v>4497</v>
      </c>
      <c r="N1537" t="s">
        <v>8452</v>
      </c>
      <c r="O1537" t="s">
        <v>8453</v>
      </c>
      <c r="P1537" t="s">
        <v>8454</v>
      </c>
      <c r="Q1537">
        <v>28</v>
      </c>
      <c r="R1537" t="s">
        <v>3740</v>
      </c>
      <c r="S1537">
        <v>1.49</v>
      </c>
      <c r="T1537">
        <v>19.149999999999999</v>
      </c>
      <c r="U1537" t="s">
        <v>239</v>
      </c>
      <c r="V1537" t="s">
        <v>775</v>
      </c>
      <c r="W1537" t="s">
        <v>1774</v>
      </c>
      <c r="X1537">
        <v>1.74</v>
      </c>
      <c r="Y1537" t="s">
        <v>269</v>
      </c>
      <c r="Z1537" t="s">
        <v>1721</v>
      </c>
      <c r="AA1537" t="s">
        <v>6744</v>
      </c>
      <c r="AB1537">
        <v>3.05</v>
      </c>
      <c r="AC1537" t="s">
        <v>251</v>
      </c>
      <c r="AD1537">
        <v>75.13</v>
      </c>
      <c r="AE1537" t="s">
        <v>2733</v>
      </c>
      <c r="AF1537">
        <v>0.37</v>
      </c>
      <c r="AG1537">
        <v>0</v>
      </c>
      <c r="AH1537">
        <v>0</v>
      </c>
      <c r="AI1537" s="4">
        <v>39624</v>
      </c>
    </row>
    <row r="1538" spans="1:35">
      <c r="A1538">
        <v>1537</v>
      </c>
      <c r="B1538" t="str">
        <f>"002108"</f>
        <v>002108</v>
      </c>
      <c r="C1538" t="s">
        <v>8455</v>
      </c>
      <c r="D1538" s="4">
        <v>43190</v>
      </c>
      <c r="E1538" t="s">
        <v>173</v>
      </c>
      <c r="F1538" t="s">
        <v>173</v>
      </c>
      <c r="G1538" t="s">
        <v>3219</v>
      </c>
      <c r="H1538">
        <v>0.04</v>
      </c>
      <c r="I1538">
        <v>2.11</v>
      </c>
      <c r="J1538">
        <v>1.74</v>
      </c>
      <c r="K1538" t="s">
        <v>2938</v>
      </c>
      <c r="L1538">
        <v>-14.44</v>
      </c>
      <c r="M1538" t="s">
        <v>8456</v>
      </c>
      <c r="N1538">
        <v>0</v>
      </c>
      <c r="O1538" t="s">
        <v>1622</v>
      </c>
      <c r="P1538" t="s">
        <v>8457</v>
      </c>
      <c r="Q1538">
        <v>-59.58</v>
      </c>
      <c r="R1538" t="s">
        <v>173</v>
      </c>
      <c r="S1538">
        <v>0.84</v>
      </c>
      <c r="T1538">
        <v>18.59</v>
      </c>
      <c r="U1538" t="s">
        <v>1133</v>
      </c>
      <c r="V1538" t="s">
        <v>877</v>
      </c>
      <c r="W1538" t="s">
        <v>264</v>
      </c>
      <c r="X1538">
        <v>1.74</v>
      </c>
      <c r="Y1538" t="s">
        <v>2450</v>
      </c>
      <c r="Z1538" t="s">
        <v>616</v>
      </c>
      <c r="AA1538" t="s">
        <v>8458</v>
      </c>
      <c r="AB1538">
        <v>2.11</v>
      </c>
      <c r="AC1538" t="s">
        <v>2535</v>
      </c>
      <c r="AD1538">
        <v>83.55</v>
      </c>
      <c r="AE1538" t="s">
        <v>1309</v>
      </c>
      <c r="AF1538">
        <v>0.13</v>
      </c>
      <c r="AG1538">
        <v>0</v>
      </c>
      <c r="AH1538">
        <v>0</v>
      </c>
      <c r="AI1538" s="4">
        <v>39106</v>
      </c>
    </row>
    <row r="1539" spans="1:35">
      <c r="A1539">
        <v>1538</v>
      </c>
      <c r="B1539" t="str">
        <f>"000584"</f>
        <v>000584</v>
      </c>
      <c r="C1539" t="s">
        <v>8459</v>
      </c>
      <c r="D1539" s="4">
        <v>43190</v>
      </c>
      <c r="E1539" t="s">
        <v>1480</v>
      </c>
      <c r="F1539" t="s">
        <v>2674</v>
      </c>
      <c r="G1539" t="s">
        <v>723</v>
      </c>
      <c r="H1539">
        <v>0.05</v>
      </c>
      <c r="I1539">
        <v>2.62</v>
      </c>
      <c r="J1539">
        <v>1.74</v>
      </c>
      <c r="K1539" t="s">
        <v>734</v>
      </c>
      <c r="L1539">
        <v>147.66999999999999</v>
      </c>
      <c r="M1539" t="s">
        <v>5653</v>
      </c>
      <c r="N1539">
        <v>0</v>
      </c>
      <c r="O1539" t="s">
        <v>2973</v>
      </c>
      <c r="P1539" t="s">
        <v>3100</v>
      </c>
      <c r="Q1539">
        <v>271.67</v>
      </c>
      <c r="R1539" t="s">
        <v>1905</v>
      </c>
      <c r="S1539">
        <v>0.39</v>
      </c>
      <c r="T1539">
        <v>30.49</v>
      </c>
      <c r="U1539" t="s">
        <v>1581</v>
      </c>
      <c r="V1539" t="s">
        <v>1908</v>
      </c>
      <c r="W1539" t="s">
        <v>133</v>
      </c>
      <c r="X1539">
        <v>1.74</v>
      </c>
      <c r="Y1539" t="s">
        <v>243</v>
      </c>
      <c r="Z1539" t="s">
        <v>775</v>
      </c>
      <c r="AA1539" t="s">
        <v>2792</v>
      </c>
      <c r="AB1539">
        <v>5.29</v>
      </c>
      <c r="AC1539" t="s">
        <v>1062</v>
      </c>
      <c r="AD1539">
        <v>41</v>
      </c>
      <c r="AE1539" t="s">
        <v>1405</v>
      </c>
      <c r="AF1539">
        <v>1.1000000000000001</v>
      </c>
      <c r="AG1539">
        <v>0</v>
      </c>
      <c r="AH1539">
        <v>0</v>
      </c>
      <c r="AI1539" s="4">
        <v>35031</v>
      </c>
    </row>
    <row r="1540" spans="1:35">
      <c r="A1540">
        <v>1539</v>
      </c>
      <c r="B1540" t="str">
        <f>"600838"</f>
        <v>600838</v>
      </c>
      <c r="C1540" t="s">
        <v>8460</v>
      </c>
      <c r="D1540" s="4">
        <v>43190</v>
      </c>
      <c r="E1540" t="s">
        <v>241</v>
      </c>
      <c r="F1540" t="s">
        <v>241</v>
      </c>
      <c r="G1540">
        <v>6292</v>
      </c>
      <c r="H1540">
        <v>0.05</v>
      </c>
      <c r="I1540">
        <v>3.11</v>
      </c>
      <c r="J1540">
        <v>1.73</v>
      </c>
      <c r="K1540" t="s">
        <v>8461</v>
      </c>
      <c r="L1540">
        <v>-17.52</v>
      </c>
      <c r="M1540" t="s">
        <v>8462</v>
      </c>
      <c r="N1540" t="s">
        <v>8463</v>
      </c>
      <c r="O1540" t="s">
        <v>8464</v>
      </c>
      <c r="P1540" t="s">
        <v>8464</v>
      </c>
      <c r="Q1540">
        <v>-1.1100000000000001</v>
      </c>
      <c r="R1540" t="s">
        <v>156</v>
      </c>
      <c r="S1540">
        <v>0.94</v>
      </c>
      <c r="T1540">
        <v>56.52</v>
      </c>
      <c r="U1540" t="s">
        <v>176</v>
      </c>
      <c r="V1540" t="s">
        <v>828</v>
      </c>
      <c r="W1540" t="s">
        <v>1626</v>
      </c>
      <c r="X1540">
        <v>1.73</v>
      </c>
      <c r="Y1540" t="s">
        <v>45</v>
      </c>
      <c r="Z1540" t="s">
        <v>8465</v>
      </c>
      <c r="AA1540" t="s">
        <v>8466</v>
      </c>
      <c r="AB1540">
        <v>2.23</v>
      </c>
      <c r="AC1540" t="s">
        <v>300</v>
      </c>
      <c r="AD1540">
        <v>90.37</v>
      </c>
      <c r="AE1540" t="s">
        <v>37</v>
      </c>
      <c r="AF1540">
        <v>0.46</v>
      </c>
      <c r="AG1540">
        <v>0</v>
      </c>
      <c r="AH1540">
        <v>0</v>
      </c>
      <c r="AI1540" s="4">
        <v>34389</v>
      </c>
    </row>
    <row r="1541" spans="1:35">
      <c r="A1541">
        <v>1540</v>
      </c>
      <c r="B1541" t="str">
        <f>"300610"</f>
        <v>300610</v>
      </c>
      <c r="C1541" t="s">
        <v>8467</v>
      </c>
      <c r="D1541" s="4">
        <v>43190</v>
      </c>
      <c r="E1541" t="s">
        <v>609</v>
      </c>
      <c r="F1541" t="s">
        <v>8468</v>
      </c>
      <c r="G1541">
        <v>3768</v>
      </c>
      <c r="H1541">
        <v>0.08</v>
      </c>
      <c r="I1541">
        <v>4.55</v>
      </c>
      <c r="J1541">
        <v>1.73</v>
      </c>
      <c r="K1541" t="s">
        <v>1366</v>
      </c>
      <c r="L1541">
        <v>20.420000000000002</v>
      </c>
      <c r="M1541" t="s">
        <v>8469</v>
      </c>
      <c r="N1541" t="s">
        <v>8470</v>
      </c>
      <c r="O1541" t="s">
        <v>5332</v>
      </c>
      <c r="P1541" t="s">
        <v>5554</v>
      </c>
      <c r="Q1541">
        <v>-31.85</v>
      </c>
      <c r="R1541" t="s">
        <v>193</v>
      </c>
      <c r="S1541">
        <v>1.29</v>
      </c>
      <c r="T1541">
        <v>19.88</v>
      </c>
      <c r="U1541" t="s">
        <v>1414</v>
      </c>
      <c r="V1541" t="s">
        <v>2063</v>
      </c>
      <c r="W1541" t="s">
        <v>8471</v>
      </c>
      <c r="X1541">
        <v>1.73</v>
      </c>
      <c r="Y1541" t="s">
        <v>642</v>
      </c>
      <c r="Z1541" t="s">
        <v>8472</v>
      </c>
      <c r="AA1541" t="s">
        <v>6167</v>
      </c>
      <c r="AB1541">
        <v>2.68</v>
      </c>
      <c r="AC1541" t="s">
        <v>259</v>
      </c>
      <c r="AD1541">
        <v>85.66</v>
      </c>
      <c r="AE1541" t="s">
        <v>2774</v>
      </c>
      <c r="AF1541">
        <v>1.82</v>
      </c>
      <c r="AG1541">
        <v>0</v>
      </c>
      <c r="AH1541">
        <v>0</v>
      </c>
      <c r="AI1541" s="4">
        <v>42779</v>
      </c>
    </row>
    <row r="1542" spans="1:35">
      <c r="A1542">
        <v>1541</v>
      </c>
      <c r="B1542" t="str">
        <f>"300583"</f>
        <v>300583</v>
      </c>
      <c r="C1542" t="s">
        <v>8473</v>
      </c>
      <c r="D1542" s="4">
        <v>43190</v>
      </c>
      <c r="E1542" t="s">
        <v>71</v>
      </c>
      <c r="F1542" t="s">
        <v>1607</v>
      </c>
      <c r="G1542">
        <v>1891</v>
      </c>
      <c r="H1542">
        <v>0.27</v>
      </c>
      <c r="I1542">
        <v>15.92</v>
      </c>
      <c r="J1542">
        <v>1.73</v>
      </c>
      <c r="K1542" t="s">
        <v>1489</v>
      </c>
      <c r="L1542">
        <v>133.51</v>
      </c>
      <c r="M1542" t="s">
        <v>3656</v>
      </c>
      <c r="N1542" t="s">
        <v>4848</v>
      </c>
      <c r="O1542" t="s">
        <v>3656</v>
      </c>
      <c r="P1542" t="s">
        <v>4706</v>
      </c>
      <c r="Q1542">
        <v>583.23</v>
      </c>
      <c r="R1542" t="s">
        <v>1476</v>
      </c>
      <c r="S1542">
        <v>4.03</v>
      </c>
      <c r="T1542">
        <v>31.21</v>
      </c>
      <c r="U1542" t="s">
        <v>3356</v>
      </c>
      <c r="V1542" t="s">
        <v>350</v>
      </c>
      <c r="W1542" t="s">
        <v>2230</v>
      </c>
      <c r="X1542">
        <v>1.73</v>
      </c>
      <c r="Y1542" t="s">
        <v>977</v>
      </c>
      <c r="Z1542" t="s">
        <v>559</v>
      </c>
      <c r="AA1542" t="s">
        <v>8474</v>
      </c>
      <c r="AB1542">
        <v>2.4300000000000002</v>
      </c>
      <c r="AC1542" t="s">
        <v>304</v>
      </c>
      <c r="AD1542">
        <v>83.14</v>
      </c>
      <c r="AE1542" t="s">
        <v>613</v>
      </c>
      <c r="AF1542">
        <v>10.73</v>
      </c>
      <c r="AG1542">
        <v>0</v>
      </c>
      <c r="AH1542">
        <v>0</v>
      </c>
      <c r="AI1542" s="4">
        <v>42741</v>
      </c>
    </row>
    <row r="1543" spans="1:35">
      <c r="A1543">
        <v>1542</v>
      </c>
      <c r="B1543" t="str">
        <f>"300351"</f>
        <v>300351</v>
      </c>
      <c r="C1543" t="s">
        <v>8475</v>
      </c>
      <c r="D1543" s="4">
        <v>43190</v>
      </c>
      <c r="E1543" t="s">
        <v>479</v>
      </c>
      <c r="F1543" t="s">
        <v>668</v>
      </c>
      <c r="G1543" t="s">
        <v>892</v>
      </c>
      <c r="H1543">
        <v>0.13</v>
      </c>
      <c r="I1543">
        <v>7.47</v>
      </c>
      <c r="J1543">
        <v>1.73</v>
      </c>
      <c r="K1543" t="s">
        <v>958</v>
      </c>
      <c r="L1543">
        <v>35.33</v>
      </c>
      <c r="M1543" t="s">
        <v>8476</v>
      </c>
      <c r="N1543" t="s">
        <v>8477</v>
      </c>
      <c r="O1543" t="s">
        <v>8478</v>
      </c>
      <c r="P1543" t="s">
        <v>8291</v>
      </c>
      <c r="Q1543">
        <v>102.04</v>
      </c>
      <c r="R1543" t="s">
        <v>1779</v>
      </c>
      <c r="S1543">
        <v>1.65</v>
      </c>
      <c r="T1543">
        <v>40.31</v>
      </c>
      <c r="U1543" t="s">
        <v>3073</v>
      </c>
      <c r="V1543" t="s">
        <v>115</v>
      </c>
      <c r="W1543" t="s">
        <v>607</v>
      </c>
      <c r="X1543">
        <v>1.73</v>
      </c>
      <c r="Y1543" t="s">
        <v>133</v>
      </c>
      <c r="Z1543" t="s">
        <v>1461</v>
      </c>
      <c r="AA1543" t="s">
        <v>8479</v>
      </c>
      <c r="AB1543">
        <v>1.64</v>
      </c>
      <c r="AC1543" t="s">
        <v>1542</v>
      </c>
      <c r="AD1543">
        <v>85.67</v>
      </c>
      <c r="AE1543" t="s">
        <v>1455</v>
      </c>
      <c r="AF1543">
        <v>4.71</v>
      </c>
      <c r="AG1543">
        <v>0</v>
      </c>
      <c r="AH1543">
        <v>0</v>
      </c>
      <c r="AI1543" s="4">
        <v>41172</v>
      </c>
    </row>
    <row r="1544" spans="1:35">
      <c r="A1544">
        <v>1543</v>
      </c>
      <c r="B1544" t="str">
        <f>"300102"</f>
        <v>300102</v>
      </c>
      <c r="C1544" t="s">
        <v>8480</v>
      </c>
      <c r="D1544" s="4">
        <v>43190</v>
      </c>
      <c r="E1544" t="s">
        <v>1872</v>
      </c>
      <c r="F1544" t="s">
        <v>453</v>
      </c>
      <c r="G1544" t="s">
        <v>4495</v>
      </c>
      <c r="H1544">
        <v>7.0000000000000007E-2</v>
      </c>
      <c r="I1544">
        <v>3.83</v>
      </c>
      <c r="J1544">
        <v>1.73</v>
      </c>
      <c r="K1544" t="s">
        <v>1435</v>
      </c>
      <c r="L1544">
        <v>-16.8</v>
      </c>
      <c r="M1544" t="s">
        <v>8481</v>
      </c>
      <c r="N1544" t="s">
        <v>8482</v>
      </c>
      <c r="O1544" t="s">
        <v>6171</v>
      </c>
      <c r="P1544" t="s">
        <v>8483</v>
      </c>
      <c r="Q1544">
        <v>13.81</v>
      </c>
      <c r="R1544" t="s">
        <v>616</v>
      </c>
      <c r="S1544">
        <v>0.65</v>
      </c>
      <c r="T1544">
        <v>36.32</v>
      </c>
      <c r="U1544" t="s">
        <v>1494</v>
      </c>
      <c r="V1544" t="s">
        <v>423</v>
      </c>
      <c r="W1544" t="s">
        <v>538</v>
      </c>
      <c r="X1544">
        <v>1.73</v>
      </c>
      <c r="Y1544" t="s">
        <v>2542</v>
      </c>
      <c r="Z1544" t="s">
        <v>1082</v>
      </c>
      <c r="AA1544" t="s">
        <v>1082</v>
      </c>
      <c r="AB1544">
        <v>1.6</v>
      </c>
      <c r="AC1544" t="s">
        <v>2523</v>
      </c>
      <c r="AD1544">
        <v>52.13</v>
      </c>
      <c r="AE1544" t="s">
        <v>1792</v>
      </c>
      <c r="AF1544">
        <v>2.17</v>
      </c>
      <c r="AG1544">
        <v>0</v>
      </c>
      <c r="AH1544">
        <v>0</v>
      </c>
      <c r="AI1544" s="4">
        <v>40402</v>
      </c>
    </row>
    <row r="1545" spans="1:35">
      <c r="A1545">
        <v>1544</v>
      </c>
      <c r="B1545" t="str">
        <f>"002590"</f>
        <v>002590</v>
      </c>
      <c r="C1545" t="s">
        <v>8484</v>
      </c>
      <c r="D1545" s="4">
        <v>43190</v>
      </c>
      <c r="E1545" t="s">
        <v>988</v>
      </c>
      <c r="F1545" t="s">
        <v>599</v>
      </c>
      <c r="G1545">
        <v>8378</v>
      </c>
      <c r="H1545">
        <v>7.0000000000000007E-2</v>
      </c>
      <c r="I1545">
        <v>3.86</v>
      </c>
      <c r="J1545">
        <v>1.73</v>
      </c>
      <c r="K1545" t="s">
        <v>2413</v>
      </c>
      <c r="L1545">
        <v>-0.5</v>
      </c>
      <c r="M1545" t="s">
        <v>4429</v>
      </c>
      <c r="N1545" t="s">
        <v>8485</v>
      </c>
      <c r="O1545" t="s">
        <v>8486</v>
      </c>
      <c r="P1545" t="s">
        <v>8487</v>
      </c>
      <c r="Q1545">
        <v>-7.84</v>
      </c>
      <c r="R1545" t="s">
        <v>666</v>
      </c>
      <c r="S1545">
        <v>1.07</v>
      </c>
      <c r="T1545">
        <v>26.82</v>
      </c>
      <c r="U1545" t="s">
        <v>1593</v>
      </c>
      <c r="V1545" t="s">
        <v>578</v>
      </c>
      <c r="W1545" t="s">
        <v>561</v>
      </c>
      <c r="X1545">
        <v>1.73</v>
      </c>
      <c r="Y1545" t="s">
        <v>1190</v>
      </c>
      <c r="Z1545" t="s">
        <v>50</v>
      </c>
      <c r="AA1545" t="s">
        <v>8488</v>
      </c>
      <c r="AB1545">
        <v>2.09</v>
      </c>
      <c r="AC1545" t="s">
        <v>516</v>
      </c>
      <c r="AD1545">
        <v>51.9</v>
      </c>
      <c r="AE1545" t="s">
        <v>285</v>
      </c>
      <c r="AF1545">
        <v>1.65</v>
      </c>
      <c r="AG1545">
        <v>0</v>
      </c>
      <c r="AH1545">
        <v>0</v>
      </c>
      <c r="AI1545" s="4">
        <v>40704</v>
      </c>
    </row>
    <row r="1546" spans="1:35">
      <c r="A1546">
        <v>1545</v>
      </c>
      <c r="B1546" t="str">
        <f>"002441"</f>
        <v>002441</v>
      </c>
      <c r="C1546" t="s">
        <v>8489</v>
      </c>
      <c r="D1546" s="4">
        <v>43190</v>
      </c>
      <c r="E1546" t="s">
        <v>1166</v>
      </c>
      <c r="F1546" t="s">
        <v>2590</v>
      </c>
      <c r="G1546" t="s">
        <v>2349</v>
      </c>
      <c r="H1546">
        <v>0.11</v>
      </c>
      <c r="I1546">
        <v>6.69</v>
      </c>
      <c r="J1546">
        <v>1.73</v>
      </c>
      <c r="K1546" t="s">
        <v>1367</v>
      </c>
      <c r="L1546">
        <v>20.72</v>
      </c>
      <c r="M1546" t="s">
        <v>8490</v>
      </c>
      <c r="N1546" t="s">
        <v>8491</v>
      </c>
      <c r="O1546" t="s">
        <v>8492</v>
      </c>
      <c r="P1546" t="s">
        <v>8493</v>
      </c>
      <c r="Q1546">
        <v>-25.36</v>
      </c>
      <c r="R1546" t="s">
        <v>147</v>
      </c>
      <c r="S1546">
        <v>2.06</v>
      </c>
      <c r="T1546">
        <v>14.41</v>
      </c>
      <c r="U1546" t="s">
        <v>1532</v>
      </c>
      <c r="V1546" t="s">
        <v>2301</v>
      </c>
      <c r="W1546" t="s">
        <v>104</v>
      </c>
      <c r="X1546">
        <v>1.73</v>
      </c>
      <c r="Y1546" t="s">
        <v>1384</v>
      </c>
      <c r="Z1546" t="s">
        <v>538</v>
      </c>
      <c r="AA1546" t="s">
        <v>8494</v>
      </c>
      <c r="AB1546">
        <v>1.1100000000000001</v>
      </c>
      <c r="AC1546" t="s">
        <v>1397</v>
      </c>
      <c r="AD1546">
        <v>69.290000000000006</v>
      </c>
      <c r="AE1546" t="s">
        <v>516</v>
      </c>
      <c r="AF1546">
        <v>3.44</v>
      </c>
      <c r="AG1546">
        <v>0</v>
      </c>
      <c r="AH1546">
        <v>0</v>
      </c>
      <c r="AI1546" s="4">
        <v>40365</v>
      </c>
    </row>
    <row r="1547" spans="1:35">
      <c r="A1547">
        <v>1546</v>
      </c>
      <c r="B1547" t="str">
        <f>"002426"</f>
        <v>002426</v>
      </c>
      <c r="C1547" t="s">
        <v>8495</v>
      </c>
      <c r="D1547" s="4">
        <v>43190</v>
      </c>
      <c r="E1547" t="s">
        <v>1248</v>
      </c>
      <c r="F1547" t="s">
        <v>159</v>
      </c>
      <c r="G1547" t="s">
        <v>8496</v>
      </c>
      <c r="H1547">
        <v>0.04</v>
      </c>
      <c r="I1547">
        <v>2.58</v>
      </c>
      <c r="J1547">
        <v>1.73</v>
      </c>
      <c r="K1547" t="s">
        <v>2005</v>
      </c>
      <c r="L1547">
        <v>34.380000000000003</v>
      </c>
      <c r="M1547" t="s">
        <v>1200</v>
      </c>
      <c r="N1547" t="s">
        <v>8497</v>
      </c>
      <c r="O1547" t="s">
        <v>603</v>
      </c>
      <c r="P1547" t="s">
        <v>452</v>
      </c>
      <c r="Q1547">
        <v>7.7</v>
      </c>
      <c r="R1547" t="s">
        <v>1792</v>
      </c>
      <c r="S1547">
        <v>0.42</v>
      </c>
      <c r="T1547">
        <v>12</v>
      </c>
      <c r="U1547" t="s">
        <v>3952</v>
      </c>
      <c r="V1547" t="s">
        <v>315</v>
      </c>
      <c r="W1547" t="s">
        <v>447</v>
      </c>
      <c r="X1547">
        <v>1.73</v>
      </c>
      <c r="Y1547" t="s">
        <v>3472</v>
      </c>
      <c r="Z1547" t="s">
        <v>8498</v>
      </c>
      <c r="AA1547" t="s">
        <v>1496</v>
      </c>
      <c r="AB1547">
        <v>1.4</v>
      </c>
      <c r="AC1547" t="s">
        <v>1331</v>
      </c>
      <c r="AD1547">
        <v>45.09</v>
      </c>
      <c r="AE1547" t="s">
        <v>113</v>
      </c>
      <c r="AF1547">
        <v>1.1200000000000001</v>
      </c>
      <c r="AG1547">
        <v>0</v>
      </c>
      <c r="AH1547">
        <v>0</v>
      </c>
      <c r="AI1547" s="4">
        <v>40337</v>
      </c>
    </row>
    <row r="1548" spans="1:35">
      <c r="A1548">
        <v>1547</v>
      </c>
      <c r="B1548" t="str">
        <f>"002264"</f>
        <v>002264</v>
      </c>
      <c r="C1548" t="s">
        <v>8499</v>
      </c>
      <c r="D1548" s="4">
        <v>43190</v>
      </c>
      <c r="E1548" t="s">
        <v>2394</v>
      </c>
      <c r="F1548" t="s">
        <v>2445</v>
      </c>
      <c r="G1548">
        <v>9724</v>
      </c>
      <c r="H1548">
        <v>0.04</v>
      </c>
      <c r="I1548">
        <v>2.4500000000000002</v>
      </c>
      <c r="J1548">
        <v>1.73</v>
      </c>
      <c r="K1548" t="s">
        <v>510</v>
      </c>
      <c r="L1548">
        <v>1.54</v>
      </c>
      <c r="M1548" t="s">
        <v>8500</v>
      </c>
      <c r="N1548" t="s">
        <v>8501</v>
      </c>
      <c r="O1548" t="s">
        <v>8502</v>
      </c>
      <c r="P1548" t="s">
        <v>8503</v>
      </c>
      <c r="Q1548">
        <v>-27.11</v>
      </c>
      <c r="R1548" t="s">
        <v>8504</v>
      </c>
      <c r="S1548">
        <v>-0.41</v>
      </c>
      <c r="T1548">
        <v>21.89</v>
      </c>
      <c r="U1548" t="s">
        <v>2093</v>
      </c>
      <c r="V1548" t="s">
        <v>183</v>
      </c>
      <c r="W1548" t="s">
        <v>681</v>
      </c>
      <c r="X1548">
        <v>1.73</v>
      </c>
      <c r="Y1548" t="s">
        <v>702</v>
      </c>
      <c r="Z1548" t="s">
        <v>183</v>
      </c>
      <c r="AA1548" t="s">
        <v>8505</v>
      </c>
      <c r="AB1548">
        <v>3.96</v>
      </c>
      <c r="AC1548" t="s">
        <v>1190</v>
      </c>
      <c r="AD1548">
        <v>47.1</v>
      </c>
      <c r="AE1548" t="s">
        <v>354</v>
      </c>
      <c r="AF1548">
        <v>1.67</v>
      </c>
      <c r="AG1548">
        <v>0</v>
      </c>
      <c r="AH1548">
        <v>0</v>
      </c>
      <c r="AI1548" s="4">
        <v>39660</v>
      </c>
    </row>
    <row r="1549" spans="1:35">
      <c r="A1549">
        <v>1548</v>
      </c>
      <c r="B1549" t="str">
        <f>"002166"</f>
        <v>002166</v>
      </c>
      <c r="C1549" t="s">
        <v>8506</v>
      </c>
      <c r="D1549" s="4">
        <v>43190</v>
      </c>
      <c r="E1549" t="s">
        <v>4794</v>
      </c>
      <c r="F1549" t="s">
        <v>1918</v>
      </c>
      <c r="G1549">
        <v>6014</v>
      </c>
      <c r="H1549">
        <v>0.04</v>
      </c>
      <c r="I1549">
        <v>2.39</v>
      </c>
      <c r="J1549">
        <v>1.73</v>
      </c>
      <c r="K1549" t="s">
        <v>443</v>
      </c>
      <c r="L1549">
        <v>-21.94</v>
      </c>
      <c r="M1549" t="s">
        <v>8507</v>
      </c>
      <c r="N1549">
        <v>0</v>
      </c>
      <c r="O1549" t="s">
        <v>8507</v>
      </c>
      <c r="P1549" t="s">
        <v>8508</v>
      </c>
      <c r="Q1549">
        <v>41.09</v>
      </c>
      <c r="R1549" t="s">
        <v>499</v>
      </c>
      <c r="S1549">
        <v>0.72</v>
      </c>
      <c r="T1549">
        <v>37.53</v>
      </c>
      <c r="U1549" t="s">
        <v>589</v>
      </c>
      <c r="V1549" t="s">
        <v>877</v>
      </c>
      <c r="W1549" t="s">
        <v>1121</v>
      </c>
      <c r="X1549">
        <v>1.73</v>
      </c>
      <c r="Y1549" t="s">
        <v>980</v>
      </c>
      <c r="Z1549" t="s">
        <v>820</v>
      </c>
      <c r="AA1549" t="s">
        <v>372</v>
      </c>
      <c r="AB1549">
        <v>3.1</v>
      </c>
      <c r="AC1549" t="s">
        <v>295</v>
      </c>
      <c r="AD1549">
        <v>36.770000000000003</v>
      </c>
      <c r="AE1549" t="s">
        <v>1995</v>
      </c>
      <c r="AF1549">
        <v>0.6</v>
      </c>
      <c r="AG1549">
        <v>0</v>
      </c>
      <c r="AH1549">
        <v>0</v>
      </c>
      <c r="AI1549" s="4">
        <v>39338</v>
      </c>
    </row>
    <row r="1550" spans="1:35">
      <c r="A1550">
        <v>1549</v>
      </c>
      <c r="B1550" t="str">
        <f>"000415"</f>
        <v>000415</v>
      </c>
      <c r="C1550" t="s">
        <v>8509</v>
      </c>
      <c r="D1550" s="4">
        <v>43190</v>
      </c>
      <c r="E1550" t="s">
        <v>2918</v>
      </c>
      <c r="F1550" t="s">
        <v>431</v>
      </c>
      <c r="G1550" t="s">
        <v>8496</v>
      </c>
      <c r="H1550">
        <v>0.09</v>
      </c>
      <c r="I1550">
        <v>5.03</v>
      </c>
      <c r="J1550">
        <v>1.73</v>
      </c>
      <c r="K1550" t="s">
        <v>772</v>
      </c>
      <c r="L1550">
        <v>-21.97</v>
      </c>
      <c r="M1550" t="s">
        <v>2177</v>
      </c>
      <c r="N1550" t="s">
        <v>8510</v>
      </c>
      <c r="O1550" t="s">
        <v>2177</v>
      </c>
      <c r="P1550" t="s">
        <v>734</v>
      </c>
      <c r="Q1550">
        <v>35.340000000000003</v>
      </c>
      <c r="R1550" t="s">
        <v>6720</v>
      </c>
      <c r="S1550">
        <v>1.35</v>
      </c>
      <c r="T1550">
        <v>48.6</v>
      </c>
      <c r="U1550" t="s">
        <v>8511</v>
      </c>
      <c r="V1550" t="s">
        <v>2652</v>
      </c>
      <c r="W1550" t="s">
        <v>8512</v>
      </c>
      <c r="X1550">
        <v>1.73</v>
      </c>
      <c r="Y1550" t="s">
        <v>8513</v>
      </c>
      <c r="Z1550" t="s">
        <v>8514</v>
      </c>
      <c r="AA1550" t="s">
        <v>8515</v>
      </c>
      <c r="AB1550">
        <v>1.1599999999999999</v>
      </c>
      <c r="AC1550" t="s">
        <v>2065</v>
      </c>
      <c r="AD1550">
        <v>10.66</v>
      </c>
      <c r="AE1550" t="s">
        <v>4411</v>
      </c>
      <c r="AF1550">
        <v>2.76</v>
      </c>
      <c r="AG1550">
        <v>0</v>
      </c>
      <c r="AH1550">
        <v>0</v>
      </c>
      <c r="AI1550" s="4">
        <v>35262</v>
      </c>
    </row>
    <row r="1551" spans="1:35">
      <c r="A1551">
        <v>1550</v>
      </c>
      <c r="B1551" t="str">
        <f>"601155"</f>
        <v>601155</v>
      </c>
      <c r="C1551" t="s">
        <v>8516</v>
      </c>
      <c r="D1551" s="4">
        <v>43190</v>
      </c>
      <c r="E1551" t="s">
        <v>1449</v>
      </c>
      <c r="F1551" t="s">
        <v>615</v>
      </c>
      <c r="G1551" t="s">
        <v>1105</v>
      </c>
      <c r="H1551">
        <v>0.16</v>
      </c>
      <c r="I1551">
        <v>8.57</v>
      </c>
      <c r="J1551">
        <v>1.72</v>
      </c>
      <c r="K1551" t="s">
        <v>430</v>
      </c>
      <c r="L1551">
        <v>154.21</v>
      </c>
      <c r="M1551" t="s">
        <v>216</v>
      </c>
      <c r="N1551" t="s">
        <v>8286</v>
      </c>
      <c r="O1551" t="s">
        <v>616</v>
      </c>
      <c r="P1551" t="s">
        <v>204</v>
      </c>
      <c r="Q1551">
        <v>752.61</v>
      </c>
      <c r="R1551" t="s">
        <v>1540</v>
      </c>
      <c r="S1551">
        <v>6.32</v>
      </c>
      <c r="T1551">
        <v>36.409999999999997</v>
      </c>
      <c r="U1551" t="s">
        <v>8517</v>
      </c>
      <c r="V1551" t="s">
        <v>8518</v>
      </c>
      <c r="W1551" t="s">
        <v>449</v>
      </c>
      <c r="X1551">
        <v>1.72</v>
      </c>
      <c r="Y1551" t="s">
        <v>8519</v>
      </c>
      <c r="Z1551" t="s">
        <v>8520</v>
      </c>
      <c r="AA1551" t="s">
        <v>3387</v>
      </c>
      <c r="AB1551">
        <v>3.59</v>
      </c>
      <c r="AC1551" t="s">
        <v>2446</v>
      </c>
      <c r="AD1551">
        <v>10.88</v>
      </c>
      <c r="AE1551" t="s">
        <v>451</v>
      </c>
      <c r="AF1551">
        <v>1.1599999999999999</v>
      </c>
      <c r="AG1551">
        <v>0</v>
      </c>
      <c r="AH1551">
        <v>0</v>
      </c>
      <c r="AI1551" s="4">
        <v>42342</v>
      </c>
    </row>
    <row r="1552" spans="1:35">
      <c r="A1552">
        <v>1551</v>
      </c>
      <c r="B1552" t="str">
        <f>"600397"</f>
        <v>600397</v>
      </c>
      <c r="C1552" t="s">
        <v>8521</v>
      </c>
      <c r="D1552" s="4">
        <v>43190</v>
      </c>
      <c r="E1552" t="s">
        <v>1856</v>
      </c>
      <c r="F1552" t="s">
        <v>1856</v>
      </c>
      <c r="G1552" t="s">
        <v>5991</v>
      </c>
      <c r="H1552">
        <v>0.01</v>
      </c>
      <c r="I1552">
        <v>0.82</v>
      </c>
      <c r="J1552">
        <v>1.72</v>
      </c>
      <c r="K1552" t="s">
        <v>407</v>
      </c>
      <c r="L1552">
        <v>17.5</v>
      </c>
      <c r="M1552" t="s">
        <v>8522</v>
      </c>
      <c r="N1552" t="s">
        <v>5353</v>
      </c>
      <c r="O1552" t="s">
        <v>2231</v>
      </c>
      <c r="P1552" t="s">
        <v>6903</v>
      </c>
      <c r="Q1552">
        <v>125.78</v>
      </c>
      <c r="R1552" t="s">
        <v>8523</v>
      </c>
      <c r="S1552">
        <v>-2.42</v>
      </c>
      <c r="T1552">
        <v>14.75</v>
      </c>
      <c r="U1552" t="s">
        <v>2591</v>
      </c>
      <c r="V1552" t="s">
        <v>1700</v>
      </c>
      <c r="W1552" t="s">
        <v>238</v>
      </c>
      <c r="X1552">
        <v>1.72</v>
      </c>
      <c r="Y1552" t="s">
        <v>4053</v>
      </c>
      <c r="Z1552" t="s">
        <v>447</v>
      </c>
      <c r="AA1552" t="s">
        <v>789</v>
      </c>
      <c r="AB1552">
        <v>2.16</v>
      </c>
      <c r="AC1552" t="s">
        <v>358</v>
      </c>
      <c r="AD1552">
        <v>11.9</v>
      </c>
      <c r="AE1552" t="s">
        <v>891</v>
      </c>
      <c r="AF1552">
        <v>1.88</v>
      </c>
      <c r="AG1552">
        <v>0</v>
      </c>
      <c r="AH1552">
        <v>0</v>
      </c>
      <c r="AI1552" s="4">
        <v>37439</v>
      </c>
    </row>
    <row r="1553" spans="1:35">
      <c r="A1553">
        <v>1552</v>
      </c>
      <c r="B1553" t="str">
        <f>"600390"</f>
        <v>600390</v>
      </c>
      <c r="C1553" t="s">
        <v>8524</v>
      </c>
      <c r="D1553" s="4">
        <v>43190</v>
      </c>
      <c r="E1553" t="s">
        <v>1486</v>
      </c>
      <c r="F1553" t="s">
        <v>97</v>
      </c>
      <c r="G1553" t="s">
        <v>974</v>
      </c>
      <c r="H1553">
        <v>0.14000000000000001</v>
      </c>
      <c r="I1553">
        <v>8.5</v>
      </c>
      <c r="J1553">
        <v>1.72</v>
      </c>
      <c r="K1553" t="s">
        <v>565</v>
      </c>
      <c r="L1553">
        <v>-15.03</v>
      </c>
      <c r="M1553" t="s">
        <v>2428</v>
      </c>
      <c r="N1553" t="s">
        <v>325</v>
      </c>
      <c r="O1553" t="s">
        <v>605</v>
      </c>
      <c r="P1553" t="s">
        <v>3471</v>
      </c>
      <c r="Q1553">
        <v>24.64</v>
      </c>
      <c r="R1553" t="s">
        <v>2871</v>
      </c>
      <c r="S1553">
        <v>0.99</v>
      </c>
      <c r="T1553">
        <v>52.63</v>
      </c>
      <c r="U1553" t="s">
        <v>8525</v>
      </c>
      <c r="V1553" t="s">
        <v>3939</v>
      </c>
      <c r="W1553" t="s">
        <v>1772</v>
      </c>
      <c r="X1553">
        <v>1.72</v>
      </c>
      <c r="Y1553" t="s">
        <v>8526</v>
      </c>
      <c r="Z1553" t="s">
        <v>8527</v>
      </c>
      <c r="AA1553" t="s">
        <v>689</v>
      </c>
      <c r="AB1553">
        <v>0.88</v>
      </c>
      <c r="AC1553" t="s">
        <v>4542</v>
      </c>
      <c r="AD1553">
        <v>27.48</v>
      </c>
      <c r="AE1553" t="s">
        <v>2616</v>
      </c>
      <c r="AF1553">
        <v>5.89</v>
      </c>
      <c r="AG1553">
        <v>0</v>
      </c>
      <c r="AH1553">
        <v>0</v>
      </c>
      <c r="AI1553" s="4">
        <v>36906</v>
      </c>
    </row>
    <row r="1554" spans="1:35">
      <c r="A1554">
        <v>1553</v>
      </c>
      <c r="B1554" t="str">
        <f>"300020"</f>
        <v>300020</v>
      </c>
      <c r="C1554" t="s">
        <v>8528</v>
      </c>
      <c r="D1554" s="4">
        <v>43190</v>
      </c>
      <c r="E1554" t="s">
        <v>3603</v>
      </c>
      <c r="F1554" t="s">
        <v>3900</v>
      </c>
      <c r="G1554" t="s">
        <v>5650</v>
      </c>
      <c r="H1554">
        <v>0.08</v>
      </c>
      <c r="I1554">
        <v>4.82</v>
      </c>
      <c r="J1554">
        <v>1.72</v>
      </c>
      <c r="K1554" t="s">
        <v>216</v>
      </c>
      <c r="L1554">
        <v>36.770000000000003</v>
      </c>
      <c r="M1554" t="s">
        <v>8529</v>
      </c>
      <c r="N1554" t="s">
        <v>8530</v>
      </c>
      <c r="O1554" t="s">
        <v>6305</v>
      </c>
      <c r="P1554" t="s">
        <v>8531</v>
      </c>
      <c r="Q1554">
        <v>59.67</v>
      </c>
      <c r="R1554" t="s">
        <v>4384</v>
      </c>
      <c r="S1554">
        <v>1.34</v>
      </c>
      <c r="T1554">
        <v>26.47</v>
      </c>
      <c r="U1554" t="s">
        <v>2727</v>
      </c>
      <c r="V1554" t="s">
        <v>1032</v>
      </c>
      <c r="W1554" t="s">
        <v>1457</v>
      </c>
      <c r="X1554">
        <v>1.72</v>
      </c>
      <c r="Y1554" t="s">
        <v>2523</v>
      </c>
      <c r="Z1554" t="s">
        <v>1675</v>
      </c>
      <c r="AA1554" t="s">
        <v>6439</v>
      </c>
      <c r="AB1554">
        <v>1.88</v>
      </c>
      <c r="AC1554" t="s">
        <v>907</v>
      </c>
      <c r="AD1554">
        <v>53.01</v>
      </c>
      <c r="AE1554" t="s">
        <v>350</v>
      </c>
      <c r="AF1554">
        <v>2.08</v>
      </c>
      <c r="AG1554">
        <v>0</v>
      </c>
      <c r="AH1554">
        <v>0</v>
      </c>
      <c r="AI1554" s="4">
        <v>40116</v>
      </c>
    </row>
    <row r="1555" spans="1:35">
      <c r="A1555">
        <v>1554</v>
      </c>
      <c r="B1555" t="str">
        <f>"002864"</f>
        <v>002864</v>
      </c>
      <c r="C1555" t="s">
        <v>8532</v>
      </c>
      <c r="D1555" s="4">
        <v>43190</v>
      </c>
      <c r="E1555" t="s">
        <v>8533</v>
      </c>
      <c r="F1555" t="s">
        <v>6784</v>
      </c>
      <c r="G1555">
        <v>947</v>
      </c>
      <c r="H1555">
        <v>0.11</v>
      </c>
      <c r="I1555">
        <v>6.42</v>
      </c>
      <c r="J1555">
        <v>1.72</v>
      </c>
      <c r="K1555" t="s">
        <v>8534</v>
      </c>
      <c r="L1555">
        <v>41.57</v>
      </c>
      <c r="M1555" t="s">
        <v>1156</v>
      </c>
      <c r="N1555" t="s">
        <v>4489</v>
      </c>
      <c r="O1555" t="s">
        <v>8535</v>
      </c>
      <c r="P1555" t="s">
        <v>4846</v>
      </c>
      <c r="Q1555">
        <v>39.520000000000003</v>
      </c>
      <c r="R1555" t="s">
        <v>2769</v>
      </c>
      <c r="S1555">
        <v>2.0699999999999998</v>
      </c>
      <c r="T1555">
        <v>68.27</v>
      </c>
      <c r="U1555" t="s">
        <v>2693</v>
      </c>
      <c r="V1555" t="s">
        <v>633</v>
      </c>
      <c r="W1555" t="s">
        <v>1370</v>
      </c>
      <c r="X1555">
        <v>1.72</v>
      </c>
      <c r="Y1555" t="s">
        <v>975</v>
      </c>
      <c r="Z1555" t="s">
        <v>37</v>
      </c>
      <c r="AA1555" t="s">
        <v>8508</v>
      </c>
      <c r="AB1555">
        <v>6.7</v>
      </c>
      <c r="AC1555" t="s">
        <v>106</v>
      </c>
      <c r="AD1555">
        <v>73.61</v>
      </c>
      <c r="AE1555" t="s">
        <v>798</v>
      </c>
      <c r="AF1555">
        <v>3.13</v>
      </c>
      <c r="AG1555">
        <v>0</v>
      </c>
      <c r="AH1555">
        <v>0</v>
      </c>
      <c r="AI1555" s="4">
        <v>43055</v>
      </c>
    </row>
    <row r="1556" spans="1:35">
      <c r="A1556">
        <v>1555</v>
      </c>
      <c r="B1556" t="str">
        <f>"002645"</f>
        <v>002645</v>
      </c>
      <c r="C1556" t="s">
        <v>8536</v>
      </c>
      <c r="D1556" s="4">
        <v>43190</v>
      </c>
      <c r="E1556" t="s">
        <v>314</v>
      </c>
      <c r="F1556" t="s">
        <v>998</v>
      </c>
      <c r="G1556" t="s">
        <v>103</v>
      </c>
      <c r="H1556">
        <v>0.08</v>
      </c>
      <c r="I1556">
        <v>4.74</v>
      </c>
      <c r="J1556">
        <v>1.72</v>
      </c>
      <c r="K1556" t="s">
        <v>47</v>
      </c>
      <c r="L1556">
        <v>30.66</v>
      </c>
      <c r="M1556" t="s">
        <v>6499</v>
      </c>
      <c r="N1556" t="s">
        <v>8537</v>
      </c>
      <c r="O1556" t="s">
        <v>8538</v>
      </c>
      <c r="P1556" t="s">
        <v>8539</v>
      </c>
      <c r="Q1556">
        <v>141.83000000000001</v>
      </c>
      <c r="R1556" t="s">
        <v>2665</v>
      </c>
      <c r="S1556">
        <v>1.02</v>
      </c>
      <c r="T1556">
        <v>23.6</v>
      </c>
      <c r="U1556" t="s">
        <v>1213</v>
      </c>
      <c r="V1556" t="s">
        <v>840</v>
      </c>
      <c r="W1556" t="s">
        <v>2268</v>
      </c>
      <c r="X1556">
        <v>1.72</v>
      </c>
      <c r="Y1556" t="s">
        <v>1993</v>
      </c>
      <c r="Z1556" t="s">
        <v>1671</v>
      </c>
      <c r="AA1556" t="s">
        <v>8540</v>
      </c>
      <c r="AB1556">
        <v>3.94</v>
      </c>
      <c r="AC1556" t="s">
        <v>820</v>
      </c>
      <c r="AD1556">
        <v>70.599999999999994</v>
      </c>
      <c r="AE1556" t="s">
        <v>295</v>
      </c>
      <c r="AF1556">
        <v>2.6</v>
      </c>
      <c r="AG1556">
        <v>0</v>
      </c>
      <c r="AH1556">
        <v>0</v>
      </c>
      <c r="AI1556" s="4">
        <v>40897</v>
      </c>
    </row>
    <row r="1557" spans="1:35">
      <c r="A1557">
        <v>1556</v>
      </c>
      <c r="B1557" t="str">
        <f>"002598"</f>
        <v>002598</v>
      </c>
      <c r="C1557" t="s">
        <v>8541</v>
      </c>
      <c r="D1557" s="4">
        <v>43190</v>
      </c>
      <c r="E1557" t="s">
        <v>2551</v>
      </c>
      <c r="F1557" t="s">
        <v>798</v>
      </c>
      <c r="G1557" t="s">
        <v>1381</v>
      </c>
      <c r="H1557">
        <v>0.04</v>
      </c>
      <c r="I1557">
        <v>2.46</v>
      </c>
      <c r="J1557">
        <v>1.72</v>
      </c>
      <c r="K1557" t="s">
        <v>1288</v>
      </c>
      <c r="L1557">
        <v>22.22</v>
      </c>
      <c r="M1557" t="s">
        <v>8542</v>
      </c>
      <c r="N1557" t="s">
        <v>4735</v>
      </c>
      <c r="O1557" t="s">
        <v>5813</v>
      </c>
      <c r="P1557" t="s">
        <v>4559</v>
      </c>
      <c r="Q1557">
        <v>6.89</v>
      </c>
      <c r="R1557" t="s">
        <v>1839</v>
      </c>
      <c r="S1557">
        <v>0.57999999999999996</v>
      </c>
      <c r="T1557">
        <v>35.590000000000003</v>
      </c>
      <c r="U1557" t="s">
        <v>1223</v>
      </c>
      <c r="V1557" t="s">
        <v>1903</v>
      </c>
      <c r="W1557" t="s">
        <v>698</v>
      </c>
      <c r="X1557">
        <v>1.72</v>
      </c>
      <c r="Y1557" t="s">
        <v>186</v>
      </c>
      <c r="Z1557" t="s">
        <v>205</v>
      </c>
      <c r="AA1557" t="s">
        <v>8543</v>
      </c>
      <c r="AB1557">
        <v>3.11</v>
      </c>
      <c r="AC1557" t="s">
        <v>1204</v>
      </c>
      <c r="AD1557">
        <v>70.77</v>
      </c>
      <c r="AE1557" t="s">
        <v>1011</v>
      </c>
      <c r="AF1557">
        <v>0.68</v>
      </c>
      <c r="AG1557">
        <v>0</v>
      </c>
      <c r="AH1557">
        <v>0</v>
      </c>
      <c r="AI1557" s="4">
        <v>40731</v>
      </c>
    </row>
    <row r="1558" spans="1:35">
      <c r="A1558">
        <v>1557</v>
      </c>
      <c r="B1558" t="str">
        <f>"002516"</f>
        <v>002516</v>
      </c>
      <c r="C1558" t="s">
        <v>8544</v>
      </c>
      <c r="D1558" s="4">
        <v>43190</v>
      </c>
      <c r="E1558" t="s">
        <v>855</v>
      </c>
      <c r="F1558" t="s">
        <v>5620</v>
      </c>
      <c r="G1558" t="s">
        <v>5991</v>
      </c>
      <c r="H1558">
        <v>0.05</v>
      </c>
      <c r="I1558">
        <v>2.65</v>
      </c>
      <c r="J1558">
        <v>1.72</v>
      </c>
      <c r="K1558" t="s">
        <v>324</v>
      </c>
      <c r="L1558">
        <v>-21.61</v>
      </c>
      <c r="M1558" t="s">
        <v>8545</v>
      </c>
      <c r="N1558" t="s">
        <v>8546</v>
      </c>
      <c r="O1558" t="s">
        <v>8547</v>
      </c>
      <c r="P1558" t="s">
        <v>8548</v>
      </c>
      <c r="Q1558">
        <v>0.08</v>
      </c>
      <c r="R1558" t="s">
        <v>162</v>
      </c>
      <c r="S1558">
        <v>0.85</v>
      </c>
      <c r="T1558">
        <v>31.16</v>
      </c>
      <c r="U1558" t="s">
        <v>1925</v>
      </c>
      <c r="V1558" t="s">
        <v>2523</v>
      </c>
      <c r="W1558" t="s">
        <v>855</v>
      </c>
      <c r="X1558">
        <v>1.72</v>
      </c>
      <c r="Y1558" t="s">
        <v>2517</v>
      </c>
      <c r="Z1558" t="s">
        <v>3900</v>
      </c>
      <c r="AA1558" t="s">
        <v>4525</v>
      </c>
      <c r="AB1558">
        <v>1.37</v>
      </c>
      <c r="AC1558" t="s">
        <v>1443</v>
      </c>
      <c r="AD1558">
        <v>86.15</v>
      </c>
      <c r="AE1558" t="s">
        <v>973</v>
      </c>
      <c r="AF1558">
        <v>0.76</v>
      </c>
      <c r="AG1558">
        <v>0</v>
      </c>
      <c r="AH1558">
        <v>0</v>
      </c>
      <c r="AI1558" s="4">
        <v>40519</v>
      </c>
    </row>
    <row r="1559" spans="1:35">
      <c r="A1559">
        <v>1558</v>
      </c>
      <c r="B1559" t="str">
        <f>"603898"</f>
        <v>603898</v>
      </c>
      <c r="C1559" t="s">
        <v>8549</v>
      </c>
      <c r="D1559" s="4">
        <v>43190</v>
      </c>
      <c r="E1559" t="s">
        <v>824</v>
      </c>
      <c r="F1559" t="s">
        <v>8550</v>
      </c>
      <c r="G1559">
        <v>7928</v>
      </c>
      <c r="H1559">
        <v>0.11</v>
      </c>
      <c r="I1559">
        <v>6.56</v>
      </c>
      <c r="J1559">
        <v>1.71</v>
      </c>
      <c r="K1559" t="s">
        <v>1594</v>
      </c>
      <c r="L1559">
        <v>30.89</v>
      </c>
      <c r="M1559" t="s">
        <v>8551</v>
      </c>
      <c r="N1559" t="s">
        <v>8552</v>
      </c>
      <c r="O1559" t="s">
        <v>6266</v>
      </c>
      <c r="P1559" t="s">
        <v>8553</v>
      </c>
      <c r="Q1559">
        <v>38.409999999999997</v>
      </c>
      <c r="R1559" t="s">
        <v>2595</v>
      </c>
      <c r="S1559">
        <v>2.57</v>
      </c>
      <c r="T1559">
        <v>38.74</v>
      </c>
      <c r="U1559" t="s">
        <v>253</v>
      </c>
      <c r="V1559" t="s">
        <v>141</v>
      </c>
      <c r="W1559" t="s">
        <v>476</v>
      </c>
      <c r="X1559">
        <v>1.71</v>
      </c>
      <c r="Y1559" t="s">
        <v>375</v>
      </c>
      <c r="Z1559" t="s">
        <v>3726</v>
      </c>
      <c r="AA1559" t="s">
        <v>1632</v>
      </c>
      <c r="AB1559">
        <v>4.1900000000000004</v>
      </c>
      <c r="AC1559" t="s">
        <v>876</v>
      </c>
      <c r="AD1559">
        <v>84.62</v>
      </c>
      <c r="AE1559" t="s">
        <v>6154</v>
      </c>
      <c r="AF1559">
        <v>2.95</v>
      </c>
      <c r="AG1559">
        <v>0</v>
      </c>
      <c r="AH1559">
        <v>0</v>
      </c>
      <c r="AI1559" s="4">
        <v>42052</v>
      </c>
    </row>
    <row r="1560" spans="1:35">
      <c r="A1560">
        <v>1559</v>
      </c>
      <c r="B1560" t="str">
        <f>"603316"</f>
        <v>603316</v>
      </c>
      <c r="C1560" t="s">
        <v>8554</v>
      </c>
      <c r="D1560" s="4">
        <v>43190</v>
      </c>
      <c r="E1560" t="s">
        <v>975</v>
      </c>
      <c r="F1560" t="s">
        <v>198</v>
      </c>
      <c r="G1560">
        <v>3475</v>
      </c>
      <c r="H1560">
        <v>7.0000000000000007E-2</v>
      </c>
      <c r="I1560">
        <v>3.94</v>
      </c>
      <c r="J1560">
        <v>1.71</v>
      </c>
      <c r="K1560" t="s">
        <v>711</v>
      </c>
      <c r="L1560">
        <v>8.07</v>
      </c>
      <c r="M1560" t="s">
        <v>5493</v>
      </c>
      <c r="N1560" t="s">
        <v>5685</v>
      </c>
      <c r="O1560" t="s">
        <v>5493</v>
      </c>
      <c r="P1560" t="s">
        <v>5847</v>
      </c>
      <c r="Q1560">
        <v>-12.93</v>
      </c>
      <c r="R1560" t="s">
        <v>126</v>
      </c>
      <c r="S1560">
        <v>1.1599999999999999</v>
      </c>
      <c r="T1560">
        <v>24.55</v>
      </c>
      <c r="U1560" t="s">
        <v>1307</v>
      </c>
      <c r="V1560" t="s">
        <v>973</v>
      </c>
      <c r="W1560" t="s">
        <v>8555</v>
      </c>
      <c r="X1560">
        <v>1.71</v>
      </c>
      <c r="Y1560" t="s">
        <v>442</v>
      </c>
      <c r="Z1560" t="s">
        <v>2625</v>
      </c>
      <c r="AA1560" t="s">
        <v>6617</v>
      </c>
      <c r="AB1560">
        <v>2.52</v>
      </c>
      <c r="AC1560" t="s">
        <v>1414</v>
      </c>
      <c r="AD1560">
        <v>61.8</v>
      </c>
      <c r="AE1560" t="s">
        <v>1967</v>
      </c>
      <c r="AF1560">
        <v>1.64</v>
      </c>
      <c r="AG1560">
        <v>0</v>
      </c>
      <c r="AH1560">
        <v>0</v>
      </c>
      <c r="AI1560" s="4">
        <v>42905</v>
      </c>
    </row>
    <row r="1561" spans="1:35">
      <c r="A1561">
        <v>1560</v>
      </c>
      <c r="B1561" t="str">
        <f>"300295"</f>
        <v>300295</v>
      </c>
      <c r="C1561" t="s">
        <v>8556</v>
      </c>
      <c r="D1561" s="4">
        <v>43190</v>
      </c>
      <c r="E1561" t="s">
        <v>95</v>
      </c>
      <c r="F1561" t="s">
        <v>1597</v>
      </c>
      <c r="G1561">
        <v>5739</v>
      </c>
      <c r="H1561">
        <v>0.1</v>
      </c>
      <c r="I1561">
        <v>5.84</v>
      </c>
      <c r="J1561">
        <v>1.71</v>
      </c>
      <c r="K1561" t="s">
        <v>1119</v>
      </c>
      <c r="L1561">
        <v>7.3</v>
      </c>
      <c r="M1561" t="s">
        <v>8557</v>
      </c>
      <c r="N1561" t="s">
        <v>8558</v>
      </c>
      <c r="O1561" t="s">
        <v>8559</v>
      </c>
      <c r="P1561" t="s">
        <v>5306</v>
      </c>
      <c r="Q1561">
        <v>15.24</v>
      </c>
      <c r="R1561" t="s">
        <v>2310</v>
      </c>
      <c r="S1561">
        <v>2.98</v>
      </c>
      <c r="T1561">
        <v>95.31</v>
      </c>
      <c r="U1561" t="s">
        <v>1052</v>
      </c>
      <c r="V1561" t="s">
        <v>584</v>
      </c>
      <c r="W1561" t="s">
        <v>8560</v>
      </c>
      <c r="X1561">
        <v>1.71</v>
      </c>
      <c r="Y1561" t="s">
        <v>335</v>
      </c>
      <c r="Z1561" t="s">
        <v>335</v>
      </c>
      <c r="AA1561">
        <v>0</v>
      </c>
      <c r="AB1561">
        <v>2.2200000000000002</v>
      </c>
      <c r="AC1561" t="s">
        <v>835</v>
      </c>
      <c r="AD1561">
        <v>68.150000000000006</v>
      </c>
      <c r="AE1561" t="s">
        <v>1067</v>
      </c>
      <c r="AF1561">
        <v>1.47</v>
      </c>
      <c r="AG1561">
        <v>0</v>
      </c>
      <c r="AH1561">
        <v>0</v>
      </c>
      <c r="AI1561" s="4">
        <v>40983</v>
      </c>
    </row>
    <row r="1562" spans="1:35">
      <c r="A1562">
        <v>1561</v>
      </c>
      <c r="B1562" t="str">
        <f>"002927"</f>
        <v>002927</v>
      </c>
      <c r="C1562" t="s">
        <v>8561</v>
      </c>
      <c r="D1562" s="4">
        <v>43190</v>
      </c>
      <c r="E1562" t="s">
        <v>209</v>
      </c>
      <c r="F1562" t="s">
        <v>8339</v>
      </c>
      <c r="G1562">
        <v>807</v>
      </c>
      <c r="H1562">
        <v>7.0000000000000007E-2</v>
      </c>
      <c r="I1562">
        <v>5.5</v>
      </c>
      <c r="J1562">
        <v>1.71</v>
      </c>
      <c r="K1562" t="s">
        <v>8562</v>
      </c>
      <c r="L1562">
        <v>5.6</v>
      </c>
      <c r="M1562" t="s">
        <v>7064</v>
      </c>
      <c r="N1562" t="s">
        <v>8563</v>
      </c>
      <c r="O1562" t="s">
        <v>4490</v>
      </c>
      <c r="P1562" t="s">
        <v>4880</v>
      </c>
      <c r="Q1562">
        <v>27.5</v>
      </c>
      <c r="R1562" t="s">
        <v>642</v>
      </c>
      <c r="S1562">
        <v>0.81</v>
      </c>
      <c r="T1562">
        <v>55.52</v>
      </c>
      <c r="U1562" t="s">
        <v>1979</v>
      </c>
      <c r="V1562" t="s">
        <v>3894</v>
      </c>
      <c r="W1562" t="s">
        <v>8564</v>
      </c>
      <c r="X1562">
        <v>1.71</v>
      </c>
      <c r="Y1562" t="s">
        <v>8565</v>
      </c>
      <c r="Z1562" t="s">
        <v>8566</v>
      </c>
      <c r="AA1562" t="s">
        <v>2120</v>
      </c>
      <c r="AB1562">
        <v>6.35</v>
      </c>
      <c r="AC1562" t="s">
        <v>1319</v>
      </c>
      <c r="AD1562">
        <v>88.7</v>
      </c>
      <c r="AE1562" t="s">
        <v>4613</v>
      </c>
      <c r="AF1562">
        <v>3.57</v>
      </c>
      <c r="AG1562">
        <v>0</v>
      </c>
      <c r="AH1562">
        <v>0</v>
      </c>
      <c r="AI1562" s="4">
        <v>43154</v>
      </c>
    </row>
    <row r="1563" spans="1:35">
      <c r="A1563">
        <v>1562</v>
      </c>
      <c r="B1563" t="str">
        <f>"002332"</f>
        <v>002332</v>
      </c>
      <c r="C1563" t="s">
        <v>8567</v>
      </c>
      <c r="D1563" s="4">
        <v>43190</v>
      </c>
      <c r="E1563" t="s">
        <v>1946</v>
      </c>
      <c r="F1563" t="s">
        <v>4404</v>
      </c>
      <c r="G1563" t="s">
        <v>6656</v>
      </c>
      <c r="H1563">
        <v>0.04</v>
      </c>
      <c r="I1563">
        <v>2.5499999999999998</v>
      </c>
      <c r="J1563">
        <v>1.71</v>
      </c>
      <c r="K1563" t="s">
        <v>1415</v>
      </c>
      <c r="L1563">
        <v>46.62</v>
      </c>
      <c r="M1563" t="s">
        <v>8568</v>
      </c>
      <c r="N1563" t="s">
        <v>8569</v>
      </c>
      <c r="O1563" t="s">
        <v>2361</v>
      </c>
      <c r="P1563" t="s">
        <v>2052</v>
      </c>
      <c r="Q1563">
        <v>149.44999999999999</v>
      </c>
      <c r="R1563" t="s">
        <v>1806</v>
      </c>
      <c r="S1563">
        <v>0.46</v>
      </c>
      <c r="T1563">
        <v>56.32</v>
      </c>
      <c r="U1563" t="s">
        <v>1532</v>
      </c>
      <c r="V1563" t="s">
        <v>502</v>
      </c>
      <c r="W1563" t="s">
        <v>2731</v>
      </c>
      <c r="X1563">
        <v>1.71</v>
      </c>
      <c r="Y1563" t="s">
        <v>356</v>
      </c>
      <c r="Z1563" t="s">
        <v>983</v>
      </c>
      <c r="AA1563" t="s">
        <v>548</v>
      </c>
      <c r="AB1563">
        <v>3.22</v>
      </c>
      <c r="AC1563" t="s">
        <v>440</v>
      </c>
      <c r="AD1563">
        <v>45.47</v>
      </c>
      <c r="AE1563" t="s">
        <v>2781</v>
      </c>
      <c r="AF1563">
        <v>0.94</v>
      </c>
      <c r="AG1563">
        <v>0</v>
      </c>
      <c r="AH1563">
        <v>0</v>
      </c>
      <c r="AI1563" s="4">
        <v>40190</v>
      </c>
    </row>
    <row r="1564" spans="1:35">
      <c r="A1564">
        <v>1563</v>
      </c>
      <c r="B1564" t="str">
        <f>"603817"</f>
        <v>603817</v>
      </c>
      <c r="C1564" t="s">
        <v>8570</v>
      </c>
      <c r="D1564" s="4">
        <v>43190</v>
      </c>
      <c r="E1564" t="s">
        <v>3321</v>
      </c>
      <c r="F1564" t="s">
        <v>1839</v>
      </c>
      <c r="G1564">
        <v>4057</v>
      </c>
      <c r="H1564">
        <v>0.05</v>
      </c>
      <c r="I1564">
        <v>3.18</v>
      </c>
      <c r="J1564">
        <v>1.7</v>
      </c>
      <c r="K1564" t="s">
        <v>8571</v>
      </c>
      <c r="L1564">
        <v>3.53</v>
      </c>
      <c r="M1564" t="s">
        <v>8572</v>
      </c>
      <c r="N1564" t="s">
        <v>8573</v>
      </c>
      <c r="O1564" t="s">
        <v>8574</v>
      </c>
      <c r="P1564" t="s">
        <v>8575</v>
      </c>
      <c r="Q1564">
        <v>8.48</v>
      </c>
      <c r="R1564" t="s">
        <v>52</v>
      </c>
      <c r="S1564">
        <v>0.72</v>
      </c>
      <c r="T1564">
        <v>50.18</v>
      </c>
      <c r="U1564" t="s">
        <v>565</v>
      </c>
      <c r="V1564" t="s">
        <v>1402</v>
      </c>
      <c r="W1564" t="s">
        <v>2032</v>
      </c>
      <c r="X1564">
        <v>1.7</v>
      </c>
      <c r="Y1564" t="s">
        <v>871</v>
      </c>
      <c r="Z1564" t="s">
        <v>165</v>
      </c>
      <c r="AA1564" t="s">
        <v>375</v>
      </c>
      <c r="AB1564">
        <v>2.59</v>
      </c>
      <c r="AC1564" t="s">
        <v>161</v>
      </c>
      <c r="AD1564">
        <v>64.040000000000006</v>
      </c>
      <c r="AE1564" t="s">
        <v>2517</v>
      </c>
      <c r="AF1564">
        <v>1.39</v>
      </c>
      <c r="AG1564">
        <v>0</v>
      </c>
      <c r="AH1564">
        <v>0</v>
      </c>
      <c r="AI1564" s="4">
        <v>42786</v>
      </c>
    </row>
    <row r="1565" spans="1:35">
      <c r="A1565">
        <v>1564</v>
      </c>
      <c r="B1565" t="str">
        <f>"603286"</f>
        <v>603286</v>
      </c>
      <c r="C1565" t="s">
        <v>8576</v>
      </c>
      <c r="D1565" s="4">
        <v>43190</v>
      </c>
      <c r="E1565" t="s">
        <v>8577</v>
      </c>
      <c r="F1565" t="s">
        <v>8578</v>
      </c>
      <c r="G1565">
        <v>1674</v>
      </c>
      <c r="H1565">
        <v>0.08</v>
      </c>
      <c r="I1565">
        <v>4.7699999999999996</v>
      </c>
      <c r="J1565">
        <v>1.7</v>
      </c>
      <c r="K1565" t="s">
        <v>2411</v>
      </c>
      <c r="L1565">
        <v>7.3</v>
      </c>
      <c r="M1565" t="s">
        <v>8579</v>
      </c>
      <c r="N1565" t="s">
        <v>8580</v>
      </c>
      <c r="O1565" t="s">
        <v>8581</v>
      </c>
      <c r="P1565" t="s">
        <v>8582</v>
      </c>
      <c r="Q1565">
        <v>1.32</v>
      </c>
      <c r="R1565" t="s">
        <v>86</v>
      </c>
      <c r="S1565">
        <v>1.33</v>
      </c>
      <c r="T1565">
        <v>30.38</v>
      </c>
      <c r="U1565" t="s">
        <v>483</v>
      </c>
      <c r="V1565" t="s">
        <v>2507</v>
      </c>
      <c r="W1565" t="s">
        <v>1970</v>
      </c>
      <c r="X1565">
        <v>1.7</v>
      </c>
      <c r="Y1565" t="s">
        <v>1365</v>
      </c>
      <c r="Z1565" t="s">
        <v>1525</v>
      </c>
      <c r="AA1565" t="s">
        <v>2508</v>
      </c>
      <c r="AB1565">
        <v>4.2</v>
      </c>
      <c r="AC1565" t="s">
        <v>914</v>
      </c>
      <c r="AD1565">
        <v>77.650000000000006</v>
      </c>
      <c r="AE1565" t="s">
        <v>255</v>
      </c>
      <c r="AF1565">
        <v>2.1800000000000002</v>
      </c>
      <c r="AG1565">
        <v>0</v>
      </c>
      <c r="AH1565">
        <v>0</v>
      </c>
      <c r="AI1565" s="4">
        <v>42913</v>
      </c>
    </row>
    <row r="1566" spans="1:35">
      <c r="A1566">
        <v>1565</v>
      </c>
      <c r="B1566" t="str">
        <f>"603129"</f>
        <v>603129</v>
      </c>
      <c r="C1566" t="s">
        <v>8583</v>
      </c>
      <c r="D1566" s="4">
        <v>43190</v>
      </c>
      <c r="E1566" t="s">
        <v>1370</v>
      </c>
      <c r="F1566" t="s">
        <v>8584</v>
      </c>
      <c r="G1566">
        <v>1737</v>
      </c>
      <c r="H1566">
        <v>0.12</v>
      </c>
      <c r="I1566">
        <v>6.69</v>
      </c>
      <c r="J1566">
        <v>1.7</v>
      </c>
      <c r="K1566" t="s">
        <v>914</v>
      </c>
      <c r="L1566">
        <v>26.78</v>
      </c>
      <c r="M1566" t="s">
        <v>8585</v>
      </c>
      <c r="N1566" t="s">
        <v>6214</v>
      </c>
      <c r="O1566" t="s">
        <v>8586</v>
      </c>
      <c r="P1566" t="s">
        <v>8587</v>
      </c>
      <c r="Q1566">
        <v>-47.7</v>
      </c>
      <c r="R1566" t="s">
        <v>698</v>
      </c>
      <c r="S1566">
        <v>1.0900000000000001</v>
      </c>
      <c r="T1566">
        <v>24.51</v>
      </c>
      <c r="U1566" t="s">
        <v>115</v>
      </c>
      <c r="V1566" t="s">
        <v>350</v>
      </c>
      <c r="W1566" t="s">
        <v>118</v>
      </c>
      <c r="X1566">
        <v>1.7</v>
      </c>
      <c r="Y1566" t="s">
        <v>3741</v>
      </c>
      <c r="Z1566" t="s">
        <v>4306</v>
      </c>
      <c r="AA1566" t="s">
        <v>8588</v>
      </c>
      <c r="AB1566">
        <v>3.07</v>
      </c>
      <c r="AC1566" t="s">
        <v>2383</v>
      </c>
      <c r="AD1566">
        <v>54.87</v>
      </c>
      <c r="AE1566" t="s">
        <v>1965</v>
      </c>
      <c r="AF1566">
        <v>4.42</v>
      </c>
      <c r="AG1566">
        <v>0</v>
      </c>
      <c r="AH1566">
        <v>0</v>
      </c>
      <c r="AI1566" s="4">
        <v>42965</v>
      </c>
    </row>
    <row r="1567" spans="1:35">
      <c r="A1567">
        <v>1566</v>
      </c>
      <c r="B1567" t="str">
        <f>"603101"</f>
        <v>603101</v>
      </c>
      <c r="C1567" t="s">
        <v>8589</v>
      </c>
      <c r="D1567" s="4">
        <v>43190</v>
      </c>
      <c r="E1567" t="s">
        <v>94</v>
      </c>
      <c r="F1567" t="s">
        <v>2275</v>
      </c>
      <c r="G1567">
        <v>3388</v>
      </c>
      <c r="H1567">
        <v>0.19</v>
      </c>
      <c r="I1567">
        <v>5.57</v>
      </c>
      <c r="J1567">
        <v>1.7</v>
      </c>
      <c r="K1567" t="s">
        <v>4345</v>
      </c>
      <c r="L1567">
        <v>26.62</v>
      </c>
      <c r="M1567" t="s">
        <v>3228</v>
      </c>
      <c r="N1567">
        <v>-3399</v>
      </c>
      <c r="O1567" t="s">
        <v>8590</v>
      </c>
      <c r="P1567" t="s">
        <v>8591</v>
      </c>
      <c r="Q1567">
        <v>35.11</v>
      </c>
      <c r="R1567" t="s">
        <v>3250</v>
      </c>
      <c r="S1567">
        <v>2.59</v>
      </c>
      <c r="T1567">
        <v>17.09</v>
      </c>
      <c r="U1567" t="s">
        <v>1881</v>
      </c>
      <c r="V1567" t="s">
        <v>2383</v>
      </c>
      <c r="W1567" t="s">
        <v>544</v>
      </c>
      <c r="X1567">
        <v>1.7</v>
      </c>
      <c r="Y1567" t="s">
        <v>141</v>
      </c>
      <c r="Z1567" t="s">
        <v>80</v>
      </c>
      <c r="AA1567" t="s">
        <v>8592</v>
      </c>
      <c r="AB1567">
        <v>2.13</v>
      </c>
      <c r="AC1567" t="s">
        <v>924</v>
      </c>
      <c r="AD1567">
        <v>47.43</v>
      </c>
      <c r="AE1567" t="s">
        <v>4794</v>
      </c>
      <c r="AF1567">
        <v>1.82</v>
      </c>
      <c r="AG1567">
        <v>0</v>
      </c>
      <c r="AH1567">
        <v>0</v>
      </c>
      <c r="AI1567" s="4">
        <v>42496</v>
      </c>
    </row>
    <row r="1568" spans="1:35">
      <c r="A1568">
        <v>1567</v>
      </c>
      <c r="B1568" t="str">
        <f>"603009"</f>
        <v>603009</v>
      </c>
      <c r="C1568" t="s">
        <v>8593</v>
      </c>
      <c r="D1568" s="4">
        <v>43190</v>
      </c>
      <c r="E1568" t="s">
        <v>1359</v>
      </c>
      <c r="F1568" t="s">
        <v>559</v>
      </c>
      <c r="G1568" t="s">
        <v>2589</v>
      </c>
      <c r="H1568">
        <v>0.06</v>
      </c>
      <c r="I1568">
        <v>4.7300000000000004</v>
      </c>
      <c r="J1568">
        <v>1.7</v>
      </c>
      <c r="K1568" t="s">
        <v>486</v>
      </c>
      <c r="L1568">
        <v>17.03</v>
      </c>
      <c r="M1568" t="s">
        <v>8594</v>
      </c>
      <c r="N1568" t="s">
        <v>8595</v>
      </c>
      <c r="O1568" t="s">
        <v>55</v>
      </c>
      <c r="P1568" t="s">
        <v>8596</v>
      </c>
      <c r="Q1568">
        <v>20.329999999999998</v>
      </c>
      <c r="R1568" t="s">
        <v>2185</v>
      </c>
      <c r="S1568">
        <v>0.79</v>
      </c>
      <c r="T1568">
        <v>27.58</v>
      </c>
      <c r="U1568" t="s">
        <v>1785</v>
      </c>
      <c r="V1568" t="s">
        <v>982</v>
      </c>
      <c r="W1568" t="s">
        <v>2456</v>
      </c>
      <c r="X1568">
        <v>1.7</v>
      </c>
      <c r="Y1568" t="s">
        <v>1094</v>
      </c>
      <c r="Z1568" t="s">
        <v>2767</v>
      </c>
      <c r="AA1568" t="s">
        <v>727</v>
      </c>
      <c r="AB1568">
        <v>1.84</v>
      </c>
      <c r="AC1568" t="s">
        <v>1244</v>
      </c>
      <c r="AD1568">
        <v>61.7</v>
      </c>
      <c r="AE1568" t="s">
        <v>2134</v>
      </c>
      <c r="AF1568">
        <v>2.86</v>
      </c>
      <c r="AG1568">
        <v>0</v>
      </c>
      <c r="AH1568">
        <v>0</v>
      </c>
      <c r="AI1568" s="4">
        <v>41838</v>
      </c>
    </row>
    <row r="1569" spans="1:35">
      <c r="A1569">
        <v>1568</v>
      </c>
      <c r="B1569" t="str">
        <f>"601866"</f>
        <v>601866</v>
      </c>
      <c r="C1569" t="s">
        <v>8597</v>
      </c>
      <c r="D1569" s="4">
        <v>43190</v>
      </c>
      <c r="E1569" t="s">
        <v>315</v>
      </c>
      <c r="F1569" t="s">
        <v>2627</v>
      </c>
      <c r="G1569">
        <v>0</v>
      </c>
      <c r="H1569">
        <v>0.02</v>
      </c>
      <c r="I1569">
        <v>1.36</v>
      </c>
      <c r="J1569">
        <v>1.7</v>
      </c>
      <c r="K1569" t="s">
        <v>949</v>
      </c>
      <c r="L1569">
        <v>-0.66</v>
      </c>
      <c r="M1569" t="s">
        <v>241</v>
      </c>
      <c r="N1569" t="s">
        <v>1480</v>
      </c>
      <c r="O1569" t="s">
        <v>1235</v>
      </c>
      <c r="P1569" t="s">
        <v>1609</v>
      </c>
      <c r="Q1569">
        <v>-19.23</v>
      </c>
      <c r="R1569" t="s">
        <v>1090</v>
      </c>
      <c r="S1569">
        <v>0.39</v>
      </c>
      <c r="T1569">
        <v>25.69</v>
      </c>
      <c r="U1569" t="s">
        <v>8598</v>
      </c>
      <c r="V1569" t="s">
        <v>436</v>
      </c>
      <c r="W1569" t="s">
        <v>5125</v>
      </c>
      <c r="X1569">
        <v>1.7</v>
      </c>
      <c r="Y1569" t="s">
        <v>8599</v>
      </c>
      <c r="Z1569" t="s">
        <v>8600</v>
      </c>
      <c r="AA1569" t="s">
        <v>6138</v>
      </c>
      <c r="AB1569">
        <v>1.84</v>
      </c>
      <c r="AC1569" t="s">
        <v>1251</v>
      </c>
      <c r="AD1569">
        <v>12.45</v>
      </c>
      <c r="AE1569" t="s">
        <v>8601</v>
      </c>
      <c r="AF1569">
        <v>0</v>
      </c>
      <c r="AG1569">
        <v>0</v>
      </c>
      <c r="AH1569" t="s">
        <v>1486</v>
      </c>
      <c r="AI1569" s="4">
        <v>39428</v>
      </c>
    </row>
    <row r="1570" spans="1:35">
      <c r="A1570">
        <v>1569</v>
      </c>
      <c r="B1570" t="str">
        <f>"600611"</f>
        <v>600611</v>
      </c>
      <c r="C1570" t="s">
        <v>8602</v>
      </c>
      <c r="D1570" s="4">
        <v>43190</v>
      </c>
      <c r="E1570" t="s">
        <v>826</v>
      </c>
      <c r="F1570" t="s">
        <v>1792</v>
      </c>
      <c r="G1570">
        <v>0</v>
      </c>
      <c r="H1570">
        <v>7.0000000000000007E-2</v>
      </c>
      <c r="I1570">
        <v>3.83</v>
      </c>
      <c r="J1570">
        <v>1.7</v>
      </c>
      <c r="K1570" t="s">
        <v>1756</v>
      </c>
      <c r="L1570">
        <v>52.03</v>
      </c>
      <c r="M1570" t="s">
        <v>1210</v>
      </c>
      <c r="N1570" t="s">
        <v>8603</v>
      </c>
      <c r="O1570" t="s">
        <v>4614</v>
      </c>
      <c r="P1570" t="s">
        <v>610</v>
      </c>
      <c r="Q1570">
        <v>-15.75</v>
      </c>
      <c r="R1570" t="s">
        <v>431</v>
      </c>
      <c r="S1570">
        <v>1.5</v>
      </c>
      <c r="T1570">
        <v>41.2</v>
      </c>
      <c r="U1570" t="s">
        <v>310</v>
      </c>
      <c r="V1570" t="s">
        <v>1591</v>
      </c>
      <c r="W1570" t="s">
        <v>389</v>
      </c>
      <c r="X1570">
        <v>1.7</v>
      </c>
      <c r="Y1570" t="s">
        <v>2918</v>
      </c>
      <c r="Z1570" t="s">
        <v>2167</v>
      </c>
      <c r="AA1570" t="s">
        <v>488</v>
      </c>
      <c r="AB1570">
        <v>1.04</v>
      </c>
      <c r="AC1570" t="s">
        <v>1282</v>
      </c>
      <c r="AD1570">
        <v>57.46</v>
      </c>
      <c r="AE1570" t="s">
        <v>8604</v>
      </c>
      <c r="AF1570">
        <v>0</v>
      </c>
      <c r="AG1570" t="s">
        <v>4000</v>
      </c>
      <c r="AH1570">
        <v>0</v>
      </c>
      <c r="AI1570" s="4">
        <v>33823</v>
      </c>
    </row>
    <row r="1571" spans="1:35">
      <c r="A1571">
        <v>1570</v>
      </c>
      <c r="B1571" t="str">
        <f>"600089"</f>
        <v>600089</v>
      </c>
      <c r="C1571" t="s">
        <v>8605</v>
      </c>
      <c r="D1571" s="4">
        <v>43190</v>
      </c>
      <c r="E1571" t="s">
        <v>2725</v>
      </c>
      <c r="F1571" t="s">
        <v>2725</v>
      </c>
      <c r="G1571" t="s">
        <v>1105</v>
      </c>
      <c r="H1571">
        <v>0.13</v>
      </c>
      <c r="I1571">
        <v>7.62</v>
      </c>
      <c r="J1571">
        <v>1.7</v>
      </c>
      <c r="K1571" t="s">
        <v>4108</v>
      </c>
      <c r="L1571">
        <v>-1.97</v>
      </c>
      <c r="M1571" t="s">
        <v>488</v>
      </c>
      <c r="N1571" t="s">
        <v>8185</v>
      </c>
      <c r="O1571" t="s">
        <v>1778</v>
      </c>
      <c r="P1571" t="s">
        <v>2563</v>
      </c>
      <c r="Q1571">
        <v>-18.41</v>
      </c>
      <c r="R1571" t="s">
        <v>841</v>
      </c>
      <c r="S1571">
        <v>3.32</v>
      </c>
      <c r="T1571">
        <v>23.15</v>
      </c>
      <c r="U1571" t="s">
        <v>8606</v>
      </c>
      <c r="V1571" t="s">
        <v>1954</v>
      </c>
      <c r="W1571" t="s">
        <v>409</v>
      </c>
      <c r="X1571">
        <v>1.7</v>
      </c>
      <c r="Y1571" t="s">
        <v>5125</v>
      </c>
      <c r="Z1571" t="s">
        <v>8607</v>
      </c>
      <c r="AA1571" t="s">
        <v>899</v>
      </c>
      <c r="AB1571">
        <v>0.88</v>
      </c>
      <c r="AC1571" t="s">
        <v>3563</v>
      </c>
      <c r="AD1571">
        <v>34.1</v>
      </c>
      <c r="AE1571" t="s">
        <v>558</v>
      </c>
      <c r="AF1571">
        <v>2.99</v>
      </c>
      <c r="AG1571">
        <v>0</v>
      </c>
      <c r="AH1571">
        <v>0</v>
      </c>
      <c r="AI1571" s="4">
        <v>35599</v>
      </c>
    </row>
    <row r="1572" spans="1:35">
      <c r="A1572">
        <v>1571</v>
      </c>
      <c r="B1572" t="str">
        <f>"300613"</f>
        <v>300613</v>
      </c>
      <c r="C1572" t="s">
        <v>8608</v>
      </c>
      <c r="D1572" s="4">
        <v>43190</v>
      </c>
      <c r="E1572" t="s">
        <v>8609</v>
      </c>
      <c r="F1572" t="s">
        <v>8610</v>
      </c>
      <c r="G1572">
        <v>1149</v>
      </c>
      <c r="H1572">
        <v>0.34</v>
      </c>
      <c r="I1572">
        <v>20.97</v>
      </c>
      <c r="J1572">
        <v>1.7</v>
      </c>
      <c r="K1572" t="s">
        <v>8611</v>
      </c>
      <c r="L1572">
        <v>2.38</v>
      </c>
      <c r="M1572" t="s">
        <v>8135</v>
      </c>
      <c r="N1572" t="s">
        <v>8612</v>
      </c>
      <c r="O1572" t="s">
        <v>8613</v>
      </c>
      <c r="P1572" t="s">
        <v>3919</v>
      </c>
      <c r="Q1572">
        <v>-44.22</v>
      </c>
      <c r="R1572" t="s">
        <v>1810</v>
      </c>
      <c r="S1572">
        <v>6.33</v>
      </c>
      <c r="T1572">
        <v>43.14</v>
      </c>
      <c r="U1572" t="s">
        <v>699</v>
      </c>
      <c r="V1572" t="s">
        <v>4877</v>
      </c>
      <c r="W1572" t="s">
        <v>603</v>
      </c>
      <c r="X1572">
        <v>1.7</v>
      </c>
      <c r="Y1572" t="s">
        <v>642</v>
      </c>
      <c r="Z1572" t="s">
        <v>600</v>
      </c>
      <c r="AA1572" t="s">
        <v>1185</v>
      </c>
      <c r="AB1572">
        <v>6.16</v>
      </c>
      <c r="AC1572" t="s">
        <v>2678</v>
      </c>
      <c r="AD1572">
        <v>89</v>
      </c>
      <c r="AE1572" t="s">
        <v>5080</v>
      </c>
      <c r="AF1572">
        <v>14.86</v>
      </c>
      <c r="AG1572">
        <v>0</v>
      </c>
      <c r="AH1572">
        <v>0</v>
      </c>
      <c r="AI1572" s="4">
        <v>42786</v>
      </c>
    </row>
    <row r="1573" spans="1:35">
      <c r="A1573">
        <v>1572</v>
      </c>
      <c r="B1573" t="str">
        <f>"300329"</f>
        <v>300329</v>
      </c>
      <c r="C1573" t="s">
        <v>8614</v>
      </c>
      <c r="D1573" s="4">
        <v>43190</v>
      </c>
      <c r="E1573" t="s">
        <v>1905</v>
      </c>
      <c r="F1573" t="s">
        <v>1905</v>
      </c>
      <c r="G1573">
        <v>8672</v>
      </c>
      <c r="H1573">
        <v>0.06</v>
      </c>
      <c r="I1573">
        <v>3.35</v>
      </c>
      <c r="J1573">
        <v>1.7</v>
      </c>
      <c r="K1573" t="s">
        <v>1349</v>
      </c>
      <c r="L1573">
        <v>22.57</v>
      </c>
      <c r="M1573" t="s">
        <v>7831</v>
      </c>
      <c r="N1573" t="s">
        <v>8255</v>
      </c>
      <c r="O1573" t="s">
        <v>6987</v>
      </c>
      <c r="P1573" t="s">
        <v>2121</v>
      </c>
      <c r="Q1573">
        <v>42.84</v>
      </c>
      <c r="R1573" t="s">
        <v>696</v>
      </c>
      <c r="S1573">
        <v>0.84</v>
      </c>
      <c r="T1573">
        <v>28.75</v>
      </c>
      <c r="U1573" t="s">
        <v>1496</v>
      </c>
      <c r="V1573" t="s">
        <v>1993</v>
      </c>
      <c r="W1573" t="s">
        <v>1855</v>
      </c>
      <c r="X1573">
        <v>1.7</v>
      </c>
      <c r="Y1573" t="s">
        <v>2031</v>
      </c>
      <c r="Z1573" t="s">
        <v>552</v>
      </c>
      <c r="AA1573" t="s">
        <v>8615</v>
      </c>
      <c r="AB1573">
        <v>2.2799999999999998</v>
      </c>
      <c r="AC1573" t="s">
        <v>1274</v>
      </c>
      <c r="AD1573">
        <v>83.49</v>
      </c>
      <c r="AE1573" t="s">
        <v>218</v>
      </c>
      <c r="AF1573">
        <v>1.39</v>
      </c>
      <c r="AG1573">
        <v>0</v>
      </c>
      <c r="AH1573">
        <v>0</v>
      </c>
      <c r="AI1573" s="4">
        <v>41079</v>
      </c>
    </row>
    <row r="1574" spans="1:35">
      <c r="A1574">
        <v>1573</v>
      </c>
      <c r="B1574" t="str">
        <f>"002865"</f>
        <v>002865</v>
      </c>
      <c r="C1574" t="s">
        <v>8616</v>
      </c>
      <c r="D1574" s="4">
        <v>43190</v>
      </c>
      <c r="E1574" t="s">
        <v>209</v>
      </c>
      <c r="F1574" t="s">
        <v>8617</v>
      </c>
      <c r="G1574">
        <v>2232</v>
      </c>
      <c r="H1574">
        <v>0.12</v>
      </c>
      <c r="I1574">
        <v>7.03</v>
      </c>
      <c r="J1574">
        <v>1.7</v>
      </c>
      <c r="K1574" t="s">
        <v>1732</v>
      </c>
      <c r="L1574">
        <v>2.5499999999999998</v>
      </c>
      <c r="M1574" t="s">
        <v>8618</v>
      </c>
      <c r="N1574" t="s">
        <v>8167</v>
      </c>
      <c r="O1574" t="s">
        <v>8619</v>
      </c>
      <c r="P1574" t="s">
        <v>7622</v>
      </c>
      <c r="Q1574">
        <v>12.78</v>
      </c>
      <c r="R1574" t="s">
        <v>597</v>
      </c>
      <c r="S1574">
        <v>2.68</v>
      </c>
      <c r="T1574">
        <v>26.89</v>
      </c>
      <c r="U1574" t="s">
        <v>646</v>
      </c>
      <c r="V1574" t="s">
        <v>978</v>
      </c>
      <c r="W1574" t="s">
        <v>340</v>
      </c>
      <c r="X1574">
        <v>1.7</v>
      </c>
      <c r="Y1574" t="s">
        <v>1722</v>
      </c>
      <c r="Z1574" t="s">
        <v>285</v>
      </c>
      <c r="AA1574" t="s">
        <v>2946</v>
      </c>
      <c r="AB1574">
        <v>2.74</v>
      </c>
      <c r="AC1574" t="s">
        <v>649</v>
      </c>
      <c r="AD1574">
        <v>50.22</v>
      </c>
      <c r="AE1574" t="s">
        <v>2268</v>
      </c>
      <c r="AF1574">
        <v>3.16</v>
      </c>
      <c r="AG1574">
        <v>0</v>
      </c>
      <c r="AH1574">
        <v>0</v>
      </c>
      <c r="AI1574" s="4">
        <v>42850</v>
      </c>
    </row>
    <row r="1575" spans="1:35">
      <c r="A1575">
        <v>1574</v>
      </c>
      <c r="B1575" t="str">
        <f>"002416"</f>
        <v>002416</v>
      </c>
      <c r="C1575" t="s">
        <v>8620</v>
      </c>
      <c r="D1575" s="4">
        <v>43190</v>
      </c>
      <c r="E1575" t="s">
        <v>548</v>
      </c>
      <c r="F1575" t="s">
        <v>192</v>
      </c>
      <c r="G1575" t="s">
        <v>1788</v>
      </c>
      <c r="H1575">
        <v>7.0000000000000007E-2</v>
      </c>
      <c r="I1575">
        <v>4.25</v>
      </c>
      <c r="J1575">
        <v>1.7</v>
      </c>
      <c r="K1575" t="s">
        <v>3118</v>
      </c>
      <c r="L1575">
        <v>31.08</v>
      </c>
      <c r="M1575" t="s">
        <v>8621</v>
      </c>
      <c r="N1575" t="s">
        <v>8622</v>
      </c>
      <c r="O1575" t="s">
        <v>600</v>
      </c>
      <c r="P1575" t="s">
        <v>2609</v>
      </c>
      <c r="Q1575">
        <v>5.81</v>
      </c>
      <c r="R1575" t="s">
        <v>2568</v>
      </c>
      <c r="S1575">
        <v>1.6</v>
      </c>
      <c r="T1575">
        <v>2.66</v>
      </c>
      <c r="U1575" t="s">
        <v>580</v>
      </c>
      <c r="V1575" t="s">
        <v>716</v>
      </c>
      <c r="W1575" t="s">
        <v>8623</v>
      </c>
      <c r="X1575">
        <v>1.7</v>
      </c>
      <c r="Y1575" t="s">
        <v>2487</v>
      </c>
      <c r="Z1575" t="s">
        <v>1104</v>
      </c>
      <c r="AA1575" t="s">
        <v>424</v>
      </c>
      <c r="AB1575">
        <v>1.36</v>
      </c>
      <c r="AC1575" t="s">
        <v>1735</v>
      </c>
      <c r="AD1575">
        <v>44.66</v>
      </c>
      <c r="AE1575" t="s">
        <v>1101</v>
      </c>
      <c r="AF1575">
        <v>1.31</v>
      </c>
      <c r="AG1575">
        <v>0</v>
      </c>
      <c r="AH1575">
        <v>0</v>
      </c>
      <c r="AI1575" s="4">
        <v>40326</v>
      </c>
    </row>
    <row r="1576" spans="1:35">
      <c r="A1576">
        <v>1575</v>
      </c>
      <c r="B1576" t="str">
        <f>"002359"</f>
        <v>002359</v>
      </c>
      <c r="C1576" t="s">
        <v>8624</v>
      </c>
      <c r="D1576" s="4">
        <v>43190</v>
      </c>
      <c r="E1576" t="s">
        <v>1223</v>
      </c>
      <c r="F1576" t="s">
        <v>918</v>
      </c>
      <c r="G1576" t="s">
        <v>8625</v>
      </c>
      <c r="H1576">
        <v>0.1</v>
      </c>
      <c r="I1576">
        <v>5.7</v>
      </c>
      <c r="J1576">
        <v>1.7</v>
      </c>
      <c r="K1576" t="s">
        <v>1722</v>
      </c>
      <c r="L1576">
        <v>249.44</v>
      </c>
      <c r="M1576" t="s">
        <v>1724</v>
      </c>
      <c r="N1576" t="s">
        <v>8626</v>
      </c>
      <c r="O1576" t="s">
        <v>1724</v>
      </c>
      <c r="P1576" t="s">
        <v>1119</v>
      </c>
      <c r="Q1576">
        <v>2006.2</v>
      </c>
      <c r="R1576" t="s">
        <v>301</v>
      </c>
      <c r="S1576">
        <v>0.28999999999999998</v>
      </c>
      <c r="T1576">
        <v>31.98</v>
      </c>
      <c r="U1576" t="s">
        <v>929</v>
      </c>
      <c r="V1576" t="s">
        <v>589</v>
      </c>
      <c r="W1576" t="s">
        <v>864</v>
      </c>
      <c r="X1576">
        <v>1.7</v>
      </c>
      <c r="Y1576" t="s">
        <v>1571</v>
      </c>
      <c r="Z1576" t="s">
        <v>408</v>
      </c>
      <c r="AA1576" t="s">
        <v>511</v>
      </c>
      <c r="AB1576">
        <v>3.44</v>
      </c>
      <c r="AC1576" t="s">
        <v>2400</v>
      </c>
      <c r="AD1576">
        <v>42.9</v>
      </c>
      <c r="AE1576" t="s">
        <v>2106</v>
      </c>
      <c r="AF1576">
        <v>4.38</v>
      </c>
      <c r="AG1576">
        <v>0</v>
      </c>
      <c r="AH1576">
        <v>0</v>
      </c>
      <c r="AI1576" s="4">
        <v>40219</v>
      </c>
    </row>
    <row r="1577" spans="1:35">
      <c r="A1577">
        <v>1576</v>
      </c>
      <c r="B1577" t="str">
        <f>"600780"</f>
        <v>600780</v>
      </c>
      <c r="C1577" t="s">
        <v>8627</v>
      </c>
      <c r="D1577" s="4">
        <v>43190</v>
      </c>
      <c r="E1577" t="s">
        <v>973</v>
      </c>
      <c r="F1577" t="s">
        <v>973</v>
      </c>
      <c r="G1577" t="s">
        <v>1777</v>
      </c>
      <c r="H1577">
        <v>7.0000000000000007E-2</v>
      </c>
      <c r="I1577">
        <v>4.2699999999999996</v>
      </c>
      <c r="J1577">
        <v>1.69</v>
      </c>
      <c r="K1577" t="s">
        <v>141</v>
      </c>
      <c r="L1577">
        <v>25.12</v>
      </c>
      <c r="M1577" t="s">
        <v>71</v>
      </c>
      <c r="N1577" t="s">
        <v>8628</v>
      </c>
      <c r="O1577" t="s">
        <v>600</v>
      </c>
      <c r="P1577" t="s">
        <v>3142</v>
      </c>
      <c r="Q1577">
        <v>969.98</v>
      </c>
      <c r="R1577" t="s">
        <v>316</v>
      </c>
      <c r="S1577">
        <v>2.0099999999999998</v>
      </c>
      <c r="T1577">
        <v>15.87</v>
      </c>
      <c r="U1577" t="s">
        <v>815</v>
      </c>
      <c r="V1577" t="s">
        <v>1625</v>
      </c>
      <c r="W1577" t="s">
        <v>8225</v>
      </c>
      <c r="X1577">
        <v>1.69</v>
      </c>
      <c r="Y1577" t="s">
        <v>2795</v>
      </c>
      <c r="Z1577" t="s">
        <v>244</v>
      </c>
      <c r="AA1577" t="s">
        <v>1660</v>
      </c>
      <c r="AB1577">
        <v>0.85</v>
      </c>
      <c r="AC1577" t="s">
        <v>3749</v>
      </c>
      <c r="AD1577">
        <v>41.58</v>
      </c>
      <c r="AE1577" t="s">
        <v>192</v>
      </c>
      <c r="AF1577">
        <v>1.02</v>
      </c>
      <c r="AG1577">
        <v>0</v>
      </c>
      <c r="AH1577">
        <v>0</v>
      </c>
      <c r="AI1577" s="4">
        <v>35404</v>
      </c>
    </row>
    <row r="1578" spans="1:35">
      <c r="A1578">
        <v>1577</v>
      </c>
      <c r="B1578" t="str">
        <f>"600697"</f>
        <v>600697</v>
      </c>
      <c r="C1578" t="s">
        <v>8629</v>
      </c>
      <c r="D1578" s="4">
        <v>43190</v>
      </c>
      <c r="E1578" t="s">
        <v>1689</v>
      </c>
      <c r="F1578" t="s">
        <v>863</v>
      </c>
      <c r="G1578">
        <v>9147</v>
      </c>
      <c r="H1578">
        <v>0.32</v>
      </c>
      <c r="I1578">
        <v>15.01</v>
      </c>
      <c r="J1578">
        <v>1.69</v>
      </c>
      <c r="K1578" t="s">
        <v>1314</v>
      </c>
      <c r="L1578">
        <v>18.899999999999999</v>
      </c>
      <c r="M1578" t="s">
        <v>337</v>
      </c>
      <c r="N1578" t="s">
        <v>8630</v>
      </c>
      <c r="O1578" t="s">
        <v>290</v>
      </c>
      <c r="P1578" t="s">
        <v>8631</v>
      </c>
      <c r="Q1578">
        <v>8.1999999999999993</v>
      </c>
      <c r="R1578" t="s">
        <v>980</v>
      </c>
      <c r="S1578">
        <v>11.6</v>
      </c>
      <c r="T1578">
        <v>22.94</v>
      </c>
      <c r="U1578" t="s">
        <v>715</v>
      </c>
      <c r="V1578" t="s">
        <v>5750</v>
      </c>
      <c r="W1578" t="s">
        <v>2066</v>
      </c>
      <c r="X1578">
        <v>1.69</v>
      </c>
      <c r="Y1578" t="s">
        <v>1097</v>
      </c>
      <c r="Z1578" t="s">
        <v>899</v>
      </c>
      <c r="AA1578" t="s">
        <v>261</v>
      </c>
      <c r="AB1578">
        <v>1.51</v>
      </c>
      <c r="AC1578" t="s">
        <v>864</v>
      </c>
      <c r="AD1578">
        <v>13.41</v>
      </c>
      <c r="AE1578" t="s">
        <v>1810</v>
      </c>
      <c r="AF1578">
        <v>1.87</v>
      </c>
      <c r="AG1578">
        <v>0</v>
      </c>
      <c r="AH1578">
        <v>0</v>
      </c>
      <c r="AI1578" s="4">
        <v>34309</v>
      </c>
    </row>
    <row r="1579" spans="1:35">
      <c r="A1579">
        <v>1578</v>
      </c>
      <c r="B1579" t="str">
        <f>"600603"</f>
        <v>600603</v>
      </c>
      <c r="C1579" t="s">
        <v>8632</v>
      </c>
      <c r="D1579" s="4">
        <v>43190</v>
      </c>
      <c r="E1579" t="s">
        <v>405</v>
      </c>
      <c r="F1579" t="s">
        <v>3259</v>
      </c>
      <c r="G1579">
        <v>9784</v>
      </c>
      <c r="H1579">
        <v>0.08</v>
      </c>
      <c r="I1579">
        <v>4.8099999999999996</v>
      </c>
      <c r="J1579">
        <v>1.69</v>
      </c>
      <c r="K1579" t="s">
        <v>2132</v>
      </c>
      <c r="L1579">
        <v>127.11</v>
      </c>
      <c r="M1579" t="s">
        <v>657</v>
      </c>
      <c r="N1579" t="s">
        <v>8592</v>
      </c>
      <c r="O1579" t="s">
        <v>993</v>
      </c>
      <c r="P1579" t="s">
        <v>8633</v>
      </c>
      <c r="Q1579">
        <v>64.06</v>
      </c>
      <c r="R1579" t="s">
        <v>2238</v>
      </c>
      <c r="S1579">
        <v>2.67</v>
      </c>
      <c r="T1579">
        <v>60.52</v>
      </c>
      <c r="U1579" t="s">
        <v>5152</v>
      </c>
      <c r="V1579" t="s">
        <v>1781</v>
      </c>
      <c r="W1579" t="s">
        <v>8634</v>
      </c>
      <c r="X1579">
        <v>1.69</v>
      </c>
      <c r="Y1579" t="s">
        <v>2989</v>
      </c>
      <c r="Z1579" t="s">
        <v>1343</v>
      </c>
      <c r="AA1579" t="s">
        <v>119</v>
      </c>
      <c r="AB1579">
        <v>0.82</v>
      </c>
      <c r="AC1579" t="s">
        <v>4937</v>
      </c>
      <c r="AD1579">
        <v>61.06</v>
      </c>
      <c r="AE1579" t="s">
        <v>295</v>
      </c>
      <c r="AF1579">
        <v>0.57999999999999996</v>
      </c>
      <c r="AG1579">
        <v>0</v>
      </c>
      <c r="AH1579">
        <v>0</v>
      </c>
      <c r="AI1579" s="4">
        <v>33616</v>
      </c>
    </row>
    <row r="1580" spans="1:35">
      <c r="A1580">
        <v>1579</v>
      </c>
      <c r="B1580" t="str">
        <f>"600322"</f>
        <v>600322</v>
      </c>
      <c r="C1580" t="s">
        <v>8635</v>
      </c>
      <c r="D1580" s="4">
        <v>43190</v>
      </c>
      <c r="E1580" t="s">
        <v>323</v>
      </c>
      <c r="F1580" t="s">
        <v>323</v>
      </c>
      <c r="G1580" t="s">
        <v>1471</v>
      </c>
      <c r="H1580">
        <v>7.0000000000000007E-2</v>
      </c>
      <c r="I1580">
        <v>4.03</v>
      </c>
      <c r="J1580">
        <v>1.69</v>
      </c>
      <c r="K1580" t="s">
        <v>548</v>
      </c>
      <c r="L1580">
        <v>27.02</v>
      </c>
      <c r="M1580" t="s">
        <v>2306</v>
      </c>
      <c r="N1580" t="s">
        <v>8636</v>
      </c>
      <c r="O1580" t="s">
        <v>2306</v>
      </c>
      <c r="P1580" t="s">
        <v>8637</v>
      </c>
      <c r="Q1580">
        <v>37.31</v>
      </c>
      <c r="R1580" t="s">
        <v>1274</v>
      </c>
      <c r="S1580">
        <v>0.77</v>
      </c>
      <c r="T1580">
        <v>22.02</v>
      </c>
      <c r="U1580" t="s">
        <v>1985</v>
      </c>
      <c r="V1580" t="s">
        <v>2048</v>
      </c>
      <c r="W1580" t="s">
        <v>8638</v>
      </c>
      <c r="X1580">
        <v>1.69</v>
      </c>
      <c r="Y1580" t="s">
        <v>967</v>
      </c>
      <c r="Z1580" t="s">
        <v>786</v>
      </c>
      <c r="AA1580" t="s">
        <v>2802</v>
      </c>
      <c r="AB1580">
        <v>1.29</v>
      </c>
      <c r="AC1580" t="s">
        <v>2917</v>
      </c>
      <c r="AD1580">
        <v>12.89</v>
      </c>
      <c r="AE1580" t="s">
        <v>1390</v>
      </c>
      <c r="AF1580">
        <v>1.99</v>
      </c>
      <c r="AG1580">
        <v>0</v>
      </c>
      <c r="AH1580">
        <v>0</v>
      </c>
      <c r="AI1580" s="4">
        <v>37144</v>
      </c>
    </row>
    <row r="1581" spans="1:35">
      <c r="A1581">
        <v>1580</v>
      </c>
      <c r="B1581" t="str">
        <f>"600291"</f>
        <v>600291</v>
      </c>
      <c r="C1581" t="s">
        <v>8639</v>
      </c>
      <c r="D1581" s="4">
        <v>43190</v>
      </c>
      <c r="E1581" t="s">
        <v>1223</v>
      </c>
      <c r="F1581" t="s">
        <v>721</v>
      </c>
      <c r="G1581">
        <v>9255</v>
      </c>
      <c r="H1581">
        <v>0.2</v>
      </c>
      <c r="I1581">
        <v>11.75</v>
      </c>
      <c r="J1581">
        <v>1.69</v>
      </c>
      <c r="K1581" t="s">
        <v>7234</v>
      </c>
      <c r="L1581">
        <v>-30.78</v>
      </c>
      <c r="M1581" t="s">
        <v>5614</v>
      </c>
      <c r="N1581" t="s">
        <v>1504</v>
      </c>
      <c r="O1581" t="s">
        <v>160</v>
      </c>
      <c r="P1581" t="s">
        <v>454</v>
      </c>
      <c r="Q1581">
        <v>-89.92</v>
      </c>
      <c r="R1581" t="s">
        <v>907</v>
      </c>
      <c r="S1581">
        <v>2.89</v>
      </c>
      <c r="T1581">
        <v>0</v>
      </c>
      <c r="U1581" t="s">
        <v>8640</v>
      </c>
      <c r="V1581">
        <v>0</v>
      </c>
      <c r="W1581" t="s">
        <v>3494</v>
      </c>
      <c r="X1581">
        <v>1.69</v>
      </c>
      <c r="Y1581" t="s">
        <v>8641</v>
      </c>
      <c r="Z1581">
        <v>0</v>
      </c>
      <c r="AA1581">
        <v>0</v>
      </c>
      <c r="AB1581">
        <v>1.1100000000000001</v>
      </c>
      <c r="AC1581" t="s">
        <v>311</v>
      </c>
      <c r="AD1581">
        <v>8.2799999999999994</v>
      </c>
      <c r="AE1581" t="s">
        <v>6837</v>
      </c>
      <c r="AF1581">
        <v>5.39</v>
      </c>
      <c r="AG1581">
        <v>0</v>
      </c>
      <c r="AH1581">
        <v>0</v>
      </c>
      <c r="AI1581" s="4">
        <v>36738</v>
      </c>
    </row>
    <row r="1582" spans="1:35">
      <c r="A1582">
        <v>1581</v>
      </c>
      <c r="B1582" t="str">
        <f>"300249"</f>
        <v>300249</v>
      </c>
      <c r="C1582" t="s">
        <v>8642</v>
      </c>
      <c r="D1582" s="4">
        <v>43190</v>
      </c>
      <c r="E1582" t="s">
        <v>4044</v>
      </c>
      <c r="F1582" t="s">
        <v>1791</v>
      </c>
      <c r="G1582" t="s">
        <v>5531</v>
      </c>
      <c r="H1582">
        <v>0.03</v>
      </c>
      <c r="I1582">
        <v>1.7</v>
      </c>
      <c r="J1582">
        <v>1.69</v>
      </c>
      <c r="K1582" t="s">
        <v>193</v>
      </c>
      <c r="L1582">
        <v>86.09</v>
      </c>
      <c r="M1582" t="s">
        <v>8643</v>
      </c>
      <c r="N1582" t="s">
        <v>6244</v>
      </c>
      <c r="O1582" t="s">
        <v>7201</v>
      </c>
      <c r="P1582" t="s">
        <v>8351</v>
      </c>
      <c r="Q1582">
        <v>224.39</v>
      </c>
      <c r="R1582" t="s">
        <v>2142</v>
      </c>
      <c r="S1582">
        <v>0.55000000000000004</v>
      </c>
      <c r="T1582">
        <v>27.56</v>
      </c>
      <c r="U1582" t="s">
        <v>1516</v>
      </c>
      <c r="V1582" t="s">
        <v>1678</v>
      </c>
      <c r="W1582" t="s">
        <v>696</v>
      </c>
      <c r="X1582">
        <v>1.69</v>
      </c>
      <c r="Y1582" t="s">
        <v>759</v>
      </c>
      <c r="Z1582" t="s">
        <v>1025</v>
      </c>
      <c r="AA1582" t="s">
        <v>905</v>
      </c>
      <c r="AB1582">
        <v>3.73</v>
      </c>
      <c r="AC1582" t="s">
        <v>2648</v>
      </c>
      <c r="AD1582">
        <v>30.88</v>
      </c>
      <c r="AE1582" t="s">
        <v>443</v>
      </c>
      <c r="AF1582">
        <v>0.25</v>
      </c>
      <c r="AG1582">
        <v>0</v>
      </c>
      <c r="AH1582">
        <v>0</v>
      </c>
      <c r="AI1582" s="4">
        <v>40758</v>
      </c>
    </row>
    <row r="1583" spans="1:35">
      <c r="A1583">
        <v>1582</v>
      </c>
      <c r="B1583" t="str">
        <f>"002654"</f>
        <v>002654</v>
      </c>
      <c r="C1583" t="s">
        <v>8644</v>
      </c>
      <c r="D1583" s="4">
        <v>43190</v>
      </c>
      <c r="E1583" t="s">
        <v>1769</v>
      </c>
      <c r="F1583" t="s">
        <v>5203</v>
      </c>
      <c r="G1583" t="s">
        <v>2645</v>
      </c>
      <c r="H1583">
        <v>0.06</v>
      </c>
      <c r="I1583">
        <v>3.68</v>
      </c>
      <c r="J1583">
        <v>1.69</v>
      </c>
      <c r="K1583" t="s">
        <v>2705</v>
      </c>
      <c r="L1583">
        <v>107.26</v>
      </c>
      <c r="M1583" t="s">
        <v>5509</v>
      </c>
      <c r="N1583" t="s">
        <v>6945</v>
      </c>
      <c r="O1583" t="s">
        <v>7076</v>
      </c>
      <c r="P1583" t="s">
        <v>1602</v>
      </c>
      <c r="Q1583">
        <v>109.38</v>
      </c>
      <c r="R1583" t="s">
        <v>1565</v>
      </c>
      <c r="S1583">
        <v>0.53</v>
      </c>
      <c r="T1583">
        <v>13.44</v>
      </c>
      <c r="U1583" t="s">
        <v>3701</v>
      </c>
      <c r="V1583" t="s">
        <v>2941</v>
      </c>
      <c r="W1583" t="s">
        <v>1483</v>
      </c>
      <c r="X1583">
        <v>1.69</v>
      </c>
      <c r="Y1583" t="s">
        <v>706</v>
      </c>
      <c r="Z1583" t="s">
        <v>1920</v>
      </c>
      <c r="AA1583" t="s">
        <v>241</v>
      </c>
      <c r="AB1583">
        <v>1.41</v>
      </c>
      <c r="AC1583" t="s">
        <v>461</v>
      </c>
      <c r="AD1583">
        <v>56.67</v>
      </c>
      <c r="AE1583" t="s">
        <v>980</v>
      </c>
      <c r="AF1583">
        <v>2.09</v>
      </c>
      <c r="AG1583">
        <v>0</v>
      </c>
      <c r="AH1583">
        <v>0</v>
      </c>
      <c r="AI1583" s="4">
        <v>40956</v>
      </c>
    </row>
    <row r="1584" spans="1:35">
      <c r="A1584">
        <v>1583</v>
      </c>
      <c r="B1584" t="str">
        <f>"000637"</f>
        <v>000637</v>
      </c>
      <c r="C1584" t="s">
        <v>8645</v>
      </c>
      <c r="D1584" s="4">
        <v>43190</v>
      </c>
      <c r="E1584" t="s">
        <v>2479</v>
      </c>
      <c r="F1584" t="s">
        <v>160</v>
      </c>
      <c r="G1584">
        <v>9224</v>
      </c>
      <c r="H1584">
        <v>0.03</v>
      </c>
      <c r="I1584">
        <v>1.76</v>
      </c>
      <c r="J1584">
        <v>1.69</v>
      </c>
      <c r="K1584" t="s">
        <v>1496</v>
      </c>
      <c r="L1584">
        <v>-8.42</v>
      </c>
      <c r="M1584" t="s">
        <v>8646</v>
      </c>
      <c r="N1584" t="s">
        <v>2754</v>
      </c>
      <c r="O1584" t="s">
        <v>3081</v>
      </c>
      <c r="P1584" t="s">
        <v>7831</v>
      </c>
      <c r="Q1584">
        <v>-57.33</v>
      </c>
      <c r="R1584" t="s">
        <v>1077</v>
      </c>
      <c r="S1584">
        <v>0.35</v>
      </c>
      <c r="T1584">
        <v>5.13</v>
      </c>
      <c r="U1584" t="s">
        <v>164</v>
      </c>
      <c r="V1584" t="s">
        <v>632</v>
      </c>
      <c r="W1584" t="s">
        <v>1324</v>
      </c>
      <c r="X1584">
        <v>1.69</v>
      </c>
      <c r="Y1584" t="s">
        <v>1905</v>
      </c>
      <c r="Z1584" t="s">
        <v>292</v>
      </c>
      <c r="AA1584" t="s">
        <v>8647</v>
      </c>
      <c r="AB1584">
        <v>2.38</v>
      </c>
      <c r="AC1584" t="s">
        <v>1946</v>
      </c>
      <c r="AD1584">
        <v>72.709999999999994</v>
      </c>
      <c r="AE1584" t="s">
        <v>7568</v>
      </c>
      <c r="AF1584">
        <v>0.01</v>
      </c>
      <c r="AG1584">
        <v>0</v>
      </c>
      <c r="AH1584">
        <v>0</v>
      </c>
      <c r="AI1584" s="4">
        <v>35383</v>
      </c>
    </row>
    <row r="1585" spans="1:35">
      <c r="A1585">
        <v>1584</v>
      </c>
      <c r="B1585" t="str">
        <f>"603320"</f>
        <v>603320</v>
      </c>
      <c r="C1585" t="s">
        <v>8648</v>
      </c>
      <c r="D1585" s="4">
        <v>43190</v>
      </c>
      <c r="E1585" t="s">
        <v>2307</v>
      </c>
      <c r="F1585" t="s">
        <v>2819</v>
      </c>
      <c r="G1585">
        <v>2179</v>
      </c>
      <c r="H1585">
        <v>0.1</v>
      </c>
      <c r="I1585">
        <v>5.87</v>
      </c>
      <c r="J1585">
        <v>1.68</v>
      </c>
      <c r="K1585" t="s">
        <v>382</v>
      </c>
      <c r="L1585">
        <v>5.4</v>
      </c>
      <c r="M1585" t="s">
        <v>2430</v>
      </c>
      <c r="N1585" t="s">
        <v>1558</v>
      </c>
      <c r="O1585" t="s">
        <v>1072</v>
      </c>
      <c r="P1585" t="s">
        <v>8649</v>
      </c>
      <c r="Q1585">
        <v>-33.17</v>
      </c>
      <c r="R1585" t="s">
        <v>81</v>
      </c>
      <c r="S1585">
        <v>2.5</v>
      </c>
      <c r="T1585">
        <v>15.01</v>
      </c>
      <c r="U1585" t="s">
        <v>3544</v>
      </c>
      <c r="V1585" t="s">
        <v>2304</v>
      </c>
      <c r="W1585" t="s">
        <v>326</v>
      </c>
      <c r="X1585">
        <v>1.68</v>
      </c>
      <c r="Y1585" t="s">
        <v>3111</v>
      </c>
      <c r="Z1585" t="s">
        <v>1016</v>
      </c>
      <c r="AA1585" t="s">
        <v>3421</v>
      </c>
      <c r="AB1585">
        <v>3.79</v>
      </c>
      <c r="AC1585" t="s">
        <v>1168</v>
      </c>
      <c r="AD1585">
        <v>80.290000000000006</v>
      </c>
      <c r="AE1585" t="s">
        <v>696</v>
      </c>
      <c r="AF1585">
        <v>2.1800000000000002</v>
      </c>
      <c r="AG1585">
        <v>0</v>
      </c>
      <c r="AH1585">
        <v>0</v>
      </c>
      <c r="AI1585" s="4">
        <v>42857</v>
      </c>
    </row>
    <row r="1586" spans="1:35">
      <c r="A1586">
        <v>1585</v>
      </c>
      <c r="B1586" t="str">
        <f>"600336"</f>
        <v>600336</v>
      </c>
      <c r="C1586" t="s">
        <v>8650</v>
      </c>
      <c r="D1586" s="4">
        <v>43190</v>
      </c>
      <c r="E1586" t="s">
        <v>6159</v>
      </c>
      <c r="F1586" t="s">
        <v>2149</v>
      </c>
      <c r="G1586" t="s">
        <v>723</v>
      </c>
      <c r="H1586">
        <v>0.04</v>
      </c>
      <c r="I1586">
        <v>2.35</v>
      </c>
      <c r="J1586">
        <v>1.68</v>
      </c>
      <c r="K1586" t="s">
        <v>1025</v>
      </c>
      <c r="L1586">
        <v>24.3</v>
      </c>
      <c r="M1586" t="s">
        <v>7836</v>
      </c>
      <c r="N1586" t="s">
        <v>8651</v>
      </c>
      <c r="O1586" t="s">
        <v>8652</v>
      </c>
      <c r="P1586" t="s">
        <v>8479</v>
      </c>
      <c r="Q1586">
        <v>-4.29</v>
      </c>
      <c r="R1586" t="s">
        <v>8653</v>
      </c>
      <c r="S1586">
        <v>-0.21</v>
      </c>
      <c r="T1586">
        <v>21.47</v>
      </c>
      <c r="U1586" t="s">
        <v>2567</v>
      </c>
      <c r="V1586" t="s">
        <v>2339</v>
      </c>
      <c r="W1586" t="s">
        <v>2739</v>
      </c>
      <c r="X1586">
        <v>1.68</v>
      </c>
      <c r="Y1586" t="s">
        <v>685</v>
      </c>
      <c r="Z1586" t="s">
        <v>1347</v>
      </c>
      <c r="AA1586" t="s">
        <v>559</v>
      </c>
      <c r="AB1586">
        <v>1.63</v>
      </c>
      <c r="AC1586" t="s">
        <v>1101</v>
      </c>
      <c r="AD1586">
        <v>37.72</v>
      </c>
      <c r="AE1586" t="s">
        <v>835</v>
      </c>
      <c r="AF1586">
        <v>1.46</v>
      </c>
      <c r="AG1586">
        <v>0</v>
      </c>
      <c r="AH1586">
        <v>0</v>
      </c>
      <c r="AI1586" s="4">
        <v>36889</v>
      </c>
    </row>
    <row r="1587" spans="1:35">
      <c r="A1587">
        <v>1586</v>
      </c>
      <c r="B1587" t="str">
        <f>"300514"</f>
        <v>300514</v>
      </c>
      <c r="C1587" t="s">
        <v>8654</v>
      </c>
      <c r="D1587" s="4">
        <v>43190</v>
      </c>
      <c r="E1587" t="s">
        <v>293</v>
      </c>
      <c r="F1587" t="s">
        <v>8655</v>
      </c>
      <c r="G1587">
        <v>2082</v>
      </c>
      <c r="H1587">
        <v>0.04</v>
      </c>
      <c r="I1587">
        <v>2.42</v>
      </c>
      <c r="J1587">
        <v>1.68</v>
      </c>
      <c r="K1587" t="s">
        <v>198</v>
      </c>
      <c r="L1587">
        <v>24.77</v>
      </c>
      <c r="M1587" t="s">
        <v>8656</v>
      </c>
      <c r="N1587" t="s">
        <v>7586</v>
      </c>
      <c r="O1587" t="s">
        <v>8657</v>
      </c>
      <c r="P1587" t="s">
        <v>8658</v>
      </c>
      <c r="Q1587">
        <v>-6.17</v>
      </c>
      <c r="R1587" t="s">
        <v>136</v>
      </c>
      <c r="S1587">
        <v>0.75</v>
      </c>
      <c r="T1587">
        <v>40.6</v>
      </c>
      <c r="U1587" t="s">
        <v>1487</v>
      </c>
      <c r="V1587" t="s">
        <v>116</v>
      </c>
      <c r="W1587" t="s">
        <v>2618</v>
      </c>
      <c r="X1587">
        <v>1.68</v>
      </c>
      <c r="Y1587" t="s">
        <v>807</v>
      </c>
      <c r="Z1587" t="s">
        <v>1484</v>
      </c>
      <c r="AA1587" t="s">
        <v>8659</v>
      </c>
      <c r="AB1587">
        <v>7.4</v>
      </c>
      <c r="AC1587" t="s">
        <v>1481</v>
      </c>
      <c r="AD1587">
        <v>68.34</v>
      </c>
      <c r="AE1587" t="s">
        <v>454</v>
      </c>
      <c r="AF1587">
        <v>0.56999999999999995</v>
      </c>
      <c r="AG1587">
        <v>0</v>
      </c>
      <c r="AH1587">
        <v>0</v>
      </c>
      <c r="AI1587" s="4">
        <v>42851</v>
      </c>
    </row>
    <row r="1588" spans="1:35">
      <c r="A1588">
        <v>1587</v>
      </c>
      <c r="B1588" t="str">
        <f>"600515"</f>
        <v>600515</v>
      </c>
      <c r="C1588" t="s">
        <v>8660</v>
      </c>
      <c r="D1588" s="4">
        <v>43190</v>
      </c>
      <c r="E1588" t="s">
        <v>447</v>
      </c>
      <c r="F1588" t="s">
        <v>298</v>
      </c>
      <c r="G1588" t="s">
        <v>8661</v>
      </c>
      <c r="H1588">
        <v>0.15</v>
      </c>
      <c r="I1588">
        <v>8.24</v>
      </c>
      <c r="J1588">
        <v>1.68</v>
      </c>
      <c r="K1588" t="s">
        <v>840</v>
      </c>
      <c r="L1588">
        <v>-2.5099999999999998</v>
      </c>
      <c r="M1588" t="s">
        <v>2398</v>
      </c>
      <c r="N1588" t="s">
        <v>453</v>
      </c>
      <c r="O1588" t="s">
        <v>4009</v>
      </c>
      <c r="P1588" t="s">
        <v>2056</v>
      </c>
      <c r="Q1588">
        <v>2371.54</v>
      </c>
      <c r="R1588" t="s">
        <v>2301</v>
      </c>
      <c r="S1588">
        <v>1.02</v>
      </c>
      <c r="T1588">
        <v>32.4</v>
      </c>
      <c r="U1588" t="s">
        <v>8662</v>
      </c>
      <c r="V1588" t="s">
        <v>3611</v>
      </c>
      <c r="W1588" t="s">
        <v>1403</v>
      </c>
      <c r="X1588">
        <v>1.68</v>
      </c>
      <c r="Y1588" t="s">
        <v>8663</v>
      </c>
      <c r="Z1588" t="s">
        <v>7012</v>
      </c>
      <c r="AA1588" t="s">
        <v>3118</v>
      </c>
      <c r="AB1588">
        <v>1.35</v>
      </c>
      <c r="AC1588" t="s">
        <v>1955</v>
      </c>
      <c r="AD1588">
        <v>34.06</v>
      </c>
      <c r="AE1588" t="s">
        <v>2078</v>
      </c>
      <c r="AF1588">
        <v>6.1</v>
      </c>
      <c r="AG1588">
        <v>0</v>
      </c>
      <c r="AH1588">
        <v>0</v>
      </c>
      <c r="AI1588" s="4">
        <v>37474</v>
      </c>
    </row>
    <row r="1589" spans="1:35">
      <c r="A1589">
        <v>1588</v>
      </c>
      <c r="B1589" t="str">
        <f>"603363"</f>
        <v>603363</v>
      </c>
      <c r="C1589" t="s">
        <v>8664</v>
      </c>
      <c r="D1589" s="4">
        <v>43190</v>
      </c>
      <c r="E1589" t="s">
        <v>4756</v>
      </c>
      <c r="F1589" t="s">
        <v>4561</v>
      </c>
      <c r="G1589">
        <v>2075</v>
      </c>
      <c r="H1589">
        <v>0.03</v>
      </c>
      <c r="I1589">
        <v>2.02</v>
      </c>
      <c r="J1589">
        <v>1.67</v>
      </c>
      <c r="K1589" t="s">
        <v>350</v>
      </c>
      <c r="L1589">
        <v>20.88</v>
      </c>
      <c r="M1589" t="s">
        <v>4838</v>
      </c>
      <c r="N1589" t="s">
        <v>8665</v>
      </c>
      <c r="O1589" t="s">
        <v>8666</v>
      </c>
      <c r="P1589" t="s">
        <v>7325</v>
      </c>
      <c r="Q1589">
        <v>-40.18</v>
      </c>
      <c r="R1589" t="s">
        <v>905</v>
      </c>
      <c r="S1589">
        <v>0.44</v>
      </c>
      <c r="T1589">
        <v>15.34</v>
      </c>
      <c r="U1589" t="s">
        <v>946</v>
      </c>
      <c r="V1589" t="s">
        <v>162</v>
      </c>
      <c r="W1589" t="s">
        <v>7297</v>
      </c>
      <c r="X1589">
        <v>1.67</v>
      </c>
      <c r="Y1589" t="s">
        <v>1843</v>
      </c>
      <c r="Z1589" t="s">
        <v>820</v>
      </c>
      <c r="AA1589" t="s">
        <v>143</v>
      </c>
      <c r="AB1589">
        <v>8.56</v>
      </c>
      <c r="AC1589" t="s">
        <v>2781</v>
      </c>
      <c r="AD1589">
        <v>27.94</v>
      </c>
      <c r="AE1589" t="s">
        <v>986</v>
      </c>
      <c r="AF1589">
        <v>0.53</v>
      </c>
      <c r="AG1589">
        <v>0</v>
      </c>
      <c r="AH1589">
        <v>0</v>
      </c>
      <c r="AI1589" s="4">
        <v>43004</v>
      </c>
    </row>
    <row r="1590" spans="1:35">
      <c r="A1590">
        <v>1589</v>
      </c>
      <c r="B1590" t="str">
        <f>"600794"</f>
        <v>600794</v>
      </c>
      <c r="C1590" t="s">
        <v>8667</v>
      </c>
      <c r="D1590" s="4">
        <v>43190</v>
      </c>
      <c r="E1590" t="s">
        <v>264</v>
      </c>
      <c r="F1590" t="s">
        <v>1033</v>
      </c>
      <c r="G1590" t="s">
        <v>1568</v>
      </c>
      <c r="H1590">
        <v>0.02</v>
      </c>
      <c r="I1590">
        <v>1.51</v>
      </c>
      <c r="J1590">
        <v>1.67</v>
      </c>
      <c r="K1590" t="s">
        <v>1672</v>
      </c>
      <c r="L1590">
        <v>73.88</v>
      </c>
      <c r="M1590" t="s">
        <v>328</v>
      </c>
      <c r="N1590" t="s">
        <v>8668</v>
      </c>
      <c r="O1590" t="s">
        <v>8669</v>
      </c>
      <c r="P1590" t="s">
        <v>8670</v>
      </c>
      <c r="Q1590">
        <v>315.99</v>
      </c>
      <c r="R1590" t="s">
        <v>474</v>
      </c>
      <c r="S1590">
        <v>0.2</v>
      </c>
      <c r="T1590">
        <v>10.63</v>
      </c>
      <c r="U1590" t="s">
        <v>2028</v>
      </c>
      <c r="V1590" t="s">
        <v>101</v>
      </c>
      <c r="W1590" t="s">
        <v>295</v>
      </c>
      <c r="X1590">
        <v>1.67</v>
      </c>
      <c r="Y1590" t="s">
        <v>1033</v>
      </c>
      <c r="Z1590" t="s">
        <v>1730</v>
      </c>
      <c r="AA1590" t="s">
        <v>68</v>
      </c>
      <c r="AB1590">
        <v>1.9</v>
      </c>
      <c r="AC1590" t="s">
        <v>1101</v>
      </c>
      <c r="AD1590">
        <v>55.33</v>
      </c>
      <c r="AE1590" t="s">
        <v>1666</v>
      </c>
      <c r="AF1590">
        <v>0.22</v>
      </c>
      <c r="AG1590">
        <v>0</v>
      </c>
      <c r="AH1590">
        <v>0</v>
      </c>
      <c r="AI1590" s="4">
        <v>35495</v>
      </c>
    </row>
    <row r="1591" spans="1:35">
      <c r="A1591">
        <v>1590</v>
      </c>
      <c r="B1591" t="str">
        <f>"300287"</f>
        <v>300287</v>
      </c>
      <c r="C1591" t="s">
        <v>8671</v>
      </c>
      <c r="D1591" s="4">
        <v>43190</v>
      </c>
      <c r="E1591" t="s">
        <v>161</v>
      </c>
      <c r="F1591" t="s">
        <v>147</v>
      </c>
      <c r="G1591" t="s">
        <v>3475</v>
      </c>
      <c r="H1591">
        <v>7.0000000000000007E-2</v>
      </c>
      <c r="I1591">
        <v>4.1100000000000003</v>
      </c>
      <c r="J1591">
        <v>1.67</v>
      </c>
      <c r="K1591" t="s">
        <v>2587</v>
      </c>
      <c r="L1591">
        <v>52.74</v>
      </c>
      <c r="M1591" t="s">
        <v>1349</v>
      </c>
      <c r="N1591" t="s">
        <v>4624</v>
      </c>
      <c r="O1591" t="s">
        <v>282</v>
      </c>
      <c r="P1591" t="s">
        <v>6011</v>
      </c>
      <c r="Q1591">
        <v>39.729999999999997</v>
      </c>
      <c r="R1591" t="s">
        <v>973</v>
      </c>
      <c r="S1591">
        <v>0.8</v>
      </c>
      <c r="T1591">
        <v>38.33</v>
      </c>
      <c r="U1591" t="s">
        <v>5363</v>
      </c>
      <c r="V1591" t="s">
        <v>762</v>
      </c>
      <c r="W1591" t="s">
        <v>382</v>
      </c>
      <c r="X1591">
        <v>1.67</v>
      </c>
      <c r="Y1591" t="s">
        <v>1843</v>
      </c>
      <c r="Z1591" t="s">
        <v>275</v>
      </c>
      <c r="AA1591" t="s">
        <v>8672</v>
      </c>
      <c r="AB1591">
        <v>1.61</v>
      </c>
      <c r="AC1591" t="s">
        <v>5646</v>
      </c>
      <c r="AD1591">
        <v>73.91</v>
      </c>
      <c r="AE1591" t="s">
        <v>461</v>
      </c>
      <c r="AF1591">
        <v>2.2999999999999998</v>
      </c>
      <c r="AG1591">
        <v>0</v>
      </c>
      <c r="AH1591">
        <v>0</v>
      </c>
      <c r="AI1591" s="4">
        <v>40940</v>
      </c>
    </row>
    <row r="1592" spans="1:35">
      <c r="A1592">
        <v>1591</v>
      </c>
      <c r="B1592" t="str">
        <f>"300007"</f>
        <v>300007</v>
      </c>
      <c r="C1592" t="s">
        <v>8673</v>
      </c>
      <c r="D1592" s="4">
        <v>43190</v>
      </c>
      <c r="E1592" t="s">
        <v>1402</v>
      </c>
      <c r="F1592" t="s">
        <v>935</v>
      </c>
      <c r="G1592">
        <v>8964</v>
      </c>
      <c r="H1592">
        <v>0.08</v>
      </c>
      <c r="I1592">
        <v>4.84</v>
      </c>
      <c r="J1592">
        <v>1.67</v>
      </c>
      <c r="K1592" t="s">
        <v>2224</v>
      </c>
      <c r="L1592">
        <v>5.71</v>
      </c>
      <c r="M1592" t="s">
        <v>5452</v>
      </c>
      <c r="N1592" t="s">
        <v>6238</v>
      </c>
      <c r="O1592" t="s">
        <v>8674</v>
      </c>
      <c r="P1592" t="s">
        <v>8675</v>
      </c>
      <c r="Q1592">
        <v>34.54</v>
      </c>
      <c r="R1592" t="s">
        <v>442</v>
      </c>
      <c r="S1592">
        <v>1.72</v>
      </c>
      <c r="T1592">
        <v>33.21</v>
      </c>
      <c r="U1592" t="s">
        <v>1738</v>
      </c>
      <c r="V1592" t="s">
        <v>578</v>
      </c>
      <c r="W1592" t="s">
        <v>6159</v>
      </c>
      <c r="X1592">
        <v>1.67</v>
      </c>
      <c r="Y1592" t="s">
        <v>2100</v>
      </c>
      <c r="Z1592" t="s">
        <v>613</v>
      </c>
      <c r="AA1592" t="s">
        <v>908</v>
      </c>
      <c r="AB1592">
        <v>2.37</v>
      </c>
      <c r="AC1592" t="s">
        <v>173</v>
      </c>
      <c r="AD1592">
        <v>30.75</v>
      </c>
      <c r="AE1592" t="s">
        <v>105</v>
      </c>
      <c r="AF1592">
        <v>2.0099999999999998</v>
      </c>
      <c r="AG1592">
        <v>0</v>
      </c>
      <c r="AH1592">
        <v>0</v>
      </c>
      <c r="AI1592" s="4">
        <v>40116</v>
      </c>
    </row>
    <row r="1593" spans="1:35">
      <c r="A1593">
        <v>1592</v>
      </c>
      <c r="B1593" t="str">
        <f>"002926"</f>
        <v>002926</v>
      </c>
      <c r="C1593" t="s">
        <v>8676</v>
      </c>
      <c r="D1593" s="4">
        <v>43190</v>
      </c>
      <c r="E1593" t="s">
        <v>2515</v>
      </c>
      <c r="F1593" t="s">
        <v>1565</v>
      </c>
      <c r="G1593">
        <v>1496</v>
      </c>
      <c r="H1593">
        <v>0.11</v>
      </c>
      <c r="I1593">
        <v>6.82</v>
      </c>
      <c r="J1593">
        <v>1.67</v>
      </c>
      <c r="K1593" t="s">
        <v>3293</v>
      </c>
      <c r="L1593">
        <v>-2.76</v>
      </c>
      <c r="M1593" t="s">
        <v>1324</v>
      </c>
      <c r="N1593" t="s">
        <v>676</v>
      </c>
      <c r="O1593" t="s">
        <v>137</v>
      </c>
      <c r="P1593" t="s">
        <v>1184</v>
      </c>
      <c r="Q1593">
        <v>-17.72</v>
      </c>
      <c r="R1593" t="s">
        <v>524</v>
      </c>
      <c r="S1593">
        <v>1.64</v>
      </c>
      <c r="T1593">
        <v>0</v>
      </c>
      <c r="U1593" t="s">
        <v>8677</v>
      </c>
      <c r="V1593">
        <v>0</v>
      </c>
      <c r="W1593" t="s">
        <v>1378</v>
      </c>
      <c r="X1593">
        <v>1.67</v>
      </c>
      <c r="Y1593" t="s">
        <v>1106</v>
      </c>
      <c r="Z1593">
        <v>0</v>
      </c>
      <c r="AA1593">
        <v>0</v>
      </c>
      <c r="AB1593">
        <v>1.44</v>
      </c>
      <c r="AC1593" t="s">
        <v>2491</v>
      </c>
      <c r="AD1593">
        <v>30.85</v>
      </c>
      <c r="AE1593" t="s">
        <v>2708</v>
      </c>
      <c r="AF1593">
        <v>3.09</v>
      </c>
      <c r="AG1593">
        <v>0</v>
      </c>
      <c r="AH1593">
        <v>0</v>
      </c>
      <c r="AI1593" s="4">
        <v>43136</v>
      </c>
    </row>
    <row r="1594" spans="1:35">
      <c r="A1594">
        <v>1593</v>
      </c>
      <c r="B1594" t="str">
        <f>"002273"</f>
        <v>002273</v>
      </c>
      <c r="C1594" t="s">
        <v>8678</v>
      </c>
      <c r="D1594" s="4">
        <v>43190</v>
      </c>
      <c r="E1594" t="s">
        <v>102</v>
      </c>
      <c r="F1594" t="s">
        <v>3193</v>
      </c>
      <c r="G1594" t="s">
        <v>4747</v>
      </c>
      <c r="H1594">
        <v>7.0000000000000007E-2</v>
      </c>
      <c r="I1594">
        <v>3.78</v>
      </c>
      <c r="J1594">
        <v>1.67</v>
      </c>
      <c r="K1594" t="s">
        <v>1324</v>
      </c>
      <c r="L1594">
        <v>-18.72</v>
      </c>
      <c r="M1594" t="s">
        <v>8679</v>
      </c>
      <c r="N1594" t="s">
        <v>3915</v>
      </c>
      <c r="O1594" t="s">
        <v>8438</v>
      </c>
      <c r="P1594" t="s">
        <v>4443</v>
      </c>
      <c r="Q1594">
        <v>-9.17</v>
      </c>
      <c r="R1594" t="s">
        <v>1223</v>
      </c>
      <c r="S1594">
        <v>1.19</v>
      </c>
      <c r="T1594">
        <v>26.14</v>
      </c>
      <c r="U1594" t="s">
        <v>111</v>
      </c>
      <c r="V1594" t="s">
        <v>1294</v>
      </c>
      <c r="W1594" t="s">
        <v>350</v>
      </c>
      <c r="X1594">
        <v>1.67</v>
      </c>
      <c r="Y1594" t="s">
        <v>547</v>
      </c>
      <c r="Z1594" t="s">
        <v>2563</v>
      </c>
      <c r="AA1594" t="s">
        <v>1094</v>
      </c>
      <c r="AB1594">
        <v>3.56</v>
      </c>
      <c r="AC1594" t="s">
        <v>816</v>
      </c>
      <c r="AD1594">
        <v>69.2</v>
      </c>
      <c r="AE1594" t="s">
        <v>908</v>
      </c>
      <c r="AF1594">
        <v>1.53</v>
      </c>
      <c r="AG1594">
        <v>0</v>
      </c>
      <c r="AH1594">
        <v>0</v>
      </c>
      <c r="AI1594" s="4">
        <v>39710</v>
      </c>
    </row>
    <row r="1595" spans="1:35">
      <c r="A1595">
        <v>1594</v>
      </c>
      <c r="B1595" t="str">
        <f>"002080"</f>
        <v>002080</v>
      </c>
      <c r="C1595" t="s">
        <v>8680</v>
      </c>
      <c r="D1595" s="4">
        <v>43190</v>
      </c>
      <c r="E1595" t="s">
        <v>101</v>
      </c>
      <c r="F1595" t="s">
        <v>1849</v>
      </c>
      <c r="G1595" t="s">
        <v>5347</v>
      </c>
      <c r="H1595">
        <v>0.11</v>
      </c>
      <c r="I1595">
        <v>6.8</v>
      </c>
      <c r="J1595">
        <v>1.67</v>
      </c>
      <c r="K1595" t="s">
        <v>877</v>
      </c>
      <c r="L1595">
        <v>2.57</v>
      </c>
      <c r="M1595" t="s">
        <v>200</v>
      </c>
      <c r="N1595" t="s">
        <v>8681</v>
      </c>
      <c r="O1595" t="s">
        <v>3768</v>
      </c>
      <c r="P1595" t="s">
        <v>3111</v>
      </c>
      <c r="Q1595">
        <v>8.1999999999999993</v>
      </c>
      <c r="R1595" t="s">
        <v>1449</v>
      </c>
      <c r="S1595">
        <v>1.56</v>
      </c>
      <c r="T1595">
        <v>29.17</v>
      </c>
      <c r="U1595" t="s">
        <v>1193</v>
      </c>
      <c r="V1595" t="s">
        <v>2758</v>
      </c>
      <c r="W1595" t="s">
        <v>586</v>
      </c>
      <c r="X1595">
        <v>1.67</v>
      </c>
      <c r="Y1595" t="s">
        <v>463</v>
      </c>
      <c r="Z1595" t="s">
        <v>2802</v>
      </c>
      <c r="AA1595" t="s">
        <v>940</v>
      </c>
      <c r="AB1595">
        <v>1.19</v>
      </c>
      <c r="AC1595" t="s">
        <v>1697</v>
      </c>
      <c r="AD1595">
        <v>39.43</v>
      </c>
      <c r="AE1595" t="s">
        <v>5126</v>
      </c>
      <c r="AF1595">
        <v>4.07</v>
      </c>
      <c r="AG1595">
        <v>0</v>
      </c>
      <c r="AH1595">
        <v>0</v>
      </c>
      <c r="AI1595" s="4">
        <v>39041</v>
      </c>
    </row>
    <row r="1596" spans="1:35">
      <c r="A1596">
        <v>1595</v>
      </c>
      <c r="B1596" t="str">
        <f>"300750"</f>
        <v>300750</v>
      </c>
      <c r="C1596" t="s">
        <v>8682</v>
      </c>
      <c r="D1596" s="4">
        <v>43190</v>
      </c>
      <c r="E1596" t="s">
        <v>2753</v>
      </c>
      <c r="F1596" t="s">
        <v>912</v>
      </c>
      <c r="G1596">
        <v>0</v>
      </c>
      <c r="H1596">
        <v>0.19</v>
      </c>
      <c r="I1596">
        <v>14.03</v>
      </c>
      <c r="J1596">
        <v>1.66</v>
      </c>
      <c r="K1596" t="s">
        <v>2725</v>
      </c>
      <c r="L1596">
        <v>155.19999999999999</v>
      </c>
      <c r="M1596" t="s">
        <v>858</v>
      </c>
      <c r="N1596" t="s">
        <v>4869</v>
      </c>
      <c r="O1596" t="s">
        <v>2922</v>
      </c>
      <c r="P1596" t="s">
        <v>2608</v>
      </c>
      <c r="Q1596">
        <v>3636.53</v>
      </c>
      <c r="R1596" t="s">
        <v>5269</v>
      </c>
      <c r="S1596">
        <v>3.18</v>
      </c>
      <c r="T1596">
        <v>32.76</v>
      </c>
      <c r="U1596" t="s">
        <v>8683</v>
      </c>
      <c r="V1596" t="s">
        <v>3213</v>
      </c>
      <c r="W1596" t="s">
        <v>3775</v>
      </c>
      <c r="X1596">
        <v>1.66</v>
      </c>
      <c r="Y1596" t="s">
        <v>2599</v>
      </c>
      <c r="Z1596" t="s">
        <v>1741</v>
      </c>
      <c r="AA1596" t="s">
        <v>5646</v>
      </c>
      <c r="AB1596">
        <v>4.1500000000000004</v>
      </c>
      <c r="AC1596" t="s">
        <v>1782</v>
      </c>
      <c r="AD1596">
        <v>52.56</v>
      </c>
      <c r="AE1596" t="s">
        <v>764</v>
      </c>
      <c r="AF1596">
        <v>9.44</v>
      </c>
      <c r="AG1596">
        <v>0</v>
      </c>
      <c r="AH1596">
        <v>0</v>
      </c>
      <c r="AI1596" s="4">
        <v>43262</v>
      </c>
    </row>
    <row r="1597" spans="1:35">
      <c r="A1597">
        <v>1596</v>
      </c>
      <c r="B1597" t="str">
        <f>"300196"</f>
        <v>300196</v>
      </c>
      <c r="C1597" t="s">
        <v>8684</v>
      </c>
      <c r="D1597" s="4">
        <v>43190</v>
      </c>
      <c r="E1597" t="s">
        <v>806</v>
      </c>
      <c r="F1597" t="s">
        <v>492</v>
      </c>
      <c r="G1597" t="s">
        <v>3854</v>
      </c>
      <c r="H1597">
        <v>0.09</v>
      </c>
      <c r="I1597">
        <v>5.59</v>
      </c>
      <c r="J1597">
        <v>1.66</v>
      </c>
      <c r="K1597" t="s">
        <v>545</v>
      </c>
      <c r="L1597">
        <v>9.4</v>
      </c>
      <c r="M1597" t="s">
        <v>8685</v>
      </c>
      <c r="N1597" t="s">
        <v>8686</v>
      </c>
      <c r="O1597" t="s">
        <v>4123</v>
      </c>
      <c r="P1597" t="s">
        <v>8687</v>
      </c>
      <c r="Q1597">
        <v>-33.04</v>
      </c>
      <c r="R1597" t="s">
        <v>960</v>
      </c>
      <c r="S1597">
        <v>2.14</v>
      </c>
      <c r="T1597">
        <v>27.06</v>
      </c>
      <c r="U1597" t="s">
        <v>1380</v>
      </c>
      <c r="V1597" t="s">
        <v>547</v>
      </c>
      <c r="W1597" t="s">
        <v>295</v>
      </c>
      <c r="X1597">
        <v>1.66</v>
      </c>
      <c r="Y1597" t="s">
        <v>487</v>
      </c>
      <c r="Z1597" t="s">
        <v>1761</v>
      </c>
      <c r="AA1597" t="s">
        <v>6635</v>
      </c>
      <c r="AB1597">
        <v>1.74</v>
      </c>
      <c r="AC1597" t="s">
        <v>1213</v>
      </c>
      <c r="AD1597">
        <v>76.84</v>
      </c>
      <c r="AE1597" t="s">
        <v>3124</v>
      </c>
      <c r="AF1597">
        <v>2.29</v>
      </c>
      <c r="AG1597">
        <v>0</v>
      </c>
      <c r="AH1597">
        <v>0</v>
      </c>
      <c r="AI1597" s="4">
        <v>40631</v>
      </c>
    </row>
    <row r="1598" spans="1:35">
      <c r="A1598">
        <v>1597</v>
      </c>
      <c r="B1598" t="str">
        <f>"300100"</f>
        <v>300100</v>
      </c>
      <c r="C1598" t="s">
        <v>8688</v>
      </c>
      <c r="D1598" s="4">
        <v>43190</v>
      </c>
      <c r="E1598" t="s">
        <v>241</v>
      </c>
      <c r="F1598" t="s">
        <v>501</v>
      </c>
      <c r="G1598" t="s">
        <v>2589</v>
      </c>
      <c r="H1598">
        <v>0.11</v>
      </c>
      <c r="I1598">
        <v>6.99</v>
      </c>
      <c r="J1598">
        <v>1.66</v>
      </c>
      <c r="K1598" t="s">
        <v>521</v>
      </c>
      <c r="L1598">
        <v>15.67</v>
      </c>
      <c r="M1598" t="s">
        <v>4363</v>
      </c>
      <c r="N1598" t="s">
        <v>8689</v>
      </c>
      <c r="O1598" t="s">
        <v>8690</v>
      </c>
      <c r="P1598" t="s">
        <v>1559</v>
      </c>
      <c r="Q1598">
        <v>-48.82</v>
      </c>
      <c r="R1598" t="s">
        <v>147</v>
      </c>
      <c r="S1598">
        <v>2.79</v>
      </c>
      <c r="T1598">
        <v>20.32</v>
      </c>
      <c r="U1598" t="s">
        <v>4672</v>
      </c>
      <c r="V1598" t="s">
        <v>2339</v>
      </c>
      <c r="W1598" t="s">
        <v>162</v>
      </c>
      <c r="X1598">
        <v>1.66</v>
      </c>
      <c r="Y1598" t="s">
        <v>3562</v>
      </c>
      <c r="Z1598" t="s">
        <v>1345</v>
      </c>
      <c r="AA1598" t="s">
        <v>4176</v>
      </c>
      <c r="AB1598">
        <v>1.48</v>
      </c>
      <c r="AC1598" t="s">
        <v>700</v>
      </c>
      <c r="AD1598">
        <v>42.97</v>
      </c>
      <c r="AE1598" t="s">
        <v>295</v>
      </c>
      <c r="AF1598">
        <v>2.66</v>
      </c>
      <c r="AG1598">
        <v>0</v>
      </c>
      <c r="AH1598">
        <v>0</v>
      </c>
      <c r="AI1598" s="4">
        <v>40396</v>
      </c>
    </row>
    <row r="1599" spans="1:35">
      <c r="A1599">
        <v>1598</v>
      </c>
      <c r="B1599" t="str">
        <f>"002554"</f>
        <v>002554</v>
      </c>
      <c r="C1599" t="s">
        <v>8691</v>
      </c>
      <c r="D1599" s="4">
        <v>43190</v>
      </c>
      <c r="E1599" t="s">
        <v>295</v>
      </c>
      <c r="F1599" t="s">
        <v>2443</v>
      </c>
      <c r="G1599" t="s">
        <v>2985</v>
      </c>
      <c r="H1599">
        <v>0.03</v>
      </c>
      <c r="I1599">
        <v>2.0099999999999998</v>
      </c>
      <c r="J1599">
        <v>1.66</v>
      </c>
      <c r="K1599" t="s">
        <v>1074</v>
      </c>
      <c r="L1599">
        <v>-25.78</v>
      </c>
      <c r="M1599" t="s">
        <v>8692</v>
      </c>
      <c r="N1599" t="s">
        <v>8693</v>
      </c>
      <c r="O1599" t="s">
        <v>8694</v>
      </c>
      <c r="P1599" t="s">
        <v>3049</v>
      </c>
      <c r="Q1599">
        <v>-30.02</v>
      </c>
      <c r="R1599" t="s">
        <v>2921</v>
      </c>
      <c r="S1599">
        <v>0.61</v>
      </c>
      <c r="T1599">
        <v>27.98</v>
      </c>
      <c r="U1599" t="s">
        <v>1231</v>
      </c>
      <c r="V1599" t="s">
        <v>981</v>
      </c>
      <c r="W1599" t="s">
        <v>4613</v>
      </c>
      <c r="X1599">
        <v>1.66</v>
      </c>
      <c r="Y1599" t="s">
        <v>706</v>
      </c>
      <c r="Z1599" t="s">
        <v>891</v>
      </c>
      <c r="AA1599" t="s">
        <v>105</v>
      </c>
      <c r="AB1599">
        <v>1.42</v>
      </c>
      <c r="AC1599" t="s">
        <v>449</v>
      </c>
      <c r="AD1599">
        <v>46.19</v>
      </c>
      <c r="AE1599" t="s">
        <v>2681</v>
      </c>
      <c r="AF1599">
        <v>0.48</v>
      </c>
      <c r="AG1599">
        <v>0</v>
      </c>
      <c r="AH1599">
        <v>0</v>
      </c>
      <c r="AI1599" s="4">
        <v>40599</v>
      </c>
    </row>
    <row r="1600" spans="1:35">
      <c r="A1600">
        <v>1599</v>
      </c>
      <c r="B1600" t="str">
        <f>"002529"</f>
        <v>002529</v>
      </c>
      <c r="C1600" t="s">
        <v>8695</v>
      </c>
      <c r="D1600" s="4">
        <v>43190</v>
      </c>
      <c r="E1600" t="s">
        <v>1049</v>
      </c>
      <c r="F1600" t="s">
        <v>293</v>
      </c>
      <c r="G1600" t="s">
        <v>4747</v>
      </c>
      <c r="H1600">
        <v>0.1</v>
      </c>
      <c r="I1600">
        <v>6.13</v>
      </c>
      <c r="J1600">
        <v>1.66</v>
      </c>
      <c r="K1600" t="s">
        <v>8696</v>
      </c>
      <c r="L1600">
        <v>0.38</v>
      </c>
      <c r="M1600" t="s">
        <v>8697</v>
      </c>
      <c r="N1600" t="s">
        <v>8698</v>
      </c>
      <c r="O1600" t="s">
        <v>4654</v>
      </c>
      <c r="P1600" t="s">
        <v>8699</v>
      </c>
      <c r="Q1600">
        <v>166.24</v>
      </c>
      <c r="R1600" t="s">
        <v>1038</v>
      </c>
      <c r="S1600">
        <v>0.5</v>
      </c>
      <c r="T1600">
        <v>32.43</v>
      </c>
      <c r="U1600" t="s">
        <v>1000</v>
      </c>
      <c r="V1600" t="s">
        <v>6052</v>
      </c>
      <c r="W1600" t="s">
        <v>2468</v>
      </c>
      <c r="X1600">
        <v>1.66</v>
      </c>
      <c r="Y1600" t="s">
        <v>623</v>
      </c>
      <c r="Z1600" t="s">
        <v>296</v>
      </c>
      <c r="AA1600" t="s">
        <v>600</v>
      </c>
      <c r="AB1600">
        <v>2.56</v>
      </c>
      <c r="AC1600" t="s">
        <v>983</v>
      </c>
      <c r="AD1600">
        <v>79.56</v>
      </c>
      <c r="AE1600" t="s">
        <v>613</v>
      </c>
      <c r="AF1600">
        <v>4.47</v>
      </c>
      <c r="AG1600">
        <v>0</v>
      </c>
      <c r="AH1600">
        <v>0</v>
      </c>
      <c r="AI1600" s="4">
        <v>40536</v>
      </c>
    </row>
    <row r="1601" spans="1:35">
      <c r="A1601">
        <v>1600</v>
      </c>
      <c r="B1601" t="str">
        <f>"000032"</f>
        <v>000032</v>
      </c>
      <c r="C1601" t="s">
        <v>8700</v>
      </c>
      <c r="D1601" s="4">
        <v>43190</v>
      </c>
      <c r="E1601" t="s">
        <v>662</v>
      </c>
      <c r="F1601" t="s">
        <v>234</v>
      </c>
      <c r="G1601" t="s">
        <v>2449</v>
      </c>
      <c r="H1601">
        <v>0.06</v>
      </c>
      <c r="I1601">
        <v>3.04</v>
      </c>
      <c r="J1601">
        <v>1.66</v>
      </c>
      <c r="K1601" t="s">
        <v>156</v>
      </c>
      <c r="L1601">
        <v>17.8</v>
      </c>
      <c r="M1601" t="s">
        <v>8701</v>
      </c>
      <c r="N1601" t="s">
        <v>596</v>
      </c>
      <c r="O1601" t="s">
        <v>8702</v>
      </c>
      <c r="P1601" t="s">
        <v>8703</v>
      </c>
      <c r="Q1601">
        <v>105.38</v>
      </c>
      <c r="R1601" t="s">
        <v>872</v>
      </c>
      <c r="S1601">
        <v>1.36</v>
      </c>
      <c r="T1601">
        <v>20.170000000000002</v>
      </c>
      <c r="U1601" t="s">
        <v>876</v>
      </c>
      <c r="V1601" t="s">
        <v>983</v>
      </c>
      <c r="W1601" t="s">
        <v>8704</v>
      </c>
      <c r="X1601">
        <v>1.66</v>
      </c>
      <c r="Y1601" t="s">
        <v>1521</v>
      </c>
      <c r="Z1601" t="s">
        <v>2295</v>
      </c>
      <c r="AA1601" t="s">
        <v>8705</v>
      </c>
      <c r="AB1601">
        <v>2.5</v>
      </c>
      <c r="AC1601" t="s">
        <v>926</v>
      </c>
      <c r="AD1601">
        <v>61.1</v>
      </c>
      <c r="AE1601" t="s">
        <v>8706</v>
      </c>
      <c r="AF1601">
        <v>0.08</v>
      </c>
      <c r="AG1601">
        <v>0</v>
      </c>
      <c r="AH1601">
        <v>0</v>
      </c>
      <c r="AI1601" s="4">
        <v>34270</v>
      </c>
    </row>
    <row r="1602" spans="1:35">
      <c r="A1602">
        <v>1601</v>
      </c>
      <c r="B1602" t="str">
        <f>"000025"</f>
        <v>000025</v>
      </c>
      <c r="C1602" t="s">
        <v>8707</v>
      </c>
      <c r="D1602" s="4">
        <v>43190</v>
      </c>
      <c r="E1602" t="s">
        <v>2132</v>
      </c>
      <c r="F1602" t="s">
        <v>798</v>
      </c>
      <c r="G1602">
        <v>0</v>
      </c>
      <c r="H1602">
        <v>0.05</v>
      </c>
      <c r="I1602">
        <v>3.29</v>
      </c>
      <c r="J1602">
        <v>1.66</v>
      </c>
      <c r="K1602" t="s">
        <v>8708</v>
      </c>
      <c r="L1602">
        <v>13.5</v>
      </c>
      <c r="M1602" t="s">
        <v>8709</v>
      </c>
      <c r="N1602" t="s">
        <v>4788</v>
      </c>
      <c r="O1602" t="s">
        <v>2657</v>
      </c>
      <c r="P1602" t="s">
        <v>8710</v>
      </c>
      <c r="Q1602">
        <v>258.20999999999998</v>
      </c>
      <c r="R1602" t="s">
        <v>256</v>
      </c>
      <c r="S1602">
        <v>0.38</v>
      </c>
      <c r="T1602">
        <v>20.63</v>
      </c>
      <c r="U1602" t="s">
        <v>1384</v>
      </c>
      <c r="V1602" t="s">
        <v>4185</v>
      </c>
      <c r="W1602" t="s">
        <v>1626</v>
      </c>
      <c r="X1602">
        <v>1.66</v>
      </c>
      <c r="Y1602" t="s">
        <v>1939</v>
      </c>
      <c r="Z1602" t="s">
        <v>1074</v>
      </c>
      <c r="AA1602" t="s">
        <v>8711</v>
      </c>
      <c r="AB1602">
        <v>9.6</v>
      </c>
      <c r="AC1602" t="s">
        <v>721</v>
      </c>
      <c r="AD1602">
        <v>69.59</v>
      </c>
      <c r="AE1602" t="s">
        <v>106</v>
      </c>
      <c r="AF1602">
        <v>1.9</v>
      </c>
      <c r="AG1602" t="s">
        <v>6396</v>
      </c>
      <c r="AH1602">
        <v>0</v>
      </c>
      <c r="AI1602" s="4">
        <v>34141</v>
      </c>
    </row>
    <row r="1603" spans="1:35">
      <c r="A1603">
        <v>1602</v>
      </c>
      <c r="B1603" t="str">
        <f>"603615"</f>
        <v>603615</v>
      </c>
      <c r="C1603" t="s">
        <v>8712</v>
      </c>
      <c r="D1603" s="4">
        <v>43190</v>
      </c>
      <c r="E1603" t="s">
        <v>94</v>
      </c>
      <c r="F1603" t="s">
        <v>8713</v>
      </c>
      <c r="G1603">
        <v>3092</v>
      </c>
      <c r="H1603">
        <v>0.09</v>
      </c>
      <c r="I1603">
        <v>5.42</v>
      </c>
      <c r="J1603">
        <v>1.65</v>
      </c>
      <c r="K1603" t="s">
        <v>2123</v>
      </c>
      <c r="L1603">
        <v>7.06</v>
      </c>
      <c r="M1603" t="s">
        <v>7142</v>
      </c>
      <c r="N1603">
        <v>0</v>
      </c>
      <c r="O1603" t="s">
        <v>8714</v>
      </c>
      <c r="P1603" t="s">
        <v>8175</v>
      </c>
      <c r="Q1603">
        <v>-15.25</v>
      </c>
      <c r="R1603" t="s">
        <v>2608</v>
      </c>
      <c r="S1603">
        <v>1.47</v>
      </c>
      <c r="T1603">
        <v>29.04</v>
      </c>
      <c r="U1603" t="s">
        <v>161</v>
      </c>
      <c r="V1603" t="s">
        <v>1496</v>
      </c>
      <c r="W1603" t="s">
        <v>499</v>
      </c>
      <c r="X1603">
        <v>1.65</v>
      </c>
      <c r="Y1603" t="s">
        <v>8715</v>
      </c>
      <c r="Z1603" t="s">
        <v>8716</v>
      </c>
      <c r="AA1603" t="s">
        <v>7045</v>
      </c>
      <c r="AB1603">
        <v>2.2000000000000002</v>
      </c>
      <c r="AC1603" t="s">
        <v>350</v>
      </c>
      <c r="AD1603">
        <v>94.77</v>
      </c>
      <c r="AE1603" t="s">
        <v>563</v>
      </c>
      <c r="AF1603">
        <v>2.79</v>
      </c>
      <c r="AG1603">
        <v>0</v>
      </c>
      <c r="AH1603">
        <v>0</v>
      </c>
      <c r="AI1603" s="4">
        <v>42779</v>
      </c>
    </row>
    <row r="1604" spans="1:35">
      <c r="A1604">
        <v>1603</v>
      </c>
      <c r="B1604" t="str">
        <f>"601108"</f>
        <v>601108</v>
      </c>
      <c r="C1604" t="s">
        <v>8717</v>
      </c>
      <c r="D1604" s="4">
        <v>43190</v>
      </c>
      <c r="E1604" t="s">
        <v>1593</v>
      </c>
      <c r="F1604" t="s">
        <v>1359</v>
      </c>
      <c r="G1604">
        <v>2955</v>
      </c>
      <c r="H1604">
        <v>0.1</v>
      </c>
      <c r="I1604">
        <v>5.69</v>
      </c>
      <c r="J1604">
        <v>1.65</v>
      </c>
      <c r="K1604" t="s">
        <v>903</v>
      </c>
      <c r="L1604">
        <v>-5.68</v>
      </c>
      <c r="M1604" t="s">
        <v>1235</v>
      </c>
      <c r="N1604" t="s">
        <v>2581</v>
      </c>
      <c r="O1604" t="s">
        <v>1235</v>
      </c>
      <c r="P1604" t="s">
        <v>1359</v>
      </c>
      <c r="Q1604">
        <v>-6.66</v>
      </c>
      <c r="R1604" t="s">
        <v>1776</v>
      </c>
      <c r="S1604">
        <v>1.51</v>
      </c>
      <c r="T1604">
        <v>0</v>
      </c>
      <c r="U1604" t="s">
        <v>4206</v>
      </c>
      <c r="V1604">
        <v>0</v>
      </c>
      <c r="W1604" t="s">
        <v>7666</v>
      </c>
      <c r="X1604">
        <v>1.65</v>
      </c>
      <c r="Y1604" t="s">
        <v>7613</v>
      </c>
      <c r="Z1604">
        <v>0</v>
      </c>
      <c r="AA1604">
        <v>0</v>
      </c>
      <c r="AB1604">
        <v>2.04</v>
      </c>
      <c r="AC1604" t="s">
        <v>2617</v>
      </c>
      <c r="AD1604">
        <v>36.119999999999997</v>
      </c>
      <c r="AE1604" t="s">
        <v>4888</v>
      </c>
      <c r="AF1604">
        <v>2.2999999999999998</v>
      </c>
      <c r="AG1604">
        <v>0</v>
      </c>
      <c r="AH1604">
        <v>0</v>
      </c>
      <c r="AI1604" s="4">
        <v>43032</v>
      </c>
    </row>
    <row r="1605" spans="1:35">
      <c r="A1605">
        <v>1604</v>
      </c>
      <c r="B1605" t="str">
        <f>"600833"</f>
        <v>600833</v>
      </c>
      <c r="C1605" t="s">
        <v>8718</v>
      </c>
      <c r="D1605" s="4">
        <v>43190</v>
      </c>
      <c r="E1605" t="s">
        <v>1435</v>
      </c>
      <c r="F1605" t="s">
        <v>1435</v>
      </c>
      <c r="G1605">
        <v>8435</v>
      </c>
      <c r="H1605">
        <v>0.05</v>
      </c>
      <c r="I1605">
        <v>3.1</v>
      </c>
      <c r="J1605">
        <v>1.65</v>
      </c>
      <c r="K1605" t="s">
        <v>121</v>
      </c>
      <c r="L1605">
        <v>-27.79</v>
      </c>
      <c r="M1605" t="s">
        <v>529</v>
      </c>
      <c r="N1605">
        <v>0</v>
      </c>
      <c r="O1605" t="s">
        <v>8719</v>
      </c>
      <c r="P1605" t="s">
        <v>8720</v>
      </c>
      <c r="Q1605">
        <v>-17.920000000000002</v>
      </c>
      <c r="R1605" t="s">
        <v>2769</v>
      </c>
      <c r="S1605">
        <v>0.84</v>
      </c>
      <c r="T1605">
        <v>18.93</v>
      </c>
      <c r="U1605" t="s">
        <v>323</v>
      </c>
      <c r="V1605" t="s">
        <v>1392</v>
      </c>
      <c r="W1605" t="s">
        <v>8721</v>
      </c>
      <c r="X1605">
        <v>1.65</v>
      </c>
      <c r="Y1605" t="s">
        <v>2608</v>
      </c>
      <c r="Z1605" t="s">
        <v>143</v>
      </c>
      <c r="AA1605" t="s">
        <v>8722</v>
      </c>
      <c r="AB1605">
        <v>3.25</v>
      </c>
      <c r="AC1605" t="s">
        <v>741</v>
      </c>
      <c r="AD1605">
        <v>62.22</v>
      </c>
      <c r="AE1605" t="s">
        <v>8723</v>
      </c>
      <c r="AF1605">
        <v>0.28999999999999998</v>
      </c>
      <c r="AG1605">
        <v>0</v>
      </c>
      <c r="AH1605">
        <v>0</v>
      </c>
      <c r="AI1605" s="4">
        <v>34389</v>
      </c>
    </row>
    <row r="1606" spans="1:35">
      <c r="A1606">
        <v>1605</v>
      </c>
      <c r="B1606" t="str">
        <f>"600658"</f>
        <v>600658</v>
      </c>
      <c r="C1606" t="s">
        <v>8724</v>
      </c>
      <c r="D1606" s="4">
        <v>43190</v>
      </c>
      <c r="E1606" t="s">
        <v>147</v>
      </c>
      <c r="F1606" t="s">
        <v>147</v>
      </c>
      <c r="G1606" t="s">
        <v>8448</v>
      </c>
      <c r="H1606">
        <v>0.09</v>
      </c>
      <c r="I1606">
        <v>5.63</v>
      </c>
      <c r="J1606">
        <v>1.65</v>
      </c>
      <c r="K1606" t="s">
        <v>623</v>
      </c>
      <c r="L1606">
        <v>229.53</v>
      </c>
      <c r="M1606" t="s">
        <v>282</v>
      </c>
      <c r="N1606" t="s">
        <v>8725</v>
      </c>
      <c r="O1606" t="s">
        <v>282</v>
      </c>
      <c r="P1606" t="s">
        <v>1475</v>
      </c>
      <c r="Q1606">
        <v>438.89</v>
      </c>
      <c r="R1606" t="s">
        <v>451</v>
      </c>
      <c r="S1606">
        <v>2.21</v>
      </c>
      <c r="T1606">
        <v>62.69</v>
      </c>
      <c r="U1606" t="s">
        <v>399</v>
      </c>
      <c r="V1606" t="s">
        <v>1656</v>
      </c>
      <c r="W1606" t="s">
        <v>2360</v>
      </c>
      <c r="X1606">
        <v>1.65</v>
      </c>
      <c r="Y1606" t="s">
        <v>1338</v>
      </c>
      <c r="Z1606" t="s">
        <v>2057</v>
      </c>
      <c r="AA1606" t="s">
        <v>1693</v>
      </c>
      <c r="AB1606">
        <v>0.93</v>
      </c>
      <c r="AC1606" t="s">
        <v>5786</v>
      </c>
      <c r="AD1606">
        <v>54.09</v>
      </c>
      <c r="AE1606" t="s">
        <v>1313</v>
      </c>
      <c r="AF1606">
        <v>2.5099999999999998</v>
      </c>
      <c r="AG1606">
        <v>0</v>
      </c>
      <c r="AH1606">
        <v>0</v>
      </c>
      <c r="AI1606" s="4">
        <v>34113</v>
      </c>
    </row>
    <row r="1607" spans="1:35">
      <c r="A1607">
        <v>1606</v>
      </c>
      <c r="B1607" t="str">
        <f>"300650"</f>
        <v>300650</v>
      </c>
      <c r="C1607" t="s">
        <v>8726</v>
      </c>
      <c r="D1607" s="4">
        <v>43190</v>
      </c>
      <c r="E1607" t="s">
        <v>1459</v>
      </c>
      <c r="F1607" t="s">
        <v>8727</v>
      </c>
      <c r="G1607">
        <v>1720</v>
      </c>
      <c r="H1607">
        <v>7.0000000000000007E-2</v>
      </c>
      <c r="I1607">
        <v>4.29</v>
      </c>
      <c r="J1607">
        <v>1.65</v>
      </c>
      <c r="K1607" t="s">
        <v>8728</v>
      </c>
      <c r="L1607">
        <v>37.590000000000003</v>
      </c>
      <c r="M1607" t="s">
        <v>8729</v>
      </c>
      <c r="N1607" t="s">
        <v>5984</v>
      </c>
      <c r="O1607" t="s">
        <v>8730</v>
      </c>
      <c r="P1607" t="s">
        <v>8622</v>
      </c>
      <c r="Q1607">
        <v>97.02</v>
      </c>
      <c r="R1607" t="s">
        <v>345</v>
      </c>
      <c r="S1607">
        <v>1.52</v>
      </c>
      <c r="T1607">
        <v>35.67</v>
      </c>
      <c r="U1607" t="s">
        <v>1491</v>
      </c>
      <c r="V1607" t="s">
        <v>1721</v>
      </c>
      <c r="W1607" t="s">
        <v>8731</v>
      </c>
      <c r="X1607">
        <v>1.65</v>
      </c>
      <c r="Y1607" t="s">
        <v>2424</v>
      </c>
      <c r="Z1607" t="s">
        <v>1361</v>
      </c>
      <c r="AA1607" t="s">
        <v>3840</v>
      </c>
      <c r="AB1607">
        <v>3.66</v>
      </c>
      <c r="AC1607" t="s">
        <v>2685</v>
      </c>
      <c r="AD1607">
        <v>75.34</v>
      </c>
      <c r="AE1607" t="s">
        <v>1287</v>
      </c>
      <c r="AF1607">
        <v>1.6</v>
      </c>
      <c r="AG1607">
        <v>0</v>
      </c>
      <c r="AH1607">
        <v>0</v>
      </c>
      <c r="AI1607" s="4">
        <v>42858</v>
      </c>
    </row>
    <row r="1608" spans="1:35">
      <c r="A1608">
        <v>1607</v>
      </c>
      <c r="B1608" t="str">
        <f>"300304"</f>
        <v>300304</v>
      </c>
      <c r="C1608" t="s">
        <v>8732</v>
      </c>
      <c r="D1608" s="4">
        <v>43190</v>
      </c>
      <c r="E1608" t="s">
        <v>7960</v>
      </c>
      <c r="F1608" t="s">
        <v>1375</v>
      </c>
      <c r="G1608" t="s">
        <v>2531</v>
      </c>
      <c r="H1608">
        <v>0.03</v>
      </c>
      <c r="I1608">
        <v>1.98</v>
      </c>
      <c r="J1608">
        <v>1.65</v>
      </c>
      <c r="K1608" t="s">
        <v>610</v>
      </c>
      <c r="L1608">
        <v>-6.29</v>
      </c>
      <c r="M1608" t="s">
        <v>8733</v>
      </c>
      <c r="N1608" t="s">
        <v>8020</v>
      </c>
      <c r="O1608" t="s">
        <v>8734</v>
      </c>
      <c r="P1608" t="s">
        <v>3915</v>
      </c>
      <c r="Q1608">
        <v>-17.52</v>
      </c>
      <c r="R1608" t="s">
        <v>2685</v>
      </c>
      <c r="S1608">
        <v>0.52</v>
      </c>
      <c r="T1608">
        <v>34.92</v>
      </c>
      <c r="U1608" t="s">
        <v>159</v>
      </c>
      <c r="V1608" t="s">
        <v>971</v>
      </c>
      <c r="W1608" t="s">
        <v>1645</v>
      </c>
      <c r="X1608">
        <v>1.65</v>
      </c>
      <c r="Y1608" t="s">
        <v>2889</v>
      </c>
      <c r="Z1608" t="s">
        <v>1011</v>
      </c>
      <c r="AA1608" t="s">
        <v>8735</v>
      </c>
      <c r="AB1608">
        <v>2.0499999999999998</v>
      </c>
      <c r="AC1608" t="s">
        <v>1343</v>
      </c>
      <c r="AD1608">
        <v>83.75</v>
      </c>
      <c r="AE1608" t="s">
        <v>137</v>
      </c>
      <c r="AF1608">
        <v>0.43</v>
      </c>
      <c r="AG1608">
        <v>0</v>
      </c>
      <c r="AH1608">
        <v>0</v>
      </c>
      <c r="AI1608" s="4">
        <v>40989</v>
      </c>
    </row>
    <row r="1609" spans="1:35">
      <c r="A1609">
        <v>1608</v>
      </c>
      <c r="B1609" t="str">
        <f>"300302"</f>
        <v>300302</v>
      </c>
      <c r="C1609" t="s">
        <v>8736</v>
      </c>
      <c r="D1609" s="4">
        <v>43190</v>
      </c>
      <c r="E1609" t="s">
        <v>202</v>
      </c>
      <c r="F1609" t="s">
        <v>203</v>
      </c>
      <c r="G1609">
        <v>7970</v>
      </c>
      <c r="H1609">
        <v>0.03</v>
      </c>
      <c r="I1609">
        <v>1.83</v>
      </c>
      <c r="J1609">
        <v>1.65</v>
      </c>
      <c r="K1609" t="s">
        <v>355</v>
      </c>
      <c r="L1609">
        <v>62.96</v>
      </c>
      <c r="M1609" t="s">
        <v>8737</v>
      </c>
      <c r="N1609" t="s">
        <v>8738</v>
      </c>
      <c r="O1609" t="s">
        <v>5141</v>
      </c>
      <c r="P1609" t="s">
        <v>8739</v>
      </c>
      <c r="Q1609">
        <v>8.24</v>
      </c>
      <c r="R1609" t="s">
        <v>81</v>
      </c>
      <c r="S1609">
        <v>0.61</v>
      </c>
      <c r="T1609">
        <v>29.4</v>
      </c>
      <c r="U1609" t="s">
        <v>3546</v>
      </c>
      <c r="V1609" t="s">
        <v>2222</v>
      </c>
      <c r="W1609" t="s">
        <v>8740</v>
      </c>
      <c r="X1609">
        <v>1.65</v>
      </c>
      <c r="Y1609" t="s">
        <v>197</v>
      </c>
      <c r="Z1609" t="s">
        <v>8741</v>
      </c>
      <c r="AA1609" t="s">
        <v>8742</v>
      </c>
      <c r="AB1609">
        <v>4.96</v>
      </c>
      <c r="AC1609" t="s">
        <v>805</v>
      </c>
      <c r="AD1609">
        <v>88.33</v>
      </c>
      <c r="AE1609" t="s">
        <v>4104</v>
      </c>
      <c r="AF1609">
        <v>0.21</v>
      </c>
      <c r="AG1609">
        <v>0</v>
      </c>
      <c r="AH1609">
        <v>0</v>
      </c>
      <c r="AI1609" s="4">
        <v>40989</v>
      </c>
    </row>
    <row r="1610" spans="1:35">
      <c r="A1610">
        <v>1609</v>
      </c>
      <c r="B1610" t="str">
        <f>"002526"</f>
        <v>002526</v>
      </c>
      <c r="C1610" t="s">
        <v>8743</v>
      </c>
      <c r="D1610" s="4">
        <v>43190</v>
      </c>
      <c r="E1610" t="s">
        <v>407</v>
      </c>
      <c r="F1610" t="s">
        <v>2233</v>
      </c>
      <c r="G1610" t="s">
        <v>2531</v>
      </c>
      <c r="H1610">
        <v>0.04</v>
      </c>
      <c r="I1610">
        <v>2.21</v>
      </c>
      <c r="J1610">
        <v>1.65</v>
      </c>
      <c r="K1610" t="s">
        <v>349</v>
      </c>
      <c r="L1610">
        <v>75.040000000000006</v>
      </c>
      <c r="M1610" t="s">
        <v>8744</v>
      </c>
      <c r="N1610" t="s">
        <v>8745</v>
      </c>
      <c r="O1610" t="s">
        <v>331</v>
      </c>
      <c r="P1610" t="s">
        <v>8746</v>
      </c>
      <c r="Q1610">
        <v>691.55</v>
      </c>
      <c r="R1610" t="s">
        <v>804</v>
      </c>
      <c r="S1610">
        <v>0.1</v>
      </c>
      <c r="T1610">
        <v>24.3</v>
      </c>
      <c r="U1610" t="s">
        <v>2071</v>
      </c>
      <c r="V1610" t="s">
        <v>516</v>
      </c>
      <c r="W1610" t="s">
        <v>346</v>
      </c>
      <c r="X1610">
        <v>1.65</v>
      </c>
      <c r="Y1610" t="s">
        <v>3859</v>
      </c>
      <c r="Z1610" t="s">
        <v>3802</v>
      </c>
      <c r="AA1610" t="s">
        <v>2418</v>
      </c>
      <c r="AB1610">
        <v>1.44</v>
      </c>
      <c r="AC1610" t="s">
        <v>276</v>
      </c>
      <c r="AD1610">
        <v>74.97</v>
      </c>
      <c r="AE1610" t="s">
        <v>747</v>
      </c>
      <c r="AF1610">
        <v>1.06</v>
      </c>
      <c r="AG1610">
        <v>0</v>
      </c>
      <c r="AH1610">
        <v>0</v>
      </c>
      <c r="AI1610" s="4">
        <v>40529</v>
      </c>
    </row>
    <row r="1611" spans="1:35">
      <c r="A1611">
        <v>1610</v>
      </c>
      <c r="B1611" t="str">
        <f>"002318"</f>
        <v>002318</v>
      </c>
      <c r="C1611" t="s">
        <v>8747</v>
      </c>
      <c r="D1611" s="4">
        <v>43190</v>
      </c>
      <c r="E1611" t="s">
        <v>1462</v>
      </c>
      <c r="F1611" t="s">
        <v>1414</v>
      </c>
      <c r="G1611" t="s">
        <v>4665</v>
      </c>
      <c r="H1611">
        <v>0.06</v>
      </c>
      <c r="I1611">
        <v>3.11</v>
      </c>
      <c r="J1611">
        <v>1.65</v>
      </c>
      <c r="K1611" t="s">
        <v>1917</v>
      </c>
      <c r="L1611">
        <v>36.6</v>
      </c>
      <c r="M1611" t="s">
        <v>8748</v>
      </c>
      <c r="N1611" t="s">
        <v>4686</v>
      </c>
      <c r="O1611" t="s">
        <v>8749</v>
      </c>
      <c r="P1611" t="s">
        <v>8750</v>
      </c>
      <c r="Q1611">
        <v>98.34</v>
      </c>
      <c r="R1611" t="s">
        <v>1223</v>
      </c>
      <c r="S1611">
        <v>1.1499999999999999</v>
      </c>
      <c r="T1611">
        <v>23.11</v>
      </c>
      <c r="U1611" t="s">
        <v>4509</v>
      </c>
      <c r="V1611" t="s">
        <v>2057</v>
      </c>
      <c r="W1611" t="s">
        <v>1367</v>
      </c>
      <c r="X1611">
        <v>1.65</v>
      </c>
      <c r="Y1611" t="s">
        <v>275</v>
      </c>
      <c r="Z1611" t="s">
        <v>6610</v>
      </c>
      <c r="AA1611" t="s">
        <v>2767</v>
      </c>
      <c r="AB1611">
        <v>2.0299999999999998</v>
      </c>
      <c r="AC1611" t="s">
        <v>1242</v>
      </c>
      <c r="AD1611">
        <v>59.02</v>
      </c>
      <c r="AE1611" t="s">
        <v>563</v>
      </c>
      <c r="AF1611">
        <v>0.8</v>
      </c>
      <c r="AG1611">
        <v>0</v>
      </c>
      <c r="AH1611">
        <v>0</v>
      </c>
      <c r="AI1611" s="4">
        <v>40158</v>
      </c>
    </row>
    <row r="1612" spans="1:35">
      <c r="A1612">
        <v>1611</v>
      </c>
      <c r="B1612" t="str">
        <f>"603776"</f>
        <v>603776</v>
      </c>
      <c r="C1612" t="s">
        <v>8751</v>
      </c>
      <c r="D1612" s="4">
        <v>43190</v>
      </c>
      <c r="E1612" t="s">
        <v>595</v>
      </c>
      <c r="F1612" t="s">
        <v>8752</v>
      </c>
      <c r="G1612">
        <v>1868</v>
      </c>
      <c r="H1612">
        <v>0.2</v>
      </c>
      <c r="I1612">
        <v>11.91</v>
      </c>
      <c r="J1612">
        <v>1.64</v>
      </c>
      <c r="K1612" t="s">
        <v>1839</v>
      </c>
      <c r="L1612">
        <v>-6.88</v>
      </c>
      <c r="M1612" t="s">
        <v>8753</v>
      </c>
      <c r="N1612" t="s">
        <v>8754</v>
      </c>
      <c r="O1612" t="s">
        <v>4271</v>
      </c>
      <c r="P1612" t="s">
        <v>7871</v>
      </c>
      <c r="Q1612">
        <v>0.87</v>
      </c>
      <c r="R1612" t="s">
        <v>776</v>
      </c>
      <c r="S1612">
        <v>5.32</v>
      </c>
      <c r="T1612">
        <v>29.29</v>
      </c>
      <c r="U1612" t="s">
        <v>440</v>
      </c>
      <c r="V1612" t="s">
        <v>924</v>
      </c>
      <c r="W1612" t="s">
        <v>8755</v>
      </c>
      <c r="X1612">
        <v>1.64</v>
      </c>
      <c r="Y1612" t="s">
        <v>4404</v>
      </c>
      <c r="Z1612" t="s">
        <v>734</v>
      </c>
      <c r="AA1612" t="s">
        <v>345</v>
      </c>
      <c r="AB1612">
        <v>3.33</v>
      </c>
      <c r="AC1612" t="s">
        <v>1190</v>
      </c>
      <c r="AD1612">
        <v>69.8</v>
      </c>
      <c r="AE1612" t="s">
        <v>561</v>
      </c>
      <c r="AF1612">
        <v>5.24</v>
      </c>
      <c r="AG1612">
        <v>0</v>
      </c>
      <c r="AH1612">
        <v>0</v>
      </c>
      <c r="AI1612" s="4">
        <v>42964</v>
      </c>
    </row>
    <row r="1613" spans="1:35">
      <c r="A1613">
        <v>1612</v>
      </c>
      <c r="B1613" t="str">
        <f>"603699"</f>
        <v>603699</v>
      </c>
      <c r="C1613" t="s">
        <v>8756</v>
      </c>
      <c r="D1613" s="4">
        <v>43190</v>
      </c>
      <c r="E1613" t="s">
        <v>1590</v>
      </c>
      <c r="F1613" t="s">
        <v>1590</v>
      </c>
      <c r="G1613" t="s">
        <v>6686</v>
      </c>
      <c r="H1613">
        <v>0.06</v>
      </c>
      <c r="I1613">
        <v>3.46</v>
      </c>
      <c r="J1613">
        <v>1.64</v>
      </c>
      <c r="K1613" t="s">
        <v>1157</v>
      </c>
      <c r="L1613">
        <v>14.06</v>
      </c>
      <c r="M1613" t="s">
        <v>6589</v>
      </c>
      <c r="N1613" t="s">
        <v>8757</v>
      </c>
      <c r="O1613" t="s">
        <v>8758</v>
      </c>
      <c r="P1613" t="s">
        <v>8095</v>
      </c>
      <c r="Q1613">
        <v>-18.920000000000002</v>
      </c>
      <c r="R1613" t="s">
        <v>619</v>
      </c>
      <c r="S1613">
        <v>1.1000000000000001</v>
      </c>
      <c r="T1613">
        <v>29.8</v>
      </c>
      <c r="U1613" t="s">
        <v>2059</v>
      </c>
      <c r="V1613" t="s">
        <v>1397</v>
      </c>
      <c r="W1613" t="s">
        <v>43</v>
      </c>
      <c r="X1613">
        <v>1.64</v>
      </c>
      <c r="Y1613" t="s">
        <v>1752</v>
      </c>
      <c r="Z1613" t="s">
        <v>891</v>
      </c>
      <c r="AA1613" t="s">
        <v>8759</v>
      </c>
      <c r="AB1613">
        <v>5.36</v>
      </c>
      <c r="AC1613" t="s">
        <v>512</v>
      </c>
      <c r="AD1613">
        <v>56.78</v>
      </c>
      <c r="AE1613" t="s">
        <v>3157</v>
      </c>
      <c r="AF1613">
        <v>1.07</v>
      </c>
      <c r="AG1613">
        <v>0</v>
      </c>
      <c r="AH1613">
        <v>0</v>
      </c>
      <c r="AI1613" s="4">
        <v>41656</v>
      </c>
    </row>
    <row r="1614" spans="1:35">
      <c r="A1614">
        <v>1613</v>
      </c>
      <c r="B1614" t="str">
        <f>"600382"</f>
        <v>600382</v>
      </c>
      <c r="C1614" t="s">
        <v>8760</v>
      </c>
      <c r="D1614" s="4">
        <v>43190</v>
      </c>
      <c r="E1614" t="s">
        <v>771</v>
      </c>
      <c r="F1614" t="s">
        <v>143</v>
      </c>
      <c r="G1614" t="s">
        <v>4389</v>
      </c>
      <c r="H1614">
        <v>0.18</v>
      </c>
      <c r="I1614">
        <v>11.07</v>
      </c>
      <c r="J1614">
        <v>1.64</v>
      </c>
      <c r="K1614" t="s">
        <v>845</v>
      </c>
      <c r="L1614">
        <v>19.38</v>
      </c>
      <c r="M1614" t="s">
        <v>2360</v>
      </c>
      <c r="N1614" t="s">
        <v>4814</v>
      </c>
      <c r="O1614" t="s">
        <v>2360</v>
      </c>
      <c r="P1614" t="s">
        <v>6257</v>
      </c>
      <c r="Q1614">
        <v>30.05</v>
      </c>
      <c r="R1614" t="s">
        <v>774</v>
      </c>
      <c r="S1614">
        <v>5.43</v>
      </c>
      <c r="T1614">
        <v>85.82</v>
      </c>
      <c r="U1614" t="s">
        <v>467</v>
      </c>
      <c r="V1614" t="s">
        <v>1277</v>
      </c>
      <c r="W1614" t="s">
        <v>8761</v>
      </c>
      <c r="X1614">
        <v>1.64</v>
      </c>
      <c r="Y1614" t="s">
        <v>1033</v>
      </c>
      <c r="Z1614" t="s">
        <v>542</v>
      </c>
      <c r="AA1614" t="s">
        <v>2001</v>
      </c>
      <c r="AB1614">
        <v>0.91</v>
      </c>
      <c r="AC1614" t="s">
        <v>430</v>
      </c>
      <c r="AD1614">
        <v>76.819999999999993</v>
      </c>
      <c r="AE1614" t="s">
        <v>275</v>
      </c>
      <c r="AF1614">
        <v>4.17</v>
      </c>
      <c r="AG1614">
        <v>0</v>
      </c>
      <c r="AH1614">
        <v>0</v>
      </c>
      <c r="AI1614" s="4">
        <v>36909</v>
      </c>
    </row>
    <row r="1615" spans="1:35">
      <c r="A1615">
        <v>1614</v>
      </c>
      <c r="B1615" t="str">
        <f>"300403"</f>
        <v>300403</v>
      </c>
      <c r="C1615" t="s">
        <v>8762</v>
      </c>
      <c r="D1615" s="4">
        <v>43190</v>
      </c>
      <c r="E1615" t="s">
        <v>1168</v>
      </c>
      <c r="F1615" t="s">
        <v>3259</v>
      </c>
      <c r="G1615" t="s">
        <v>3091</v>
      </c>
      <c r="H1615">
        <v>0.04</v>
      </c>
      <c r="I1615">
        <v>2.39</v>
      </c>
      <c r="J1615">
        <v>1.64</v>
      </c>
      <c r="K1615" t="s">
        <v>1202</v>
      </c>
      <c r="L1615">
        <v>2.25</v>
      </c>
      <c r="M1615" t="s">
        <v>8763</v>
      </c>
      <c r="N1615" t="s">
        <v>3615</v>
      </c>
      <c r="O1615" t="s">
        <v>6019</v>
      </c>
      <c r="P1615" t="s">
        <v>8764</v>
      </c>
      <c r="Q1615">
        <v>-42.57</v>
      </c>
      <c r="R1615" t="s">
        <v>1869</v>
      </c>
      <c r="S1615">
        <v>0.94</v>
      </c>
      <c r="T1615">
        <v>36.32</v>
      </c>
      <c r="U1615" t="s">
        <v>1569</v>
      </c>
      <c r="V1615" t="s">
        <v>894</v>
      </c>
      <c r="W1615" t="s">
        <v>474</v>
      </c>
      <c r="X1615">
        <v>1.64</v>
      </c>
      <c r="Y1615" t="s">
        <v>345</v>
      </c>
      <c r="Z1615" t="s">
        <v>505</v>
      </c>
      <c r="AA1615" t="s">
        <v>4202</v>
      </c>
      <c r="AB1615">
        <v>2.4900000000000002</v>
      </c>
      <c r="AC1615" t="s">
        <v>855</v>
      </c>
      <c r="AD1615">
        <v>88.94</v>
      </c>
      <c r="AE1615" t="s">
        <v>4044</v>
      </c>
      <c r="AF1615">
        <v>0.3</v>
      </c>
      <c r="AG1615">
        <v>0</v>
      </c>
      <c r="AH1615">
        <v>0</v>
      </c>
      <c r="AI1615" s="4">
        <v>41942</v>
      </c>
    </row>
    <row r="1616" spans="1:35">
      <c r="A1616">
        <v>1615</v>
      </c>
      <c r="B1616" t="str">
        <f>"002539"</f>
        <v>002539</v>
      </c>
      <c r="C1616" t="s">
        <v>8765</v>
      </c>
      <c r="D1616" s="4">
        <v>43190</v>
      </c>
      <c r="E1616" t="s">
        <v>1094</v>
      </c>
      <c r="F1616" t="s">
        <v>3006</v>
      </c>
      <c r="G1616" t="s">
        <v>4763</v>
      </c>
      <c r="H1616">
        <v>0.05</v>
      </c>
      <c r="I1616">
        <v>3.09</v>
      </c>
      <c r="J1616">
        <v>1.64</v>
      </c>
      <c r="K1616" t="s">
        <v>76</v>
      </c>
      <c r="L1616">
        <v>-14.66</v>
      </c>
      <c r="M1616" t="s">
        <v>8766</v>
      </c>
      <c r="N1616" t="s">
        <v>8767</v>
      </c>
      <c r="O1616" t="s">
        <v>8768</v>
      </c>
      <c r="P1616" t="s">
        <v>6334</v>
      </c>
      <c r="Q1616">
        <v>-29.37</v>
      </c>
      <c r="R1616" t="s">
        <v>1835</v>
      </c>
      <c r="S1616">
        <v>0.87</v>
      </c>
      <c r="T1616">
        <v>17.850000000000001</v>
      </c>
      <c r="U1616" t="s">
        <v>8769</v>
      </c>
      <c r="V1616" t="s">
        <v>235</v>
      </c>
      <c r="W1616" t="s">
        <v>1601</v>
      </c>
      <c r="X1616">
        <v>1.64</v>
      </c>
      <c r="Y1616" t="s">
        <v>3299</v>
      </c>
      <c r="Z1616" t="s">
        <v>3159</v>
      </c>
      <c r="AA1616" t="s">
        <v>2921</v>
      </c>
      <c r="AB1616">
        <v>1.42</v>
      </c>
      <c r="AC1616" t="s">
        <v>313</v>
      </c>
      <c r="AD1616">
        <v>33.69</v>
      </c>
      <c r="AE1616" t="s">
        <v>835</v>
      </c>
      <c r="AF1616">
        <v>1.1200000000000001</v>
      </c>
      <c r="AG1616">
        <v>0</v>
      </c>
      <c r="AH1616">
        <v>0</v>
      </c>
      <c r="AI1616" s="4">
        <v>40561</v>
      </c>
    </row>
    <row r="1617" spans="1:35">
      <c r="A1617">
        <v>1616</v>
      </c>
      <c r="B1617" t="str">
        <f>"002472"</f>
        <v>002472</v>
      </c>
      <c r="C1617" t="s">
        <v>8770</v>
      </c>
      <c r="D1617" s="4">
        <v>43190</v>
      </c>
      <c r="E1617" t="s">
        <v>475</v>
      </c>
      <c r="F1617" t="s">
        <v>1166</v>
      </c>
      <c r="G1617" t="s">
        <v>987</v>
      </c>
      <c r="H1617">
        <v>0.08</v>
      </c>
      <c r="I1617">
        <v>4.6100000000000003</v>
      </c>
      <c r="J1617">
        <v>1.64</v>
      </c>
      <c r="K1617" t="s">
        <v>1073</v>
      </c>
      <c r="L1617">
        <v>36.06</v>
      </c>
      <c r="M1617" t="s">
        <v>7374</v>
      </c>
      <c r="N1617" t="s">
        <v>8771</v>
      </c>
      <c r="O1617" t="s">
        <v>6433</v>
      </c>
      <c r="P1617" t="s">
        <v>8772</v>
      </c>
      <c r="Q1617">
        <v>20.76</v>
      </c>
      <c r="R1617" t="s">
        <v>1496</v>
      </c>
      <c r="S1617">
        <v>1.43</v>
      </c>
      <c r="T1617">
        <v>21.73</v>
      </c>
      <c r="U1617" t="s">
        <v>797</v>
      </c>
      <c r="V1617" t="s">
        <v>464</v>
      </c>
      <c r="W1617" t="s">
        <v>510</v>
      </c>
      <c r="X1617">
        <v>1.64</v>
      </c>
      <c r="Y1617" t="s">
        <v>5550</v>
      </c>
      <c r="Z1617" t="s">
        <v>2542</v>
      </c>
      <c r="AA1617" t="s">
        <v>538</v>
      </c>
      <c r="AB1617">
        <v>1.73</v>
      </c>
      <c r="AC1617" t="s">
        <v>457</v>
      </c>
      <c r="AD1617">
        <v>46.18</v>
      </c>
      <c r="AE1617" t="s">
        <v>584</v>
      </c>
      <c r="AF1617">
        <v>2.14</v>
      </c>
      <c r="AG1617">
        <v>0</v>
      </c>
      <c r="AH1617">
        <v>0</v>
      </c>
      <c r="AI1617" s="4">
        <v>40431</v>
      </c>
    </row>
    <row r="1618" spans="1:35">
      <c r="A1618">
        <v>1617</v>
      </c>
      <c r="B1618" t="str">
        <f>"002358"</f>
        <v>002358</v>
      </c>
      <c r="C1618" t="s">
        <v>8773</v>
      </c>
      <c r="D1618" s="4">
        <v>43190</v>
      </c>
      <c r="E1618" t="s">
        <v>687</v>
      </c>
      <c r="F1618" t="s">
        <v>277</v>
      </c>
      <c r="G1618" t="s">
        <v>2738</v>
      </c>
      <c r="H1618">
        <v>0.09</v>
      </c>
      <c r="I1618">
        <v>5.21</v>
      </c>
      <c r="J1618">
        <v>1.64</v>
      </c>
      <c r="K1618" t="s">
        <v>174</v>
      </c>
      <c r="L1618">
        <v>21.1</v>
      </c>
      <c r="M1618" t="s">
        <v>8774</v>
      </c>
      <c r="N1618" t="s">
        <v>8167</v>
      </c>
      <c r="O1618" t="s">
        <v>8775</v>
      </c>
      <c r="P1618" t="s">
        <v>8776</v>
      </c>
      <c r="Q1618">
        <v>40.729999999999997</v>
      </c>
      <c r="R1618" t="s">
        <v>263</v>
      </c>
      <c r="S1618">
        <v>1.42</v>
      </c>
      <c r="T1618">
        <v>30.21</v>
      </c>
      <c r="U1618" t="s">
        <v>4089</v>
      </c>
      <c r="V1618" t="s">
        <v>1857</v>
      </c>
      <c r="W1618" t="s">
        <v>978</v>
      </c>
      <c r="X1618">
        <v>1.64</v>
      </c>
      <c r="Y1618" t="s">
        <v>1164</v>
      </c>
      <c r="Z1618" t="s">
        <v>1397</v>
      </c>
      <c r="AA1618" t="s">
        <v>2276</v>
      </c>
      <c r="AB1618">
        <v>3.07</v>
      </c>
      <c r="AC1618" t="s">
        <v>952</v>
      </c>
      <c r="AD1618">
        <v>57.17</v>
      </c>
      <c r="AE1618" t="s">
        <v>440</v>
      </c>
      <c r="AF1618">
        <v>2.57</v>
      </c>
      <c r="AG1618">
        <v>0</v>
      </c>
      <c r="AH1618">
        <v>0</v>
      </c>
      <c r="AI1618" s="4">
        <v>40219</v>
      </c>
    </row>
    <row r="1619" spans="1:35">
      <c r="A1619">
        <v>1618</v>
      </c>
      <c r="B1619" t="str">
        <f>"002290"</f>
        <v>002290</v>
      </c>
      <c r="C1619" t="s">
        <v>8777</v>
      </c>
      <c r="D1619" s="4">
        <v>43190</v>
      </c>
      <c r="E1619" t="s">
        <v>3674</v>
      </c>
      <c r="F1619" t="s">
        <v>2031</v>
      </c>
      <c r="G1619">
        <v>8209</v>
      </c>
      <c r="H1619">
        <v>0.08</v>
      </c>
      <c r="I1619">
        <v>5.0599999999999996</v>
      </c>
      <c r="J1619">
        <v>1.64</v>
      </c>
      <c r="K1619" t="s">
        <v>3259</v>
      </c>
      <c r="L1619">
        <v>29</v>
      </c>
      <c r="M1619" t="s">
        <v>8778</v>
      </c>
      <c r="N1619" t="s">
        <v>6573</v>
      </c>
      <c r="O1619" t="s">
        <v>8779</v>
      </c>
      <c r="P1619" t="s">
        <v>8780</v>
      </c>
      <c r="Q1619">
        <v>61.71</v>
      </c>
      <c r="R1619" t="s">
        <v>1360</v>
      </c>
      <c r="S1619">
        <v>0.68</v>
      </c>
      <c r="T1619">
        <v>17.75</v>
      </c>
      <c r="U1619" t="s">
        <v>946</v>
      </c>
      <c r="V1619" t="s">
        <v>426</v>
      </c>
      <c r="W1619" t="s">
        <v>219</v>
      </c>
      <c r="X1619">
        <v>1.64</v>
      </c>
      <c r="Y1619" t="s">
        <v>510</v>
      </c>
      <c r="Z1619" t="s">
        <v>548</v>
      </c>
      <c r="AA1619" t="s">
        <v>4279</v>
      </c>
      <c r="AB1619">
        <v>2.37</v>
      </c>
      <c r="AC1619" t="s">
        <v>405</v>
      </c>
      <c r="AD1619">
        <v>39.86</v>
      </c>
      <c r="AE1619" t="s">
        <v>1979</v>
      </c>
      <c r="AF1619">
        <v>3.2</v>
      </c>
      <c r="AG1619">
        <v>0</v>
      </c>
      <c r="AH1619">
        <v>0</v>
      </c>
      <c r="AI1619" s="4">
        <v>40059</v>
      </c>
    </row>
    <row r="1620" spans="1:35">
      <c r="A1620">
        <v>1619</v>
      </c>
      <c r="B1620" t="str">
        <f>"600981"</f>
        <v>600981</v>
      </c>
      <c r="C1620" t="s">
        <v>8781</v>
      </c>
      <c r="D1620" s="4">
        <v>43190</v>
      </c>
      <c r="E1620" t="s">
        <v>243</v>
      </c>
      <c r="F1620" t="s">
        <v>531</v>
      </c>
      <c r="G1620">
        <v>6541</v>
      </c>
      <c r="H1620">
        <v>0.05</v>
      </c>
      <c r="I1620">
        <v>3.25</v>
      </c>
      <c r="J1620">
        <v>1.63</v>
      </c>
      <c r="K1620" t="s">
        <v>3167</v>
      </c>
      <c r="L1620">
        <v>-2.1800000000000002</v>
      </c>
      <c r="M1620" t="s">
        <v>2306</v>
      </c>
      <c r="N1620" t="s">
        <v>668</v>
      </c>
      <c r="O1620" t="s">
        <v>2306</v>
      </c>
      <c r="P1620" t="s">
        <v>677</v>
      </c>
      <c r="Q1620">
        <v>-21.21</v>
      </c>
      <c r="R1620" t="s">
        <v>1190</v>
      </c>
      <c r="S1620">
        <v>0.74</v>
      </c>
      <c r="T1620">
        <v>4.8099999999999996</v>
      </c>
      <c r="U1620" t="s">
        <v>4460</v>
      </c>
      <c r="V1620" t="s">
        <v>957</v>
      </c>
      <c r="W1620" t="s">
        <v>164</v>
      </c>
      <c r="X1620">
        <v>1.63</v>
      </c>
      <c r="Y1620" t="s">
        <v>715</v>
      </c>
      <c r="Z1620" t="s">
        <v>928</v>
      </c>
      <c r="AA1620" t="s">
        <v>3422</v>
      </c>
      <c r="AB1620">
        <v>1.35</v>
      </c>
      <c r="AC1620" t="s">
        <v>1409</v>
      </c>
      <c r="AD1620">
        <v>23.74</v>
      </c>
      <c r="AE1620" t="s">
        <v>259</v>
      </c>
      <c r="AF1620">
        <v>0.31</v>
      </c>
      <c r="AG1620">
        <v>0</v>
      </c>
      <c r="AH1620">
        <v>0</v>
      </c>
      <c r="AI1620" s="4">
        <v>38168</v>
      </c>
    </row>
    <row r="1621" spans="1:35">
      <c r="A1621">
        <v>1620</v>
      </c>
      <c r="B1621" t="str">
        <f>"600027"</f>
        <v>600027</v>
      </c>
      <c r="C1621" t="s">
        <v>8782</v>
      </c>
      <c r="D1621" s="4">
        <v>43190</v>
      </c>
      <c r="E1621" t="s">
        <v>6073</v>
      </c>
      <c r="F1621" t="s">
        <v>1281</v>
      </c>
      <c r="G1621">
        <v>0</v>
      </c>
      <c r="H1621">
        <v>7.0000000000000007E-2</v>
      </c>
      <c r="I1621">
        <v>4.3</v>
      </c>
      <c r="J1621">
        <v>1.63</v>
      </c>
      <c r="K1621" t="s">
        <v>409</v>
      </c>
      <c r="L1621">
        <v>17.600000000000001</v>
      </c>
      <c r="M1621" t="s">
        <v>919</v>
      </c>
      <c r="N1621" t="s">
        <v>3768</v>
      </c>
      <c r="O1621" t="s">
        <v>407</v>
      </c>
      <c r="P1621" t="s">
        <v>475</v>
      </c>
      <c r="Q1621">
        <v>5707.04</v>
      </c>
      <c r="R1621" t="s">
        <v>1146</v>
      </c>
      <c r="S1621">
        <v>1.64</v>
      </c>
      <c r="T1621">
        <v>12</v>
      </c>
      <c r="U1621" t="s">
        <v>8783</v>
      </c>
      <c r="V1621" t="s">
        <v>1290</v>
      </c>
      <c r="W1621" t="s">
        <v>8784</v>
      </c>
      <c r="X1621">
        <v>1.63</v>
      </c>
      <c r="Y1621" t="s">
        <v>8785</v>
      </c>
      <c r="Z1621" t="s">
        <v>8786</v>
      </c>
      <c r="AA1621" t="s">
        <v>8787</v>
      </c>
      <c r="AB1621">
        <v>0.9</v>
      </c>
      <c r="AC1621" t="s">
        <v>8180</v>
      </c>
      <c r="AD1621">
        <v>19.64</v>
      </c>
      <c r="AE1621" t="s">
        <v>1784</v>
      </c>
      <c r="AF1621">
        <v>1.33</v>
      </c>
      <c r="AG1621">
        <v>0</v>
      </c>
      <c r="AH1621" t="s">
        <v>304</v>
      </c>
      <c r="AI1621" s="4">
        <v>38386</v>
      </c>
    </row>
    <row r="1622" spans="1:35">
      <c r="A1622">
        <v>1621</v>
      </c>
      <c r="B1622" t="str">
        <f>"300192"</f>
        <v>300192</v>
      </c>
      <c r="C1622" t="s">
        <v>8788</v>
      </c>
      <c r="D1622" s="4">
        <v>43190</v>
      </c>
      <c r="E1622" t="s">
        <v>3674</v>
      </c>
      <c r="F1622" t="s">
        <v>1200</v>
      </c>
      <c r="G1622" t="s">
        <v>1381</v>
      </c>
      <c r="H1622">
        <v>0.05</v>
      </c>
      <c r="I1622">
        <v>2.96</v>
      </c>
      <c r="J1622">
        <v>1.63</v>
      </c>
      <c r="K1622" t="s">
        <v>916</v>
      </c>
      <c r="L1622">
        <v>134.24</v>
      </c>
      <c r="M1622" t="s">
        <v>8789</v>
      </c>
      <c r="N1622" t="s">
        <v>8790</v>
      </c>
      <c r="O1622" t="s">
        <v>8791</v>
      </c>
      <c r="P1622" t="s">
        <v>8792</v>
      </c>
      <c r="Q1622">
        <v>33.97</v>
      </c>
      <c r="R1622" t="s">
        <v>3674</v>
      </c>
      <c r="S1622">
        <v>1</v>
      </c>
      <c r="T1622">
        <v>35.64</v>
      </c>
      <c r="U1622" t="s">
        <v>1343</v>
      </c>
      <c r="V1622" t="s">
        <v>3234</v>
      </c>
      <c r="W1622" t="s">
        <v>1664</v>
      </c>
      <c r="X1622">
        <v>1.63</v>
      </c>
      <c r="Y1622" t="s">
        <v>421</v>
      </c>
      <c r="Z1622" t="s">
        <v>1645</v>
      </c>
      <c r="AA1622" t="s">
        <v>2665</v>
      </c>
      <c r="AB1622">
        <v>2.82</v>
      </c>
      <c r="AC1622" t="s">
        <v>2061</v>
      </c>
      <c r="AD1622">
        <v>40.97</v>
      </c>
      <c r="AE1622" t="s">
        <v>3768</v>
      </c>
      <c r="AF1622">
        <v>0.83</v>
      </c>
      <c r="AG1622">
        <v>0</v>
      </c>
      <c r="AH1622">
        <v>0</v>
      </c>
      <c r="AI1622" s="4">
        <v>40624</v>
      </c>
    </row>
    <row r="1623" spans="1:35">
      <c r="A1623">
        <v>1622</v>
      </c>
      <c r="B1623" t="str">
        <f>"300097"</f>
        <v>300097</v>
      </c>
      <c r="C1623" t="s">
        <v>8793</v>
      </c>
      <c r="D1623" s="4">
        <v>43190</v>
      </c>
      <c r="E1623" t="s">
        <v>486</v>
      </c>
      <c r="F1623" t="s">
        <v>863</v>
      </c>
      <c r="G1623" t="s">
        <v>708</v>
      </c>
      <c r="H1623">
        <v>0.11</v>
      </c>
      <c r="I1623">
        <v>6.99</v>
      </c>
      <c r="J1623">
        <v>1.63</v>
      </c>
      <c r="K1623" t="s">
        <v>345</v>
      </c>
      <c r="L1623">
        <v>191.27</v>
      </c>
      <c r="M1623" t="s">
        <v>4701</v>
      </c>
      <c r="N1623" t="s">
        <v>4048</v>
      </c>
      <c r="O1623" t="s">
        <v>8794</v>
      </c>
      <c r="P1623" t="s">
        <v>8795</v>
      </c>
      <c r="Q1623">
        <v>484.71</v>
      </c>
      <c r="R1623" t="s">
        <v>1563</v>
      </c>
      <c r="S1623">
        <v>1.54</v>
      </c>
      <c r="T1623">
        <v>39.630000000000003</v>
      </c>
      <c r="U1623" t="s">
        <v>1308</v>
      </c>
      <c r="V1623" t="s">
        <v>747</v>
      </c>
      <c r="W1623" t="s">
        <v>355</v>
      </c>
      <c r="X1623">
        <v>1.63</v>
      </c>
      <c r="Y1623" t="s">
        <v>1849</v>
      </c>
      <c r="Z1623" t="s">
        <v>1909</v>
      </c>
      <c r="AA1623" t="s">
        <v>4686</v>
      </c>
      <c r="AB1623">
        <v>2.31</v>
      </c>
      <c r="AC1623" t="s">
        <v>418</v>
      </c>
      <c r="AD1623">
        <v>75.89</v>
      </c>
      <c r="AE1623" t="s">
        <v>1082</v>
      </c>
      <c r="AF1623">
        <v>4.4000000000000004</v>
      </c>
      <c r="AG1623">
        <v>0</v>
      </c>
      <c r="AH1623">
        <v>0</v>
      </c>
      <c r="AI1623" s="4">
        <v>40387</v>
      </c>
    </row>
    <row r="1624" spans="1:35">
      <c r="A1624">
        <v>1623</v>
      </c>
      <c r="B1624" t="str">
        <f>"300042"</f>
        <v>300042</v>
      </c>
      <c r="C1624" t="s">
        <v>8796</v>
      </c>
      <c r="D1624" s="4">
        <v>43190</v>
      </c>
      <c r="E1624" t="s">
        <v>595</v>
      </c>
      <c r="F1624" t="s">
        <v>355</v>
      </c>
      <c r="G1624" t="s">
        <v>5615</v>
      </c>
      <c r="H1624">
        <v>0.11</v>
      </c>
      <c r="I1624">
        <v>6.73</v>
      </c>
      <c r="J1624">
        <v>1.63</v>
      </c>
      <c r="K1624" t="s">
        <v>618</v>
      </c>
      <c r="L1624">
        <v>1.2</v>
      </c>
      <c r="M1624" t="s">
        <v>8797</v>
      </c>
      <c r="N1624" t="s">
        <v>2754</v>
      </c>
      <c r="O1624" t="s">
        <v>6480</v>
      </c>
      <c r="P1624" t="s">
        <v>8798</v>
      </c>
      <c r="Q1624">
        <v>7.0000000000000007E-2</v>
      </c>
      <c r="R1624" t="s">
        <v>1360</v>
      </c>
      <c r="S1624">
        <v>1.08</v>
      </c>
      <c r="T1624">
        <v>12.77</v>
      </c>
      <c r="U1624" t="s">
        <v>4953</v>
      </c>
      <c r="V1624" t="s">
        <v>1787</v>
      </c>
      <c r="W1624" t="s">
        <v>7540</v>
      </c>
      <c r="X1624">
        <v>1.63</v>
      </c>
      <c r="Y1624" t="s">
        <v>7167</v>
      </c>
      <c r="Z1624" t="s">
        <v>8799</v>
      </c>
      <c r="AA1624" t="s">
        <v>8800</v>
      </c>
      <c r="AB1624">
        <v>3.28</v>
      </c>
      <c r="AC1624" t="s">
        <v>5061</v>
      </c>
      <c r="AD1624">
        <v>96.48</v>
      </c>
      <c r="AE1624" t="s">
        <v>1618</v>
      </c>
      <c r="AF1624">
        <v>4.51</v>
      </c>
      <c r="AG1624">
        <v>0</v>
      </c>
      <c r="AH1624">
        <v>0</v>
      </c>
      <c r="AI1624" s="4">
        <v>40186</v>
      </c>
    </row>
    <row r="1625" spans="1:35">
      <c r="A1625">
        <v>1624</v>
      </c>
      <c r="B1625" t="str">
        <f>"002239"</f>
        <v>002239</v>
      </c>
      <c r="C1625" t="s">
        <v>8801</v>
      </c>
      <c r="D1625" s="4">
        <v>43190</v>
      </c>
      <c r="E1625" t="s">
        <v>1285</v>
      </c>
      <c r="F1625" t="s">
        <v>1625</v>
      </c>
      <c r="G1625" t="s">
        <v>8802</v>
      </c>
      <c r="H1625">
        <v>0.03</v>
      </c>
      <c r="I1625">
        <v>1.68</v>
      </c>
      <c r="J1625">
        <v>1.63</v>
      </c>
      <c r="K1625" t="s">
        <v>407</v>
      </c>
      <c r="L1625">
        <v>-24.07</v>
      </c>
      <c r="M1625" t="s">
        <v>8803</v>
      </c>
      <c r="N1625" t="s">
        <v>8804</v>
      </c>
      <c r="O1625" t="s">
        <v>8805</v>
      </c>
      <c r="P1625" t="s">
        <v>8806</v>
      </c>
      <c r="Q1625">
        <v>-7.11</v>
      </c>
      <c r="R1625" t="s">
        <v>1033</v>
      </c>
      <c r="S1625">
        <v>0.38</v>
      </c>
      <c r="T1625">
        <v>16.79</v>
      </c>
      <c r="U1625" t="s">
        <v>4544</v>
      </c>
      <c r="V1625" t="s">
        <v>893</v>
      </c>
      <c r="W1625" t="s">
        <v>926</v>
      </c>
      <c r="X1625">
        <v>1.63</v>
      </c>
      <c r="Y1625" t="s">
        <v>612</v>
      </c>
      <c r="Z1625" t="s">
        <v>864</v>
      </c>
      <c r="AA1625" t="s">
        <v>1659</v>
      </c>
      <c r="AB1625">
        <v>2.16</v>
      </c>
      <c r="AC1625" t="s">
        <v>7694</v>
      </c>
      <c r="AD1625">
        <v>60.41</v>
      </c>
      <c r="AE1625" t="s">
        <v>8311</v>
      </c>
      <c r="AF1625">
        <v>0.28999999999999998</v>
      </c>
      <c r="AG1625">
        <v>0</v>
      </c>
      <c r="AH1625">
        <v>0</v>
      </c>
      <c r="AI1625" s="4">
        <v>39590</v>
      </c>
    </row>
    <row r="1626" spans="1:35">
      <c r="A1626">
        <v>1625</v>
      </c>
      <c r="B1626" t="str">
        <f>"002158"</f>
        <v>002158</v>
      </c>
      <c r="C1626" t="s">
        <v>8807</v>
      </c>
      <c r="D1626" s="4">
        <v>43190</v>
      </c>
      <c r="E1626" t="s">
        <v>2178</v>
      </c>
      <c r="F1626" t="s">
        <v>2178</v>
      </c>
      <c r="G1626" t="s">
        <v>779</v>
      </c>
      <c r="H1626">
        <v>0.05</v>
      </c>
      <c r="I1626">
        <v>3.19</v>
      </c>
      <c r="J1626">
        <v>1.63</v>
      </c>
      <c r="K1626" t="s">
        <v>143</v>
      </c>
      <c r="L1626">
        <v>16.239999999999998</v>
      </c>
      <c r="M1626" t="s">
        <v>3150</v>
      </c>
      <c r="N1626" t="s">
        <v>8808</v>
      </c>
      <c r="O1626" t="s">
        <v>6267</v>
      </c>
      <c r="P1626" t="s">
        <v>8809</v>
      </c>
      <c r="Q1626">
        <v>3.49</v>
      </c>
      <c r="R1626" t="s">
        <v>1770</v>
      </c>
      <c r="S1626">
        <v>1.1100000000000001</v>
      </c>
      <c r="T1626">
        <v>35.369999999999997</v>
      </c>
      <c r="U1626" t="s">
        <v>313</v>
      </c>
      <c r="V1626" t="s">
        <v>2568</v>
      </c>
      <c r="W1626" t="s">
        <v>568</v>
      </c>
      <c r="X1626">
        <v>1.63</v>
      </c>
      <c r="Y1626" t="s">
        <v>101</v>
      </c>
      <c r="Z1626" t="s">
        <v>2073</v>
      </c>
      <c r="AA1626" t="s">
        <v>138</v>
      </c>
      <c r="AB1626">
        <v>2.82</v>
      </c>
      <c r="AC1626" t="s">
        <v>1455</v>
      </c>
      <c r="AD1626">
        <v>58.01</v>
      </c>
      <c r="AE1626" t="s">
        <v>48</v>
      </c>
      <c r="AF1626">
        <v>0.77</v>
      </c>
      <c r="AG1626">
        <v>0</v>
      </c>
      <c r="AH1626">
        <v>0</v>
      </c>
      <c r="AI1626" s="4">
        <v>39311</v>
      </c>
    </row>
    <row r="1627" spans="1:35">
      <c r="A1627">
        <v>1626</v>
      </c>
      <c r="B1627" t="str">
        <f>"000910"</f>
        <v>000910</v>
      </c>
      <c r="C1627" t="s">
        <v>8810</v>
      </c>
      <c r="D1627" s="4">
        <v>43190</v>
      </c>
      <c r="E1627" t="s">
        <v>506</v>
      </c>
      <c r="F1627" t="s">
        <v>5842</v>
      </c>
      <c r="G1627" t="s">
        <v>8811</v>
      </c>
      <c r="H1627">
        <v>0.1</v>
      </c>
      <c r="I1627">
        <v>6.3</v>
      </c>
      <c r="J1627">
        <v>1.63</v>
      </c>
      <c r="K1627" t="s">
        <v>538</v>
      </c>
      <c r="L1627">
        <v>11.07</v>
      </c>
      <c r="M1627" t="s">
        <v>8812</v>
      </c>
      <c r="N1627" t="s">
        <v>854</v>
      </c>
      <c r="O1627" t="s">
        <v>8813</v>
      </c>
      <c r="P1627" t="s">
        <v>3170</v>
      </c>
      <c r="Q1627">
        <v>41.32</v>
      </c>
      <c r="R1627" t="s">
        <v>158</v>
      </c>
      <c r="S1627">
        <v>4.74</v>
      </c>
      <c r="T1627">
        <v>34.03</v>
      </c>
      <c r="U1627" t="s">
        <v>6291</v>
      </c>
      <c r="V1627" t="s">
        <v>2694</v>
      </c>
      <c r="W1627" t="s">
        <v>919</v>
      </c>
      <c r="X1627">
        <v>1.63</v>
      </c>
      <c r="Y1627" t="s">
        <v>981</v>
      </c>
      <c r="Z1627" t="s">
        <v>981</v>
      </c>
      <c r="AA1627">
        <v>0</v>
      </c>
      <c r="AB1627">
        <v>2.94</v>
      </c>
      <c r="AC1627" t="s">
        <v>2093</v>
      </c>
      <c r="AD1627">
        <v>57.15</v>
      </c>
      <c r="AE1627" t="s">
        <v>1699</v>
      </c>
      <c r="AF1627">
        <v>0.52</v>
      </c>
      <c r="AG1627">
        <v>0</v>
      </c>
      <c r="AH1627">
        <v>0</v>
      </c>
      <c r="AI1627" s="4">
        <v>36341</v>
      </c>
    </row>
    <row r="1628" spans="1:35">
      <c r="A1628">
        <v>1627</v>
      </c>
      <c r="B1628" t="str">
        <f>"000560"</f>
        <v>000560</v>
      </c>
      <c r="C1628" t="s">
        <v>8814</v>
      </c>
      <c r="D1628" s="4">
        <v>43190</v>
      </c>
      <c r="E1628" t="s">
        <v>1455</v>
      </c>
      <c r="F1628" t="s">
        <v>125</v>
      </c>
      <c r="G1628" t="s">
        <v>4747</v>
      </c>
      <c r="H1628">
        <v>0.08</v>
      </c>
      <c r="I1628">
        <v>5.26</v>
      </c>
      <c r="J1628">
        <v>1.63</v>
      </c>
      <c r="K1628" t="s">
        <v>2280</v>
      </c>
      <c r="L1628">
        <v>642.77</v>
      </c>
      <c r="M1628" t="s">
        <v>509</v>
      </c>
      <c r="N1628" t="s">
        <v>4280</v>
      </c>
      <c r="O1628" t="s">
        <v>1999</v>
      </c>
      <c r="P1628" t="s">
        <v>93</v>
      </c>
      <c r="Q1628">
        <v>905.66</v>
      </c>
      <c r="R1628" t="s">
        <v>2731</v>
      </c>
      <c r="S1628">
        <v>0.52</v>
      </c>
      <c r="T1628">
        <v>30.17</v>
      </c>
      <c r="U1628" t="s">
        <v>1097</v>
      </c>
      <c r="V1628" t="s">
        <v>3262</v>
      </c>
      <c r="W1628" t="s">
        <v>2581</v>
      </c>
      <c r="X1628">
        <v>1.63</v>
      </c>
      <c r="Y1628" t="s">
        <v>2501</v>
      </c>
      <c r="Z1628" t="s">
        <v>1748</v>
      </c>
      <c r="AA1628" t="s">
        <v>826</v>
      </c>
      <c r="AB1628">
        <v>1.35</v>
      </c>
      <c r="AC1628" t="s">
        <v>3447</v>
      </c>
      <c r="AD1628">
        <v>55.96</v>
      </c>
      <c r="AE1628" t="s">
        <v>879</v>
      </c>
      <c r="AF1628">
        <v>3.56</v>
      </c>
      <c r="AG1628">
        <v>0</v>
      </c>
      <c r="AH1628">
        <v>0</v>
      </c>
      <c r="AI1628" s="4">
        <v>34367</v>
      </c>
    </row>
    <row r="1629" spans="1:35">
      <c r="A1629">
        <v>1628</v>
      </c>
      <c r="B1629" t="str">
        <f>"603722"</f>
        <v>603722</v>
      </c>
      <c r="C1629" t="s">
        <v>8815</v>
      </c>
      <c r="D1629" s="4">
        <v>43190</v>
      </c>
      <c r="E1629" t="s">
        <v>8816</v>
      </c>
      <c r="F1629" t="s">
        <v>5562</v>
      </c>
      <c r="G1629">
        <v>1616</v>
      </c>
      <c r="H1629">
        <v>0.1</v>
      </c>
      <c r="I1629">
        <v>5.7</v>
      </c>
      <c r="J1629">
        <v>1.62</v>
      </c>
      <c r="K1629" t="s">
        <v>8817</v>
      </c>
      <c r="L1629">
        <v>66.63</v>
      </c>
      <c r="M1629" t="s">
        <v>5315</v>
      </c>
      <c r="N1629" t="s">
        <v>8818</v>
      </c>
      <c r="O1629" t="s">
        <v>5315</v>
      </c>
      <c r="P1629" t="s">
        <v>8819</v>
      </c>
      <c r="Q1629">
        <v>1.47</v>
      </c>
      <c r="R1629" t="s">
        <v>1597</v>
      </c>
      <c r="S1629">
        <v>1.65</v>
      </c>
      <c r="T1629">
        <v>22.3</v>
      </c>
      <c r="U1629" t="s">
        <v>4552</v>
      </c>
      <c r="V1629" t="s">
        <v>3482</v>
      </c>
      <c r="W1629" t="s">
        <v>1203</v>
      </c>
      <c r="X1629">
        <v>1.62</v>
      </c>
      <c r="Y1629" t="s">
        <v>326</v>
      </c>
      <c r="Z1629" t="s">
        <v>326</v>
      </c>
      <c r="AA1629">
        <v>0</v>
      </c>
      <c r="AB1629">
        <v>8.2200000000000006</v>
      </c>
      <c r="AC1629" t="s">
        <v>5842</v>
      </c>
      <c r="AD1629">
        <v>78.760000000000005</v>
      </c>
      <c r="AE1629" t="s">
        <v>219</v>
      </c>
      <c r="AF1629">
        <v>2.84</v>
      </c>
      <c r="AG1629">
        <v>0</v>
      </c>
      <c r="AH1629">
        <v>0</v>
      </c>
      <c r="AI1629" s="4">
        <v>43033</v>
      </c>
    </row>
    <row r="1630" spans="1:35">
      <c r="A1630">
        <v>1629</v>
      </c>
      <c r="B1630" t="str">
        <f>"600362"</f>
        <v>600362</v>
      </c>
      <c r="C1630" t="s">
        <v>8820</v>
      </c>
      <c r="D1630" s="4">
        <v>43190</v>
      </c>
      <c r="E1630" t="s">
        <v>2901</v>
      </c>
      <c r="F1630" t="s">
        <v>877</v>
      </c>
      <c r="G1630">
        <v>0</v>
      </c>
      <c r="H1630">
        <v>0.22</v>
      </c>
      <c r="I1630">
        <v>13.95</v>
      </c>
      <c r="J1630">
        <v>1.62</v>
      </c>
      <c r="K1630" t="s">
        <v>8821</v>
      </c>
      <c r="L1630">
        <v>13.27</v>
      </c>
      <c r="M1630" t="s">
        <v>5494</v>
      </c>
      <c r="N1630" t="s">
        <v>203</v>
      </c>
      <c r="O1630" t="s">
        <v>3639</v>
      </c>
      <c r="P1630" t="s">
        <v>871</v>
      </c>
      <c r="Q1630">
        <v>41.52</v>
      </c>
      <c r="R1630" t="s">
        <v>1550</v>
      </c>
      <c r="S1630">
        <v>5.23</v>
      </c>
      <c r="T1630">
        <v>3.19</v>
      </c>
      <c r="U1630" t="s">
        <v>2407</v>
      </c>
      <c r="V1630" t="s">
        <v>8514</v>
      </c>
      <c r="W1630" t="s">
        <v>1893</v>
      </c>
      <c r="X1630">
        <v>1.62</v>
      </c>
      <c r="Y1630" t="s">
        <v>8822</v>
      </c>
      <c r="Z1630" t="s">
        <v>2314</v>
      </c>
      <c r="AA1630" t="s">
        <v>1486</v>
      </c>
      <c r="AB1630">
        <v>1.22</v>
      </c>
      <c r="AC1630" t="s">
        <v>2526</v>
      </c>
      <c r="AD1630">
        <v>51.29</v>
      </c>
      <c r="AE1630" t="s">
        <v>315</v>
      </c>
      <c r="AF1630">
        <v>3.38</v>
      </c>
      <c r="AG1630">
        <v>0</v>
      </c>
      <c r="AH1630" t="s">
        <v>624</v>
      </c>
      <c r="AI1630" s="4">
        <v>37267</v>
      </c>
    </row>
    <row r="1631" spans="1:35">
      <c r="A1631">
        <v>1630</v>
      </c>
      <c r="B1631" t="str">
        <f>"002644"</f>
        <v>002644</v>
      </c>
      <c r="C1631" t="s">
        <v>8823</v>
      </c>
      <c r="D1631" s="4">
        <v>43190</v>
      </c>
      <c r="E1631" t="s">
        <v>1309</v>
      </c>
      <c r="F1631" t="s">
        <v>1309</v>
      </c>
      <c r="G1631" t="s">
        <v>2554</v>
      </c>
      <c r="H1631">
        <v>0.04</v>
      </c>
      <c r="I1631">
        <v>2.69</v>
      </c>
      <c r="J1631">
        <v>1.62</v>
      </c>
      <c r="K1631" t="s">
        <v>326</v>
      </c>
      <c r="L1631">
        <v>41.42</v>
      </c>
      <c r="M1631" t="s">
        <v>8445</v>
      </c>
      <c r="N1631">
        <v>0</v>
      </c>
      <c r="O1631" t="s">
        <v>8824</v>
      </c>
      <c r="P1631" t="s">
        <v>3039</v>
      </c>
      <c r="Q1631">
        <v>64.02</v>
      </c>
      <c r="R1631" t="s">
        <v>1006</v>
      </c>
      <c r="S1631">
        <v>0.91</v>
      </c>
      <c r="T1631">
        <v>30.15</v>
      </c>
      <c r="U1631" t="s">
        <v>276</v>
      </c>
      <c r="V1631" t="s">
        <v>978</v>
      </c>
      <c r="W1631" t="s">
        <v>2424</v>
      </c>
      <c r="X1631">
        <v>1.62</v>
      </c>
      <c r="Y1631" t="s">
        <v>2836</v>
      </c>
      <c r="Z1631" t="s">
        <v>1964</v>
      </c>
      <c r="AA1631" t="s">
        <v>661</v>
      </c>
      <c r="AB1631">
        <v>3.55</v>
      </c>
      <c r="AC1631" t="s">
        <v>176</v>
      </c>
      <c r="AD1631">
        <v>59.56</v>
      </c>
      <c r="AE1631" t="s">
        <v>593</v>
      </c>
      <c r="AF1631">
        <v>0.64</v>
      </c>
      <c r="AG1631">
        <v>0</v>
      </c>
      <c r="AH1631">
        <v>0</v>
      </c>
      <c r="AI1631" s="4">
        <v>40899</v>
      </c>
    </row>
    <row r="1632" spans="1:35">
      <c r="A1632">
        <v>1631</v>
      </c>
      <c r="B1632" t="str">
        <f>"603303"</f>
        <v>603303</v>
      </c>
      <c r="C1632" t="s">
        <v>8825</v>
      </c>
      <c r="D1632" s="4">
        <v>43190</v>
      </c>
      <c r="E1632" t="s">
        <v>2811</v>
      </c>
      <c r="F1632" t="s">
        <v>533</v>
      </c>
      <c r="G1632">
        <v>3913</v>
      </c>
      <c r="H1632">
        <v>0.09</v>
      </c>
      <c r="I1632">
        <v>5.78</v>
      </c>
      <c r="J1632">
        <v>1.61</v>
      </c>
      <c r="K1632" t="s">
        <v>6545</v>
      </c>
      <c r="L1632">
        <v>-4.55</v>
      </c>
      <c r="M1632" t="s">
        <v>8826</v>
      </c>
      <c r="N1632" t="s">
        <v>4580</v>
      </c>
      <c r="O1632" t="s">
        <v>8827</v>
      </c>
      <c r="P1632" t="s">
        <v>8828</v>
      </c>
      <c r="Q1632">
        <v>-29.66</v>
      </c>
      <c r="R1632" t="s">
        <v>3124</v>
      </c>
      <c r="S1632">
        <v>2.25</v>
      </c>
      <c r="T1632">
        <v>15.9</v>
      </c>
      <c r="U1632" t="s">
        <v>2901</v>
      </c>
      <c r="V1632" t="s">
        <v>2523</v>
      </c>
      <c r="W1632" t="s">
        <v>958</v>
      </c>
      <c r="X1632">
        <v>1.61</v>
      </c>
      <c r="Y1632" t="s">
        <v>407</v>
      </c>
      <c r="Z1632" t="s">
        <v>407</v>
      </c>
      <c r="AA1632" t="s">
        <v>8829</v>
      </c>
      <c r="AB1632">
        <v>1.61</v>
      </c>
      <c r="AC1632" t="s">
        <v>1213</v>
      </c>
      <c r="AD1632">
        <v>69.680000000000007</v>
      </c>
      <c r="AE1632" t="s">
        <v>3986</v>
      </c>
      <c r="AF1632">
        <v>2.2599999999999998</v>
      </c>
      <c r="AG1632">
        <v>0</v>
      </c>
      <c r="AH1632">
        <v>0</v>
      </c>
      <c r="AI1632" s="4">
        <v>42824</v>
      </c>
    </row>
    <row r="1633" spans="1:35">
      <c r="A1633">
        <v>1632</v>
      </c>
      <c r="B1633" t="str">
        <f>"600283"</f>
        <v>600283</v>
      </c>
      <c r="C1633" t="s">
        <v>8830</v>
      </c>
      <c r="D1633" s="4">
        <v>43190</v>
      </c>
      <c r="E1633" t="s">
        <v>1001</v>
      </c>
      <c r="F1633" t="s">
        <v>1001</v>
      </c>
      <c r="G1633" t="s">
        <v>2258</v>
      </c>
      <c r="H1633">
        <v>0.08</v>
      </c>
      <c r="I1633">
        <v>5.26</v>
      </c>
      <c r="J1633">
        <v>1.61</v>
      </c>
      <c r="K1633" t="s">
        <v>1180</v>
      </c>
      <c r="L1633">
        <v>20.49</v>
      </c>
      <c r="M1633" t="s">
        <v>8831</v>
      </c>
      <c r="N1633" t="s">
        <v>6816</v>
      </c>
      <c r="O1633" t="s">
        <v>4291</v>
      </c>
      <c r="P1633" t="s">
        <v>4706</v>
      </c>
      <c r="Q1633">
        <v>448.14</v>
      </c>
      <c r="R1633" t="s">
        <v>3332</v>
      </c>
      <c r="S1633">
        <v>0.55000000000000004</v>
      </c>
      <c r="T1633">
        <v>40.520000000000003</v>
      </c>
      <c r="U1633" t="s">
        <v>1410</v>
      </c>
      <c r="V1633" t="s">
        <v>3630</v>
      </c>
      <c r="W1633" t="s">
        <v>865</v>
      </c>
      <c r="X1633">
        <v>1.61</v>
      </c>
      <c r="Y1633" t="s">
        <v>1908</v>
      </c>
      <c r="Z1633" t="s">
        <v>624</v>
      </c>
      <c r="AA1633" t="s">
        <v>840</v>
      </c>
      <c r="AB1633">
        <v>2</v>
      </c>
      <c r="AC1633" t="s">
        <v>891</v>
      </c>
      <c r="AD1633">
        <v>37.58</v>
      </c>
      <c r="AE1633" t="s">
        <v>613</v>
      </c>
      <c r="AF1633">
        <v>3.29</v>
      </c>
      <c r="AG1633">
        <v>0</v>
      </c>
      <c r="AH1633">
        <v>0</v>
      </c>
      <c r="AI1633" s="4">
        <v>36817</v>
      </c>
    </row>
    <row r="1634" spans="1:35">
      <c r="A1634">
        <v>1633</v>
      </c>
      <c r="B1634" t="str">
        <f>"300279"</f>
        <v>300279</v>
      </c>
      <c r="C1634" t="s">
        <v>8832</v>
      </c>
      <c r="D1634" s="4">
        <v>43190</v>
      </c>
      <c r="E1634" t="s">
        <v>1059</v>
      </c>
      <c r="F1634" t="s">
        <v>1048</v>
      </c>
      <c r="G1634" t="s">
        <v>5764</v>
      </c>
      <c r="H1634">
        <v>0.06</v>
      </c>
      <c r="I1634">
        <v>3.8</v>
      </c>
      <c r="J1634">
        <v>1.61</v>
      </c>
      <c r="K1634" t="s">
        <v>1594</v>
      </c>
      <c r="L1634">
        <v>-12.72</v>
      </c>
      <c r="M1634" t="s">
        <v>8833</v>
      </c>
      <c r="N1634" t="s">
        <v>8834</v>
      </c>
      <c r="O1634" t="s">
        <v>8835</v>
      </c>
      <c r="P1634" t="s">
        <v>8836</v>
      </c>
      <c r="Q1634">
        <v>-12.86</v>
      </c>
      <c r="R1634" t="s">
        <v>94</v>
      </c>
      <c r="S1634">
        <v>0.53</v>
      </c>
      <c r="T1634">
        <v>23.79</v>
      </c>
      <c r="U1634" t="s">
        <v>1404</v>
      </c>
      <c r="V1634" t="s">
        <v>161</v>
      </c>
      <c r="W1634" t="s">
        <v>1789</v>
      </c>
      <c r="X1634">
        <v>1.61</v>
      </c>
      <c r="Y1634" t="s">
        <v>176</v>
      </c>
      <c r="Z1634" t="s">
        <v>101</v>
      </c>
      <c r="AA1634" t="s">
        <v>8837</v>
      </c>
      <c r="AB1634">
        <v>2.29</v>
      </c>
      <c r="AC1634" t="s">
        <v>646</v>
      </c>
      <c r="AD1634">
        <v>53.93</v>
      </c>
      <c r="AE1634" t="s">
        <v>895</v>
      </c>
      <c r="AF1634">
        <v>2.23</v>
      </c>
      <c r="AG1634">
        <v>0</v>
      </c>
      <c r="AH1634">
        <v>0</v>
      </c>
      <c r="AI1634" s="4">
        <v>40906</v>
      </c>
    </row>
    <row r="1635" spans="1:35">
      <c r="A1635">
        <v>1634</v>
      </c>
      <c r="B1635" t="str">
        <f>"000545"</f>
        <v>000545</v>
      </c>
      <c r="C1635" t="s">
        <v>8838</v>
      </c>
      <c r="D1635" s="4">
        <v>43190</v>
      </c>
      <c r="E1635" t="s">
        <v>4236</v>
      </c>
      <c r="F1635" t="s">
        <v>4861</v>
      </c>
      <c r="G1635" t="s">
        <v>70</v>
      </c>
      <c r="H1635">
        <v>0.03</v>
      </c>
      <c r="I1635">
        <v>2.0099999999999998</v>
      </c>
      <c r="J1635">
        <v>1.61</v>
      </c>
      <c r="K1635" t="s">
        <v>999</v>
      </c>
      <c r="L1635">
        <v>7.41</v>
      </c>
      <c r="M1635" t="s">
        <v>8839</v>
      </c>
      <c r="N1635" t="s">
        <v>8840</v>
      </c>
      <c r="O1635" t="s">
        <v>8486</v>
      </c>
      <c r="P1635" t="s">
        <v>8841</v>
      </c>
      <c r="Q1635">
        <v>-38.94</v>
      </c>
      <c r="R1635" t="s">
        <v>407</v>
      </c>
      <c r="S1635">
        <v>1.01</v>
      </c>
      <c r="T1635">
        <v>17.95</v>
      </c>
      <c r="U1635" t="s">
        <v>426</v>
      </c>
      <c r="V1635" t="s">
        <v>405</v>
      </c>
      <c r="W1635" t="s">
        <v>264</v>
      </c>
      <c r="X1635">
        <v>1.61</v>
      </c>
      <c r="Y1635" t="s">
        <v>3894</v>
      </c>
      <c r="Z1635" t="s">
        <v>1058</v>
      </c>
      <c r="AA1635" t="s">
        <v>4786</v>
      </c>
      <c r="AB1635">
        <v>1.87</v>
      </c>
      <c r="AC1635" t="s">
        <v>712</v>
      </c>
      <c r="AD1635">
        <v>74.56</v>
      </c>
      <c r="AE1635" t="s">
        <v>8842</v>
      </c>
      <c r="AF1635">
        <v>-0.06</v>
      </c>
      <c r="AG1635">
        <v>0</v>
      </c>
      <c r="AH1635">
        <v>0</v>
      </c>
      <c r="AI1635" s="4">
        <v>34318</v>
      </c>
    </row>
    <row r="1636" spans="1:35">
      <c r="A1636">
        <v>1635</v>
      </c>
      <c r="B1636" t="str">
        <f>"600725"</f>
        <v>600725</v>
      </c>
      <c r="C1636" t="s">
        <v>8843</v>
      </c>
      <c r="D1636" s="4">
        <v>43190</v>
      </c>
      <c r="E1636" t="s">
        <v>405</v>
      </c>
      <c r="F1636" t="s">
        <v>405</v>
      </c>
      <c r="G1636" t="s">
        <v>7893</v>
      </c>
      <c r="H1636">
        <v>0</v>
      </c>
      <c r="I1636">
        <v>0.23</v>
      </c>
      <c r="J1636">
        <v>1.6</v>
      </c>
      <c r="K1636" t="s">
        <v>1905</v>
      </c>
      <c r="L1636">
        <v>259.60000000000002</v>
      </c>
      <c r="M1636" t="s">
        <v>5685</v>
      </c>
      <c r="N1636" t="s">
        <v>8844</v>
      </c>
      <c r="O1636" t="s">
        <v>8845</v>
      </c>
      <c r="P1636" t="s">
        <v>8845</v>
      </c>
      <c r="Q1636">
        <v>828.25</v>
      </c>
      <c r="R1636" t="s">
        <v>8846</v>
      </c>
      <c r="S1636">
        <v>-2.3199999999999998</v>
      </c>
      <c r="T1636">
        <v>2.66</v>
      </c>
      <c r="U1636" t="s">
        <v>143</v>
      </c>
      <c r="V1636" t="s">
        <v>143</v>
      </c>
      <c r="W1636" t="s">
        <v>8847</v>
      </c>
      <c r="X1636">
        <v>1.6</v>
      </c>
      <c r="Y1636" t="s">
        <v>1423</v>
      </c>
      <c r="Z1636" t="s">
        <v>3990</v>
      </c>
      <c r="AA1636" t="s">
        <v>7875</v>
      </c>
      <c r="AB1636">
        <v>10.3</v>
      </c>
      <c r="AC1636" t="s">
        <v>1664</v>
      </c>
      <c r="AD1636">
        <v>81.84</v>
      </c>
      <c r="AE1636" t="s">
        <v>757</v>
      </c>
      <c r="AF1636">
        <v>1.46</v>
      </c>
      <c r="AG1636">
        <v>0</v>
      </c>
      <c r="AH1636">
        <v>0</v>
      </c>
      <c r="AI1636" s="4">
        <v>35248</v>
      </c>
    </row>
    <row r="1637" spans="1:35">
      <c r="A1637">
        <v>1636</v>
      </c>
      <c r="B1637" t="str">
        <f>"600272"</f>
        <v>600272</v>
      </c>
      <c r="C1637" t="s">
        <v>8848</v>
      </c>
      <c r="D1637" s="4">
        <v>43190</v>
      </c>
      <c r="E1637" t="s">
        <v>3674</v>
      </c>
      <c r="F1637" t="s">
        <v>1203</v>
      </c>
      <c r="G1637">
        <v>0</v>
      </c>
      <c r="H1637">
        <v>0.03</v>
      </c>
      <c r="I1637">
        <v>2.0699999999999998</v>
      </c>
      <c r="J1637">
        <v>1.6</v>
      </c>
      <c r="K1637" t="s">
        <v>219</v>
      </c>
      <c r="L1637">
        <v>-5.87</v>
      </c>
      <c r="M1637" t="s">
        <v>3767</v>
      </c>
      <c r="N1637" t="s">
        <v>8849</v>
      </c>
      <c r="O1637" t="s">
        <v>3767</v>
      </c>
      <c r="P1637" t="s">
        <v>5630</v>
      </c>
      <c r="Q1637">
        <v>41.19</v>
      </c>
      <c r="R1637" t="s">
        <v>45</v>
      </c>
      <c r="S1637">
        <v>0.55000000000000004</v>
      </c>
      <c r="T1637">
        <v>25.64</v>
      </c>
      <c r="U1637" t="s">
        <v>1094</v>
      </c>
      <c r="V1637" t="s">
        <v>2789</v>
      </c>
      <c r="W1637" t="s">
        <v>368</v>
      </c>
      <c r="X1637">
        <v>1.6</v>
      </c>
      <c r="Y1637" t="s">
        <v>2563</v>
      </c>
      <c r="Z1637" t="s">
        <v>1511</v>
      </c>
      <c r="AA1637" t="s">
        <v>807</v>
      </c>
      <c r="AB1637">
        <v>4.1500000000000004</v>
      </c>
      <c r="AC1637" t="s">
        <v>442</v>
      </c>
      <c r="AD1637">
        <v>49.8</v>
      </c>
      <c r="AE1637" t="s">
        <v>8850</v>
      </c>
      <c r="AF1637">
        <v>0.06</v>
      </c>
      <c r="AG1637" t="s">
        <v>2575</v>
      </c>
      <c r="AH1637">
        <v>0</v>
      </c>
      <c r="AI1637" s="4">
        <v>36950</v>
      </c>
    </row>
    <row r="1638" spans="1:35">
      <c r="A1638">
        <v>1637</v>
      </c>
      <c r="B1638" t="str">
        <f>"600011"</f>
        <v>600011</v>
      </c>
      <c r="C1638" t="s">
        <v>8851</v>
      </c>
      <c r="D1638" s="4">
        <v>43190</v>
      </c>
      <c r="E1638" t="s">
        <v>839</v>
      </c>
      <c r="F1638" t="s">
        <v>525</v>
      </c>
      <c r="G1638">
        <v>0</v>
      </c>
      <c r="H1638">
        <v>0.08</v>
      </c>
      <c r="I1638">
        <v>4.6100000000000003</v>
      </c>
      <c r="J1638">
        <v>1.6</v>
      </c>
      <c r="K1638" t="s">
        <v>8822</v>
      </c>
      <c r="L1638">
        <v>15.11</v>
      </c>
      <c r="M1638" t="s">
        <v>1039</v>
      </c>
      <c r="N1638" t="s">
        <v>696</v>
      </c>
      <c r="O1638" t="s">
        <v>242</v>
      </c>
      <c r="P1638" t="s">
        <v>982</v>
      </c>
      <c r="Q1638">
        <v>86.96</v>
      </c>
      <c r="R1638" t="s">
        <v>4902</v>
      </c>
      <c r="S1638">
        <v>2.08</v>
      </c>
      <c r="T1638">
        <v>13.49</v>
      </c>
      <c r="U1638" t="s">
        <v>8852</v>
      </c>
      <c r="V1638" t="s">
        <v>5241</v>
      </c>
      <c r="W1638" t="s">
        <v>8853</v>
      </c>
      <c r="X1638">
        <v>1.6</v>
      </c>
      <c r="Y1638" t="s">
        <v>8854</v>
      </c>
      <c r="Z1638" t="s">
        <v>8855</v>
      </c>
      <c r="AA1638" t="s">
        <v>8856</v>
      </c>
      <c r="AB1638">
        <v>1.36</v>
      </c>
      <c r="AC1638" t="s">
        <v>8857</v>
      </c>
      <c r="AD1638">
        <v>20.05</v>
      </c>
      <c r="AE1638" t="s">
        <v>1741</v>
      </c>
      <c r="AF1638">
        <v>0.98</v>
      </c>
      <c r="AG1638">
        <v>0</v>
      </c>
      <c r="AH1638" t="s">
        <v>3886</v>
      </c>
      <c r="AI1638" s="4">
        <v>37231</v>
      </c>
    </row>
    <row r="1639" spans="1:35">
      <c r="A1639">
        <v>1638</v>
      </c>
      <c r="B1639" t="str">
        <f>"300625"</f>
        <v>300625</v>
      </c>
      <c r="C1639" t="s">
        <v>8858</v>
      </c>
      <c r="D1639" s="4">
        <v>43190</v>
      </c>
      <c r="E1639" t="s">
        <v>1664</v>
      </c>
      <c r="F1639" t="s">
        <v>8859</v>
      </c>
      <c r="G1639">
        <v>2437</v>
      </c>
      <c r="H1639">
        <v>0.13</v>
      </c>
      <c r="I1639">
        <v>6.95</v>
      </c>
      <c r="J1639">
        <v>1.6</v>
      </c>
      <c r="K1639" t="s">
        <v>142</v>
      </c>
      <c r="L1639">
        <v>17.32</v>
      </c>
      <c r="M1639" t="s">
        <v>6810</v>
      </c>
      <c r="N1639" t="s">
        <v>7588</v>
      </c>
      <c r="O1639" t="s">
        <v>5223</v>
      </c>
      <c r="P1639" t="s">
        <v>8860</v>
      </c>
      <c r="Q1639">
        <v>56.73</v>
      </c>
      <c r="R1639" t="s">
        <v>2001</v>
      </c>
      <c r="S1639">
        <v>1.26</v>
      </c>
      <c r="T1639">
        <v>33.24</v>
      </c>
      <c r="U1639" t="s">
        <v>685</v>
      </c>
      <c r="V1639" t="s">
        <v>2273</v>
      </c>
      <c r="W1639" t="s">
        <v>1810</v>
      </c>
      <c r="X1639">
        <v>1.6</v>
      </c>
      <c r="Y1639" t="s">
        <v>695</v>
      </c>
      <c r="Z1639" t="s">
        <v>318</v>
      </c>
      <c r="AA1639" t="s">
        <v>4439</v>
      </c>
      <c r="AB1639">
        <v>2.72</v>
      </c>
      <c r="AC1639" t="s">
        <v>316</v>
      </c>
      <c r="AD1639">
        <v>80.44</v>
      </c>
      <c r="AE1639" t="s">
        <v>264</v>
      </c>
      <c r="AF1639">
        <v>4.32</v>
      </c>
      <c r="AG1639">
        <v>0</v>
      </c>
      <c r="AH1639">
        <v>0</v>
      </c>
      <c r="AI1639" s="4">
        <v>42811</v>
      </c>
    </row>
    <row r="1640" spans="1:35">
      <c r="A1640">
        <v>1639</v>
      </c>
      <c r="B1640" t="str">
        <f>"002919"</f>
        <v>002919</v>
      </c>
      <c r="C1640" t="s">
        <v>8861</v>
      </c>
      <c r="D1640" s="4">
        <v>43190</v>
      </c>
      <c r="E1640" t="s">
        <v>8862</v>
      </c>
      <c r="F1640" t="s">
        <v>6554</v>
      </c>
      <c r="G1640">
        <v>1169</v>
      </c>
      <c r="H1640">
        <v>0.11</v>
      </c>
      <c r="I1640">
        <v>6.51</v>
      </c>
      <c r="J1640">
        <v>1.6</v>
      </c>
      <c r="K1640" t="s">
        <v>677</v>
      </c>
      <c r="L1640">
        <v>-12.05</v>
      </c>
      <c r="M1640" t="s">
        <v>8863</v>
      </c>
      <c r="N1640" t="s">
        <v>1558</v>
      </c>
      <c r="O1640" t="s">
        <v>8864</v>
      </c>
      <c r="P1640" t="s">
        <v>8865</v>
      </c>
      <c r="Q1640">
        <v>-14.83</v>
      </c>
      <c r="R1640" t="s">
        <v>6713</v>
      </c>
      <c r="S1640">
        <v>0.91</v>
      </c>
      <c r="T1640">
        <v>37.04</v>
      </c>
      <c r="U1640" t="s">
        <v>563</v>
      </c>
      <c r="V1640" t="s">
        <v>1056</v>
      </c>
      <c r="W1640" t="s">
        <v>8866</v>
      </c>
      <c r="X1640">
        <v>1.6</v>
      </c>
      <c r="Y1640" t="s">
        <v>1365</v>
      </c>
      <c r="Z1640" t="s">
        <v>1365</v>
      </c>
      <c r="AA1640" t="s">
        <v>4029</v>
      </c>
      <c r="AB1640">
        <v>5.6</v>
      </c>
      <c r="AC1640" t="s">
        <v>127</v>
      </c>
      <c r="AD1640">
        <v>81.459999999999994</v>
      </c>
      <c r="AE1640" t="s">
        <v>707</v>
      </c>
      <c r="AF1640">
        <v>4.47</v>
      </c>
      <c r="AG1640">
        <v>0</v>
      </c>
      <c r="AH1640">
        <v>0</v>
      </c>
      <c r="AI1640" s="4">
        <v>43087</v>
      </c>
    </row>
    <row r="1641" spans="1:35">
      <c r="A1641">
        <v>1640</v>
      </c>
      <c r="B1641" t="str">
        <f>"002479"</f>
        <v>002479</v>
      </c>
      <c r="C1641" t="s">
        <v>8867</v>
      </c>
      <c r="D1641" s="4">
        <v>43190</v>
      </c>
      <c r="E1641" t="s">
        <v>5880</v>
      </c>
      <c r="F1641" t="s">
        <v>1651</v>
      </c>
      <c r="G1641" t="s">
        <v>2229</v>
      </c>
      <c r="H1641">
        <v>0.05</v>
      </c>
      <c r="I1641">
        <v>4.05</v>
      </c>
      <c r="J1641">
        <v>1.6</v>
      </c>
      <c r="K1641" t="s">
        <v>190</v>
      </c>
      <c r="L1641">
        <v>-17.2</v>
      </c>
      <c r="M1641" t="s">
        <v>8868</v>
      </c>
      <c r="N1641" t="s">
        <v>5090</v>
      </c>
      <c r="O1641" t="s">
        <v>8869</v>
      </c>
      <c r="P1641" t="s">
        <v>8870</v>
      </c>
      <c r="Q1641">
        <v>-42.21</v>
      </c>
      <c r="R1641" t="s">
        <v>77</v>
      </c>
      <c r="S1641">
        <v>0.98</v>
      </c>
      <c r="T1641">
        <v>18.41</v>
      </c>
      <c r="U1641" t="s">
        <v>956</v>
      </c>
      <c r="V1641" t="s">
        <v>407</v>
      </c>
      <c r="W1641" t="s">
        <v>1158</v>
      </c>
      <c r="X1641">
        <v>1.6</v>
      </c>
      <c r="Y1641" t="s">
        <v>1284</v>
      </c>
      <c r="Z1641" t="s">
        <v>183</v>
      </c>
      <c r="AA1641" t="s">
        <v>3061</v>
      </c>
      <c r="AB1641">
        <v>1.38</v>
      </c>
      <c r="AC1641" t="s">
        <v>1242</v>
      </c>
      <c r="AD1641">
        <v>56.52</v>
      </c>
      <c r="AE1641" t="s">
        <v>978</v>
      </c>
      <c r="AF1641">
        <v>2.0099999999999998</v>
      </c>
      <c r="AG1641">
        <v>0</v>
      </c>
      <c r="AH1641">
        <v>0</v>
      </c>
      <c r="AI1641" s="4">
        <v>40442</v>
      </c>
    </row>
    <row r="1642" spans="1:35">
      <c r="A1642">
        <v>1641</v>
      </c>
      <c r="B1642" t="str">
        <f>"002087"</f>
        <v>002087</v>
      </c>
      <c r="C1642" t="s">
        <v>8871</v>
      </c>
      <c r="D1642" s="4">
        <v>43190</v>
      </c>
      <c r="E1642" t="s">
        <v>782</v>
      </c>
      <c r="F1642" t="s">
        <v>1477</v>
      </c>
      <c r="G1642" t="s">
        <v>5021</v>
      </c>
      <c r="H1642">
        <v>0.06</v>
      </c>
      <c r="I1642">
        <v>4.04</v>
      </c>
      <c r="J1642">
        <v>1.6</v>
      </c>
      <c r="K1642" t="s">
        <v>1025</v>
      </c>
      <c r="L1642">
        <v>16.25</v>
      </c>
      <c r="M1642" t="s">
        <v>4443</v>
      </c>
      <c r="N1642">
        <v>0</v>
      </c>
      <c r="O1642" t="s">
        <v>8872</v>
      </c>
      <c r="P1642" t="s">
        <v>8873</v>
      </c>
      <c r="Q1642">
        <v>128.36000000000001</v>
      </c>
      <c r="R1642" t="s">
        <v>926</v>
      </c>
      <c r="S1642">
        <v>1.57</v>
      </c>
      <c r="T1642">
        <v>16.100000000000001</v>
      </c>
      <c r="U1642" t="s">
        <v>2248</v>
      </c>
      <c r="V1642" t="s">
        <v>1925</v>
      </c>
      <c r="W1642" t="s">
        <v>685</v>
      </c>
      <c r="X1642">
        <v>1.6</v>
      </c>
      <c r="Y1642" t="s">
        <v>3645</v>
      </c>
      <c r="Z1642" t="s">
        <v>1350</v>
      </c>
      <c r="AA1642" t="s">
        <v>1294</v>
      </c>
      <c r="AB1642">
        <v>1.1000000000000001</v>
      </c>
      <c r="AC1642" t="s">
        <v>461</v>
      </c>
      <c r="AD1642">
        <v>37.6</v>
      </c>
      <c r="AE1642" t="s">
        <v>919</v>
      </c>
      <c r="AF1642">
        <v>1.28</v>
      </c>
      <c r="AG1642">
        <v>0</v>
      </c>
      <c r="AH1642">
        <v>0</v>
      </c>
      <c r="AI1642" s="4">
        <v>39051</v>
      </c>
    </row>
    <row r="1643" spans="1:35">
      <c r="A1643">
        <v>1642</v>
      </c>
      <c r="B1643" t="str">
        <f>"002030"</f>
        <v>002030</v>
      </c>
      <c r="C1643" t="s">
        <v>8874</v>
      </c>
      <c r="D1643" s="4">
        <v>43190</v>
      </c>
      <c r="E1643" t="s">
        <v>2380</v>
      </c>
      <c r="F1643" t="s">
        <v>869</v>
      </c>
      <c r="G1643">
        <v>7272</v>
      </c>
      <c r="H1643">
        <v>0.03</v>
      </c>
      <c r="I1643">
        <v>2.16</v>
      </c>
      <c r="J1643">
        <v>1.6</v>
      </c>
      <c r="K1643" t="s">
        <v>1934</v>
      </c>
      <c r="L1643">
        <v>11.11</v>
      </c>
      <c r="M1643" t="s">
        <v>8875</v>
      </c>
      <c r="N1643">
        <v>-3116</v>
      </c>
      <c r="O1643" t="s">
        <v>8876</v>
      </c>
      <c r="P1643" t="s">
        <v>8877</v>
      </c>
      <c r="Q1643">
        <v>3.03</v>
      </c>
      <c r="R1643" t="s">
        <v>2889</v>
      </c>
      <c r="S1643">
        <v>0.28999999999999998</v>
      </c>
      <c r="T1643">
        <v>41.78</v>
      </c>
      <c r="U1643" t="s">
        <v>1841</v>
      </c>
      <c r="V1643" t="s">
        <v>1396</v>
      </c>
      <c r="W1643" t="s">
        <v>365</v>
      </c>
      <c r="X1643">
        <v>1.6</v>
      </c>
      <c r="Y1643" t="s">
        <v>712</v>
      </c>
      <c r="Z1643" t="s">
        <v>304</v>
      </c>
      <c r="AA1643" t="s">
        <v>3441</v>
      </c>
      <c r="AB1643">
        <v>6.73</v>
      </c>
      <c r="AC1643" t="s">
        <v>867</v>
      </c>
      <c r="AD1643">
        <v>36.35</v>
      </c>
      <c r="AE1643" t="s">
        <v>43</v>
      </c>
      <c r="AF1643">
        <v>0.83</v>
      </c>
      <c r="AG1643">
        <v>0</v>
      </c>
      <c r="AH1643">
        <v>0</v>
      </c>
      <c r="AI1643" s="4">
        <v>38208</v>
      </c>
    </row>
    <row r="1644" spans="1:35">
      <c r="A1644">
        <v>1643</v>
      </c>
      <c r="B1644" t="str">
        <f>"000966"</f>
        <v>000966</v>
      </c>
      <c r="C1644" t="s">
        <v>8878</v>
      </c>
      <c r="D1644" s="4">
        <v>43190</v>
      </c>
      <c r="E1644" t="s">
        <v>323</v>
      </c>
      <c r="F1644" t="s">
        <v>323</v>
      </c>
      <c r="G1644" t="s">
        <v>8879</v>
      </c>
      <c r="H1644">
        <v>0.05</v>
      </c>
      <c r="I1644">
        <v>2.97</v>
      </c>
      <c r="J1644">
        <v>1.6</v>
      </c>
      <c r="K1644" t="s">
        <v>298</v>
      </c>
      <c r="L1644">
        <v>3.27</v>
      </c>
      <c r="M1644" t="s">
        <v>490</v>
      </c>
      <c r="N1644" t="s">
        <v>8880</v>
      </c>
      <c r="O1644" t="s">
        <v>8881</v>
      </c>
      <c r="P1644" t="s">
        <v>8882</v>
      </c>
      <c r="Q1644">
        <v>6.52</v>
      </c>
      <c r="R1644" t="s">
        <v>323</v>
      </c>
      <c r="S1644">
        <v>1</v>
      </c>
      <c r="T1644">
        <v>10.31</v>
      </c>
      <c r="U1644" t="s">
        <v>8883</v>
      </c>
      <c r="V1644" t="s">
        <v>101</v>
      </c>
      <c r="W1644" t="s">
        <v>3826</v>
      </c>
      <c r="X1644">
        <v>1.6</v>
      </c>
      <c r="Y1644" t="s">
        <v>2390</v>
      </c>
      <c r="Z1644" t="s">
        <v>230</v>
      </c>
      <c r="AA1644" t="s">
        <v>1920</v>
      </c>
      <c r="AB1644">
        <v>0.9</v>
      </c>
      <c r="AC1644" t="s">
        <v>461</v>
      </c>
      <c r="AD1644">
        <v>34.85</v>
      </c>
      <c r="AE1644" t="s">
        <v>88</v>
      </c>
      <c r="AF1644">
        <v>0.86</v>
      </c>
      <c r="AG1644">
        <v>0</v>
      </c>
      <c r="AH1644">
        <v>0</v>
      </c>
      <c r="AI1644" s="4">
        <v>36601</v>
      </c>
    </row>
    <row r="1645" spans="1:35">
      <c r="A1645">
        <v>1644</v>
      </c>
      <c r="B1645" t="str">
        <f>"000043"</f>
        <v>000043</v>
      </c>
      <c r="C1645" t="s">
        <v>8884</v>
      </c>
      <c r="D1645" s="4">
        <v>43190</v>
      </c>
      <c r="E1645" t="s">
        <v>1117</v>
      </c>
      <c r="F1645" t="s">
        <v>1117</v>
      </c>
      <c r="G1645" t="s">
        <v>7342</v>
      </c>
      <c r="H1645">
        <v>0.1</v>
      </c>
      <c r="I1645">
        <v>6.27</v>
      </c>
      <c r="J1645">
        <v>1.6</v>
      </c>
      <c r="K1645" t="s">
        <v>391</v>
      </c>
      <c r="L1645">
        <v>51.86</v>
      </c>
      <c r="M1645" t="s">
        <v>1349</v>
      </c>
      <c r="N1645" t="s">
        <v>6009</v>
      </c>
      <c r="O1645" t="s">
        <v>1627</v>
      </c>
      <c r="P1645" t="s">
        <v>8885</v>
      </c>
      <c r="Q1645">
        <v>188.31</v>
      </c>
      <c r="R1645" t="s">
        <v>1675</v>
      </c>
      <c r="S1645">
        <v>3.98</v>
      </c>
      <c r="T1645">
        <v>21.72</v>
      </c>
      <c r="U1645" t="s">
        <v>1194</v>
      </c>
      <c r="V1645" t="s">
        <v>558</v>
      </c>
      <c r="W1645" t="s">
        <v>3250</v>
      </c>
      <c r="X1645">
        <v>1.6</v>
      </c>
      <c r="Y1645" t="s">
        <v>1222</v>
      </c>
      <c r="Z1645" t="s">
        <v>8886</v>
      </c>
      <c r="AA1645" t="s">
        <v>573</v>
      </c>
      <c r="AB1645">
        <v>1.1399999999999999</v>
      </c>
      <c r="AC1645" t="s">
        <v>2600</v>
      </c>
      <c r="AD1645">
        <v>22.22</v>
      </c>
      <c r="AE1645" t="s">
        <v>318</v>
      </c>
      <c r="AF1645">
        <v>0.82</v>
      </c>
      <c r="AG1645">
        <v>0</v>
      </c>
      <c r="AH1645">
        <v>0</v>
      </c>
      <c r="AI1645" s="4">
        <v>34605</v>
      </c>
    </row>
    <row r="1646" spans="1:35">
      <c r="A1646">
        <v>1645</v>
      </c>
      <c r="B1646" t="str">
        <f>"603878"</f>
        <v>603878</v>
      </c>
      <c r="C1646" t="s">
        <v>8887</v>
      </c>
      <c r="D1646" s="4">
        <v>43190</v>
      </c>
      <c r="E1646" t="s">
        <v>1853</v>
      </c>
      <c r="F1646" t="s">
        <v>651</v>
      </c>
      <c r="G1646">
        <v>4588</v>
      </c>
      <c r="H1646">
        <v>0.16</v>
      </c>
      <c r="I1646">
        <v>9.86</v>
      </c>
      <c r="J1646">
        <v>1.59</v>
      </c>
      <c r="K1646" t="s">
        <v>2468</v>
      </c>
      <c r="L1646">
        <v>70.88</v>
      </c>
      <c r="M1646" t="s">
        <v>6221</v>
      </c>
      <c r="N1646" t="s">
        <v>8888</v>
      </c>
      <c r="O1646" t="s">
        <v>2776</v>
      </c>
      <c r="P1646" t="s">
        <v>8889</v>
      </c>
      <c r="Q1646">
        <v>269.82</v>
      </c>
      <c r="R1646" t="s">
        <v>1993</v>
      </c>
      <c r="S1646">
        <v>3.13</v>
      </c>
      <c r="T1646">
        <v>16.010000000000002</v>
      </c>
      <c r="U1646" t="s">
        <v>2100</v>
      </c>
      <c r="V1646" t="s">
        <v>877</v>
      </c>
      <c r="W1646" t="s">
        <v>4756</v>
      </c>
      <c r="X1646">
        <v>1.59</v>
      </c>
      <c r="Y1646" t="s">
        <v>3250</v>
      </c>
      <c r="Z1646" t="s">
        <v>105</v>
      </c>
      <c r="AA1646" t="s">
        <v>8890</v>
      </c>
      <c r="AB1646">
        <v>1.44</v>
      </c>
      <c r="AC1646" t="s">
        <v>251</v>
      </c>
      <c r="AD1646">
        <v>76.73</v>
      </c>
      <c r="AE1646" t="s">
        <v>295</v>
      </c>
      <c r="AF1646">
        <v>5.29</v>
      </c>
      <c r="AG1646">
        <v>0</v>
      </c>
      <c r="AH1646">
        <v>0</v>
      </c>
      <c r="AI1646" s="4">
        <v>42723</v>
      </c>
    </row>
    <row r="1647" spans="1:35">
      <c r="A1647">
        <v>1646</v>
      </c>
      <c r="B1647" t="str">
        <f>"603007"</f>
        <v>603007</v>
      </c>
      <c r="C1647" t="s">
        <v>8891</v>
      </c>
      <c r="D1647" s="4">
        <v>43190</v>
      </c>
      <c r="E1647" t="s">
        <v>1074</v>
      </c>
      <c r="F1647" t="s">
        <v>3332</v>
      </c>
      <c r="G1647">
        <v>8606</v>
      </c>
      <c r="H1647">
        <v>0.05</v>
      </c>
      <c r="I1647">
        <v>3.03</v>
      </c>
      <c r="J1647">
        <v>1.59</v>
      </c>
      <c r="K1647" t="s">
        <v>292</v>
      </c>
      <c r="L1647">
        <v>59.53</v>
      </c>
      <c r="M1647" t="s">
        <v>8892</v>
      </c>
      <c r="N1647" t="s">
        <v>8893</v>
      </c>
      <c r="O1647" t="s">
        <v>8894</v>
      </c>
      <c r="P1647" t="s">
        <v>3106</v>
      </c>
      <c r="Q1647">
        <v>-44.75</v>
      </c>
      <c r="R1647" t="s">
        <v>346</v>
      </c>
      <c r="S1647">
        <v>1.23</v>
      </c>
      <c r="T1647">
        <v>29.16</v>
      </c>
      <c r="U1647" t="s">
        <v>589</v>
      </c>
      <c r="V1647" t="s">
        <v>624</v>
      </c>
      <c r="W1647" t="s">
        <v>8895</v>
      </c>
      <c r="X1647">
        <v>1.59</v>
      </c>
      <c r="Y1647" t="s">
        <v>754</v>
      </c>
      <c r="Z1647" t="s">
        <v>1307</v>
      </c>
      <c r="AA1647" t="s">
        <v>1645</v>
      </c>
      <c r="AB1647">
        <v>3.45</v>
      </c>
      <c r="AC1647" t="s">
        <v>895</v>
      </c>
      <c r="AD1647">
        <v>34.64</v>
      </c>
      <c r="AE1647" t="s">
        <v>1202</v>
      </c>
      <c r="AF1647">
        <v>0.63</v>
      </c>
      <c r="AG1647">
        <v>0</v>
      </c>
      <c r="AH1647">
        <v>0</v>
      </c>
      <c r="AI1647" s="4">
        <v>42608</v>
      </c>
    </row>
    <row r="1648" spans="1:35">
      <c r="A1648">
        <v>1647</v>
      </c>
      <c r="B1648" t="str">
        <f>"600017"</f>
        <v>600017</v>
      </c>
      <c r="C1648" t="s">
        <v>8896</v>
      </c>
      <c r="D1648" s="4">
        <v>43190</v>
      </c>
      <c r="E1648" t="s">
        <v>946</v>
      </c>
      <c r="F1648" t="s">
        <v>946</v>
      </c>
      <c r="G1648" t="s">
        <v>5811</v>
      </c>
      <c r="H1648">
        <v>0.06</v>
      </c>
      <c r="I1648">
        <v>3.5</v>
      </c>
      <c r="J1648">
        <v>1.59</v>
      </c>
      <c r="K1648" t="s">
        <v>300</v>
      </c>
      <c r="L1648">
        <v>6.99</v>
      </c>
      <c r="M1648" t="s">
        <v>1049</v>
      </c>
      <c r="N1648" t="s">
        <v>2920</v>
      </c>
      <c r="O1648" t="s">
        <v>1049</v>
      </c>
      <c r="P1648" t="s">
        <v>368</v>
      </c>
      <c r="Q1648">
        <v>59.08</v>
      </c>
      <c r="R1648" t="s">
        <v>351</v>
      </c>
      <c r="S1648">
        <v>1.34</v>
      </c>
      <c r="T1648">
        <v>29.54</v>
      </c>
      <c r="U1648" t="s">
        <v>5133</v>
      </c>
      <c r="V1648" t="s">
        <v>1161</v>
      </c>
      <c r="W1648" t="s">
        <v>232</v>
      </c>
      <c r="X1648">
        <v>1.59</v>
      </c>
      <c r="Y1648" t="s">
        <v>4487</v>
      </c>
      <c r="Z1648" t="s">
        <v>1748</v>
      </c>
      <c r="AA1648" t="s">
        <v>2535</v>
      </c>
      <c r="AB1648">
        <v>0.89</v>
      </c>
      <c r="AC1648" t="s">
        <v>1159</v>
      </c>
      <c r="AD1648">
        <v>52.83</v>
      </c>
      <c r="AE1648" t="s">
        <v>583</v>
      </c>
      <c r="AF1648">
        <v>0.96</v>
      </c>
      <c r="AG1648">
        <v>0</v>
      </c>
      <c r="AH1648">
        <v>0</v>
      </c>
      <c r="AI1648" s="4">
        <v>39007</v>
      </c>
    </row>
    <row r="1649" spans="1:35">
      <c r="A1649">
        <v>1648</v>
      </c>
      <c r="B1649" t="str">
        <f>"300363"</f>
        <v>300363</v>
      </c>
      <c r="C1649" t="s">
        <v>8897</v>
      </c>
      <c r="D1649" s="4">
        <v>43190</v>
      </c>
      <c r="E1649" t="s">
        <v>806</v>
      </c>
      <c r="F1649" t="s">
        <v>325</v>
      </c>
      <c r="G1649" t="s">
        <v>1763</v>
      </c>
      <c r="H1649">
        <v>0.05</v>
      </c>
      <c r="I1649">
        <v>3.26</v>
      </c>
      <c r="J1649">
        <v>1.59</v>
      </c>
      <c r="K1649" t="s">
        <v>1011</v>
      </c>
      <c r="L1649">
        <v>-40.57</v>
      </c>
      <c r="M1649" t="s">
        <v>4983</v>
      </c>
      <c r="N1649" t="s">
        <v>7600</v>
      </c>
      <c r="O1649" t="s">
        <v>1014</v>
      </c>
      <c r="P1649" t="s">
        <v>8898</v>
      </c>
      <c r="Q1649">
        <v>-60.88</v>
      </c>
      <c r="R1649" t="s">
        <v>1408</v>
      </c>
      <c r="S1649">
        <v>1.53</v>
      </c>
      <c r="T1649">
        <v>33.94</v>
      </c>
      <c r="U1649" t="s">
        <v>450</v>
      </c>
      <c r="V1649" t="s">
        <v>353</v>
      </c>
      <c r="W1649" t="s">
        <v>263</v>
      </c>
      <c r="X1649">
        <v>1.59</v>
      </c>
      <c r="Y1649" t="s">
        <v>840</v>
      </c>
      <c r="Z1649" t="s">
        <v>539</v>
      </c>
      <c r="AA1649" t="s">
        <v>1076</v>
      </c>
      <c r="AB1649">
        <v>3.01</v>
      </c>
      <c r="AC1649" t="s">
        <v>624</v>
      </c>
      <c r="AD1649">
        <v>50.24</v>
      </c>
      <c r="AE1649" t="s">
        <v>492</v>
      </c>
      <c r="AF1649">
        <v>0.61</v>
      </c>
      <c r="AG1649">
        <v>0</v>
      </c>
      <c r="AH1649">
        <v>0</v>
      </c>
      <c r="AI1649" s="4">
        <v>41668</v>
      </c>
    </row>
    <row r="1650" spans="1:35">
      <c r="A1650">
        <v>1649</v>
      </c>
      <c r="B1650" t="str">
        <f>"002886"</f>
        <v>002886</v>
      </c>
      <c r="C1650" t="s">
        <v>8899</v>
      </c>
      <c r="D1650" s="4">
        <v>43190</v>
      </c>
      <c r="E1650" t="s">
        <v>1626</v>
      </c>
      <c r="F1650" t="s">
        <v>6923</v>
      </c>
      <c r="G1650">
        <v>1679</v>
      </c>
      <c r="H1650">
        <v>0.09</v>
      </c>
      <c r="I1650">
        <v>5.34</v>
      </c>
      <c r="J1650">
        <v>1.59</v>
      </c>
      <c r="K1650" t="s">
        <v>368</v>
      </c>
      <c r="L1650">
        <v>22.87</v>
      </c>
      <c r="M1650" t="s">
        <v>8900</v>
      </c>
      <c r="N1650" t="s">
        <v>2476</v>
      </c>
      <c r="O1650" t="s">
        <v>8900</v>
      </c>
      <c r="P1650" t="s">
        <v>5315</v>
      </c>
      <c r="Q1650">
        <v>13.4</v>
      </c>
      <c r="R1650" t="s">
        <v>262</v>
      </c>
      <c r="S1650">
        <v>1.82</v>
      </c>
      <c r="T1650">
        <v>18.190000000000001</v>
      </c>
      <c r="U1650" t="s">
        <v>978</v>
      </c>
      <c r="V1650" t="s">
        <v>1590</v>
      </c>
      <c r="W1650" t="s">
        <v>319</v>
      </c>
      <c r="X1650">
        <v>1.59</v>
      </c>
      <c r="Y1650" t="s">
        <v>1934</v>
      </c>
      <c r="Z1650" t="s">
        <v>156</v>
      </c>
      <c r="AA1650" t="s">
        <v>6758</v>
      </c>
      <c r="AB1650">
        <v>4.3899999999999997</v>
      </c>
      <c r="AC1650" t="s">
        <v>2295</v>
      </c>
      <c r="AD1650">
        <v>62.06</v>
      </c>
      <c r="AE1650" t="s">
        <v>2551</v>
      </c>
      <c r="AF1650">
        <v>2.3199999999999998</v>
      </c>
      <c r="AG1650">
        <v>0</v>
      </c>
      <c r="AH1650">
        <v>0</v>
      </c>
      <c r="AI1650" s="4">
        <v>42913</v>
      </c>
    </row>
    <row r="1651" spans="1:35">
      <c r="A1651">
        <v>1650</v>
      </c>
      <c r="B1651" t="str">
        <f>"002817"</f>
        <v>002817</v>
      </c>
      <c r="C1651" t="s">
        <v>8901</v>
      </c>
      <c r="D1651" s="4">
        <v>43190</v>
      </c>
      <c r="E1651" t="s">
        <v>8533</v>
      </c>
      <c r="F1651" t="s">
        <v>5969</v>
      </c>
      <c r="G1651">
        <v>2687</v>
      </c>
      <c r="H1651">
        <v>0.12</v>
      </c>
      <c r="I1651">
        <v>7.7</v>
      </c>
      <c r="J1651">
        <v>1.59</v>
      </c>
      <c r="K1651" t="s">
        <v>8902</v>
      </c>
      <c r="L1651">
        <v>-1.81</v>
      </c>
      <c r="M1651" t="s">
        <v>3042</v>
      </c>
      <c r="N1651" t="s">
        <v>8903</v>
      </c>
      <c r="O1651" t="s">
        <v>3041</v>
      </c>
      <c r="P1651" t="s">
        <v>8904</v>
      </c>
      <c r="Q1651">
        <v>-18.66</v>
      </c>
      <c r="R1651" t="s">
        <v>507</v>
      </c>
      <c r="S1651">
        <v>2.88</v>
      </c>
      <c r="T1651">
        <v>33.950000000000003</v>
      </c>
      <c r="U1651" t="s">
        <v>1608</v>
      </c>
      <c r="V1651" t="s">
        <v>999</v>
      </c>
      <c r="W1651" t="s">
        <v>293</v>
      </c>
      <c r="X1651">
        <v>1.59</v>
      </c>
      <c r="Y1651" t="s">
        <v>8905</v>
      </c>
      <c r="Z1651" t="s">
        <v>8906</v>
      </c>
      <c r="AA1651" t="s">
        <v>7102</v>
      </c>
      <c r="AB1651">
        <v>2.91</v>
      </c>
      <c r="AC1651" t="s">
        <v>883</v>
      </c>
      <c r="AD1651">
        <v>88.74</v>
      </c>
      <c r="AE1651" t="s">
        <v>1810</v>
      </c>
      <c r="AF1651">
        <v>3.43</v>
      </c>
      <c r="AG1651">
        <v>0</v>
      </c>
      <c r="AH1651">
        <v>0</v>
      </c>
      <c r="AI1651" s="4">
        <v>42668</v>
      </c>
    </row>
    <row r="1652" spans="1:35">
      <c r="A1652">
        <v>1651</v>
      </c>
      <c r="B1652" t="str">
        <f>"002702"</f>
        <v>002702</v>
      </c>
      <c r="C1652" t="s">
        <v>8907</v>
      </c>
      <c r="D1652" s="4">
        <v>43190</v>
      </c>
      <c r="E1652" t="s">
        <v>2792</v>
      </c>
      <c r="F1652" t="s">
        <v>36</v>
      </c>
      <c r="G1652">
        <v>4976</v>
      </c>
      <c r="H1652">
        <v>0.03</v>
      </c>
      <c r="I1652">
        <v>1.63</v>
      </c>
      <c r="J1652">
        <v>1.59</v>
      </c>
      <c r="K1652" t="s">
        <v>2387</v>
      </c>
      <c r="L1652">
        <v>42.94</v>
      </c>
      <c r="M1652" t="s">
        <v>8908</v>
      </c>
      <c r="N1652" t="s">
        <v>2520</v>
      </c>
      <c r="O1652" t="s">
        <v>3106</v>
      </c>
      <c r="P1652" t="s">
        <v>2430</v>
      </c>
      <c r="Q1652">
        <v>409</v>
      </c>
      <c r="R1652" t="s">
        <v>321</v>
      </c>
      <c r="S1652">
        <v>0.35</v>
      </c>
      <c r="T1652">
        <v>34.619999999999997</v>
      </c>
      <c r="U1652" t="s">
        <v>1496</v>
      </c>
      <c r="V1652" t="s">
        <v>3368</v>
      </c>
      <c r="W1652" t="s">
        <v>1206</v>
      </c>
      <c r="X1652">
        <v>1.59</v>
      </c>
      <c r="Y1652" t="s">
        <v>916</v>
      </c>
      <c r="Z1652" t="s">
        <v>1210</v>
      </c>
      <c r="AA1652" t="s">
        <v>7755</v>
      </c>
      <c r="AB1652">
        <v>3</v>
      </c>
      <c r="AC1652" t="s">
        <v>911</v>
      </c>
      <c r="AD1652">
        <v>76.819999999999993</v>
      </c>
      <c r="AE1652" t="s">
        <v>197</v>
      </c>
      <c r="AF1652">
        <v>0.22</v>
      </c>
      <c r="AG1652">
        <v>0</v>
      </c>
      <c r="AH1652">
        <v>0</v>
      </c>
      <c r="AI1652" s="4">
        <v>41193</v>
      </c>
    </row>
    <row r="1653" spans="1:35">
      <c r="A1653">
        <v>1652</v>
      </c>
      <c r="B1653" t="str">
        <f>"002383"</f>
        <v>002383</v>
      </c>
      <c r="C1653" t="s">
        <v>8909</v>
      </c>
      <c r="D1653" s="4">
        <v>43190</v>
      </c>
      <c r="E1653" t="s">
        <v>2646</v>
      </c>
      <c r="F1653" t="s">
        <v>1806</v>
      </c>
      <c r="G1653" t="s">
        <v>3310</v>
      </c>
      <c r="H1653">
        <v>7.0000000000000007E-2</v>
      </c>
      <c r="I1653">
        <v>5</v>
      </c>
      <c r="J1653">
        <v>1.59</v>
      </c>
      <c r="K1653" t="s">
        <v>4384</v>
      </c>
      <c r="L1653">
        <v>214.22</v>
      </c>
      <c r="M1653" t="s">
        <v>8910</v>
      </c>
      <c r="N1653" t="s">
        <v>8911</v>
      </c>
      <c r="O1653" t="s">
        <v>8912</v>
      </c>
      <c r="P1653" t="s">
        <v>8913</v>
      </c>
      <c r="Q1653">
        <v>962.14</v>
      </c>
      <c r="R1653" t="s">
        <v>2851</v>
      </c>
      <c r="S1653">
        <v>0.75</v>
      </c>
      <c r="T1653">
        <v>25.58</v>
      </c>
      <c r="U1653" t="s">
        <v>3285</v>
      </c>
      <c r="V1653" t="s">
        <v>1776</v>
      </c>
      <c r="W1653" t="s">
        <v>662</v>
      </c>
      <c r="X1653">
        <v>1.59</v>
      </c>
      <c r="Y1653" t="s">
        <v>777</v>
      </c>
      <c r="Z1653" t="s">
        <v>2106</v>
      </c>
      <c r="AA1653" t="s">
        <v>443</v>
      </c>
      <c r="AB1653">
        <v>3.3</v>
      </c>
      <c r="AC1653" t="s">
        <v>1486</v>
      </c>
      <c r="AD1653">
        <v>43.1</v>
      </c>
      <c r="AE1653" t="s">
        <v>352</v>
      </c>
      <c r="AF1653">
        <v>3.29</v>
      </c>
      <c r="AG1653">
        <v>0</v>
      </c>
      <c r="AH1653">
        <v>0</v>
      </c>
      <c r="AI1653" s="4">
        <v>40270</v>
      </c>
    </row>
    <row r="1654" spans="1:35">
      <c r="A1654">
        <v>1653</v>
      </c>
      <c r="B1654" t="str">
        <f>"000960"</f>
        <v>000960</v>
      </c>
      <c r="C1654" t="s">
        <v>8914</v>
      </c>
      <c r="D1654" s="4">
        <v>43190</v>
      </c>
      <c r="E1654" t="s">
        <v>1190</v>
      </c>
      <c r="F1654" t="s">
        <v>264</v>
      </c>
      <c r="G1654" t="s">
        <v>4389</v>
      </c>
      <c r="H1654">
        <v>0.11</v>
      </c>
      <c r="I1654">
        <v>6.66</v>
      </c>
      <c r="J1654">
        <v>1.59</v>
      </c>
      <c r="K1654" t="s">
        <v>3381</v>
      </c>
      <c r="L1654">
        <v>17.93</v>
      </c>
      <c r="M1654" t="s">
        <v>52</v>
      </c>
      <c r="N1654" t="s">
        <v>8026</v>
      </c>
      <c r="O1654" t="s">
        <v>144</v>
      </c>
      <c r="P1654" t="s">
        <v>603</v>
      </c>
      <c r="Q1654">
        <v>21.79</v>
      </c>
      <c r="R1654" t="s">
        <v>1364</v>
      </c>
      <c r="S1654">
        <v>0.13</v>
      </c>
      <c r="T1654">
        <v>9.2200000000000006</v>
      </c>
      <c r="U1654" t="s">
        <v>2357</v>
      </c>
      <c r="V1654" t="s">
        <v>1465</v>
      </c>
      <c r="W1654" t="s">
        <v>466</v>
      </c>
      <c r="X1654">
        <v>1.59</v>
      </c>
      <c r="Y1654" t="s">
        <v>761</v>
      </c>
      <c r="Z1654" t="s">
        <v>587</v>
      </c>
      <c r="AA1654" t="s">
        <v>447</v>
      </c>
      <c r="AB1654">
        <v>1.8</v>
      </c>
      <c r="AC1654" t="s">
        <v>558</v>
      </c>
      <c r="AD1654">
        <v>34.58</v>
      </c>
      <c r="AE1654" t="s">
        <v>1189</v>
      </c>
      <c r="AF1654">
        <v>5.3</v>
      </c>
      <c r="AG1654">
        <v>0</v>
      </c>
      <c r="AH1654">
        <v>0</v>
      </c>
      <c r="AI1654" s="4">
        <v>36577</v>
      </c>
    </row>
    <row r="1655" spans="1:35">
      <c r="A1655">
        <v>1654</v>
      </c>
      <c r="B1655" t="str">
        <f>"000623"</f>
        <v>000623</v>
      </c>
      <c r="C1655" t="s">
        <v>8915</v>
      </c>
      <c r="D1655" s="4">
        <v>43190</v>
      </c>
      <c r="E1655" t="s">
        <v>613</v>
      </c>
      <c r="F1655" t="s">
        <v>602</v>
      </c>
      <c r="G1655" t="s">
        <v>4747</v>
      </c>
      <c r="H1655">
        <v>0.28000000000000003</v>
      </c>
      <c r="I1655">
        <v>17.649999999999999</v>
      </c>
      <c r="J1655">
        <v>1.59</v>
      </c>
      <c r="K1655" t="s">
        <v>918</v>
      </c>
      <c r="L1655">
        <v>41.23</v>
      </c>
      <c r="M1655" t="s">
        <v>52</v>
      </c>
      <c r="N1655" t="s">
        <v>1995</v>
      </c>
      <c r="O1655" t="s">
        <v>678</v>
      </c>
      <c r="P1655" t="s">
        <v>89</v>
      </c>
      <c r="Q1655">
        <v>-22.38</v>
      </c>
      <c r="R1655" t="s">
        <v>794</v>
      </c>
      <c r="S1655">
        <v>11.52</v>
      </c>
      <c r="T1655">
        <v>72.819999999999993</v>
      </c>
      <c r="U1655" t="s">
        <v>3748</v>
      </c>
      <c r="V1655" t="s">
        <v>2389</v>
      </c>
      <c r="W1655" t="s">
        <v>1920</v>
      </c>
      <c r="X1655">
        <v>1.59</v>
      </c>
      <c r="Y1655" t="s">
        <v>1380</v>
      </c>
      <c r="Z1655" t="s">
        <v>4236</v>
      </c>
      <c r="AA1655" t="s">
        <v>114</v>
      </c>
      <c r="AB1655">
        <v>0.96</v>
      </c>
      <c r="AC1655" t="s">
        <v>2179</v>
      </c>
      <c r="AD1655">
        <v>86.18</v>
      </c>
      <c r="AE1655" t="s">
        <v>369</v>
      </c>
      <c r="AF1655">
        <v>3.5</v>
      </c>
      <c r="AG1655">
        <v>0</v>
      </c>
      <c r="AH1655">
        <v>0</v>
      </c>
      <c r="AI1655" s="4">
        <v>35366</v>
      </c>
    </row>
    <row r="1656" spans="1:35">
      <c r="A1656">
        <v>1655</v>
      </c>
      <c r="B1656" t="str">
        <f>"603936"</f>
        <v>603936</v>
      </c>
      <c r="C1656" t="s">
        <v>8916</v>
      </c>
      <c r="D1656" s="4">
        <v>43190</v>
      </c>
      <c r="E1656" t="s">
        <v>321</v>
      </c>
      <c r="F1656" t="s">
        <v>8917</v>
      </c>
      <c r="G1656">
        <v>3136</v>
      </c>
      <c r="H1656">
        <v>0.09</v>
      </c>
      <c r="I1656">
        <v>5.95</v>
      </c>
      <c r="J1656">
        <v>1.58</v>
      </c>
      <c r="K1656" t="s">
        <v>704</v>
      </c>
      <c r="L1656">
        <v>25</v>
      </c>
      <c r="M1656" t="s">
        <v>8918</v>
      </c>
      <c r="N1656" t="s">
        <v>8919</v>
      </c>
      <c r="O1656" t="s">
        <v>529</v>
      </c>
      <c r="P1656" t="s">
        <v>5581</v>
      </c>
      <c r="Q1656">
        <v>31.2</v>
      </c>
      <c r="R1656" t="s">
        <v>4044</v>
      </c>
      <c r="S1656">
        <v>2.6</v>
      </c>
      <c r="T1656">
        <v>16.760000000000002</v>
      </c>
      <c r="U1656" t="s">
        <v>1348</v>
      </c>
      <c r="V1656" t="s">
        <v>1033</v>
      </c>
      <c r="W1656" t="s">
        <v>1496</v>
      </c>
      <c r="X1656">
        <v>1.58</v>
      </c>
      <c r="Y1656" t="s">
        <v>538</v>
      </c>
      <c r="Z1656" t="s">
        <v>1025</v>
      </c>
      <c r="AA1656" t="s">
        <v>197</v>
      </c>
      <c r="AB1656">
        <v>3.59</v>
      </c>
      <c r="AC1656" t="s">
        <v>1094</v>
      </c>
      <c r="AD1656">
        <v>41.85</v>
      </c>
      <c r="AE1656" t="s">
        <v>2041</v>
      </c>
      <c r="AF1656">
        <v>2.06</v>
      </c>
      <c r="AG1656">
        <v>0</v>
      </c>
      <c r="AH1656">
        <v>0</v>
      </c>
      <c r="AI1656" s="4">
        <v>42347</v>
      </c>
    </row>
    <row r="1657" spans="1:35">
      <c r="A1657">
        <v>1656</v>
      </c>
      <c r="B1657" t="str">
        <f>"603916"</f>
        <v>603916</v>
      </c>
      <c r="C1657" t="s">
        <v>8920</v>
      </c>
      <c r="D1657" s="4">
        <v>43190</v>
      </c>
      <c r="E1657" t="s">
        <v>145</v>
      </c>
      <c r="F1657" t="s">
        <v>8921</v>
      </c>
      <c r="G1657">
        <v>2380</v>
      </c>
      <c r="H1657">
        <v>0.1</v>
      </c>
      <c r="I1657">
        <v>6.06</v>
      </c>
      <c r="J1657">
        <v>1.58</v>
      </c>
      <c r="K1657" t="s">
        <v>1383</v>
      </c>
      <c r="L1657">
        <v>35.299999999999997</v>
      </c>
      <c r="M1657" t="s">
        <v>8922</v>
      </c>
      <c r="N1657">
        <v>0</v>
      </c>
      <c r="O1657" t="s">
        <v>8923</v>
      </c>
      <c r="P1657" t="s">
        <v>8924</v>
      </c>
      <c r="Q1657">
        <v>-13.23</v>
      </c>
      <c r="R1657" t="s">
        <v>666</v>
      </c>
      <c r="S1657">
        <v>1.53</v>
      </c>
      <c r="T1657">
        <v>38.35</v>
      </c>
      <c r="U1657" t="s">
        <v>2523</v>
      </c>
      <c r="V1657" t="s">
        <v>983</v>
      </c>
      <c r="W1657" t="s">
        <v>1898</v>
      </c>
      <c r="X1657">
        <v>1.58</v>
      </c>
      <c r="Y1657" t="s">
        <v>3557</v>
      </c>
      <c r="Z1657" t="s">
        <v>1979</v>
      </c>
      <c r="AA1657" t="s">
        <v>471</v>
      </c>
      <c r="AB1657">
        <v>2.21</v>
      </c>
      <c r="AC1657" t="s">
        <v>183</v>
      </c>
      <c r="AD1657">
        <v>68.98</v>
      </c>
      <c r="AE1657" t="s">
        <v>1094</v>
      </c>
      <c r="AF1657">
        <v>3.33</v>
      </c>
      <c r="AG1657">
        <v>0</v>
      </c>
      <c r="AH1657">
        <v>0</v>
      </c>
      <c r="AI1657" s="4">
        <v>43049</v>
      </c>
    </row>
    <row r="1658" spans="1:35">
      <c r="A1658">
        <v>1657</v>
      </c>
      <c r="B1658" t="str">
        <f>"603889"</f>
        <v>603889</v>
      </c>
      <c r="C1658" t="s">
        <v>8925</v>
      </c>
      <c r="D1658" s="4">
        <v>43190</v>
      </c>
      <c r="E1658" t="s">
        <v>1939</v>
      </c>
      <c r="F1658" t="s">
        <v>1797</v>
      </c>
      <c r="G1658" t="s">
        <v>3620</v>
      </c>
      <c r="H1658">
        <v>0.09</v>
      </c>
      <c r="I1658">
        <v>5.5</v>
      </c>
      <c r="J1658">
        <v>1.58</v>
      </c>
      <c r="K1658" t="s">
        <v>2479</v>
      </c>
      <c r="L1658">
        <v>13.86</v>
      </c>
      <c r="M1658" t="s">
        <v>8926</v>
      </c>
      <c r="N1658" t="s">
        <v>8927</v>
      </c>
      <c r="O1658" t="s">
        <v>8928</v>
      </c>
      <c r="P1658" t="s">
        <v>8538</v>
      </c>
      <c r="Q1658">
        <v>-3.77</v>
      </c>
      <c r="R1658" t="s">
        <v>1651</v>
      </c>
      <c r="S1658">
        <v>1.6</v>
      </c>
      <c r="T1658">
        <v>17.02</v>
      </c>
      <c r="U1658" t="s">
        <v>158</v>
      </c>
      <c r="V1658" t="s">
        <v>820</v>
      </c>
      <c r="W1658" t="s">
        <v>2358</v>
      </c>
      <c r="X1658">
        <v>1.58</v>
      </c>
      <c r="Y1658" t="s">
        <v>3027</v>
      </c>
      <c r="Z1658" t="s">
        <v>2811</v>
      </c>
      <c r="AA1658" t="s">
        <v>7392</v>
      </c>
      <c r="AB1658">
        <v>1.94</v>
      </c>
      <c r="AC1658" t="s">
        <v>1449</v>
      </c>
      <c r="AD1658">
        <v>83.82</v>
      </c>
      <c r="AE1658" t="s">
        <v>699</v>
      </c>
      <c r="AF1658">
        <v>2.73</v>
      </c>
      <c r="AG1658">
        <v>0</v>
      </c>
      <c r="AH1658">
        <v>0</v>
      </c>
      <c r="AI1658" s="4">
        <v>42004</v>
      </c>
    </row>
    <row r="1659" spans="1:35">
      <c r="A1659">
        <v>1658</v>
      </c>
      <c r="B1659" t="str">
        <f>"603843"</f>
        <v>603843</v>
      </c>
      <c r="C1659" t="s">
        <v>8929</v>
      </c>
      <c r="D1659" s="4">
        <v>43190</v>
      </c>
      <c r="E1659" t="s">
        <v>150</v>
      </c>
      <c r="F1659" t="s">
        <v>95</v>
      </c>
      <c r="G1659">
        <v>7505</v>
      </c>
      <c r="H1659">
        <v>0.05</v>
      </c>
      <c r="I1659">
        <v>3.27</v>
      </c>
      <c r="J1659">
        <v>1.58</v>
      </c>
      <c r="K1659" t="s">
        <v>494</v>
      </c>
      <c r="L1659">
        <v>248.13</v>
      </c>
      <c r="M1659" t="s">
        <v>8930</v>
      </c>
      <c r="N1659" t="s">
        <v>8931</v>
      </c>
      <c r="O1659" t="s">
        <v>8932</v>
      </c>
      <c r="P1659" t="s">
        <v>8933</v>
      </c>
      <c r="Q1659">
        <v>245.44</v>
      </c>
      <c r="R1659" t="s">
        <v>704</v>
      </c>
      <c r="S1659">
        <v>1.08</v>
      </c>
      <c r="T1659">
        <v>7.77</v>
      </c>
      <c r="U1659" t="s">
        <v>3241</v>
      </c>
      <c r="V1659" t="s">
        <v>305</v>
      </c>
      <c r="W1659" t="s">
        <v>153</v>
      </c>
      <c r="X1659">
        <v>1.58</v>
      </c>
      <c r="Y1659" t="s">
        <v>2238</v>
      </c>
      <c r="Z1659" t="s">
        <v>1329</v>
      </c>
      <c r="AA1659" t="s">
        <v>645</v>
      </c>
      <c r="AB1659">
        <v>3.49</v>
      </c>
      <c r="AC1659" t="s">
        <v>840</v>
      </c>
      <c r="AD1659">
        <v>27.67</v>
      </c>
      <c r="AE1659" t="s">
        <v>1324</v>
      </c>
      <c r="AF1659">
        <v>0.93</v>
      </c>
      <c r="AG1659">
        <v>0</v>
      </c>
      <c r="AH1659">
        <v>0</v>
      </c>
      <c r="AI1659" s="4">
        <v>42618</v>
      </c>
    </row>
    <row r="1660" spans="1:35">
      <c r="A1660">
        <v>1659</v>
      </c>
      <c r="B1660" t="str">
        <f>"600168"</f>
        <v>600168</v>
      </c>
      <c r="C1660" t="s">
        <v>8934</v>
      </c>
      <c r="D1660" s="4">
        <v>43190</v>
      </c>
      <c r="E1660" t="s">
        <v>523</v>
      </c>
      <c r="F1660" t="s">
        <v>523</v>
      </c>
      <c r="G1660" t="s">
        <v>1340</v>
      </c>
      <c r="H1660">
        <v>0.11</v>
      </c>
      <c r="I1660">
        <v>6.61</v>
      </c>
      <c r="J1660">
        <v>1.58</v>
      </c>
      <c r="K1660" t="s">
        <v>1578</v>
      </c>
      <c r="L1660">
        <v>23.65</v>
      </c>
      <c r="M1660" t="s">
        <v>197</v>
      </c>
      <c r="N1660">
        <v>0</v>
      </c>
      <c r="O1660" t="s">
        <v>197</v>
      </c>
      <c r="P1660" t="s">
        <v>6718</v>
      </c>
      <c r="Q1660">
        <v>19.05</v>
      </c>
      <c r="R1660" t="s">
        <v>276</v>
      </c>
      <c r="S1660">
        <v>3.13</v>
      </c>
      <c r="T1660">
        <v>32.64</v>
      </c>
      <c r="U1660" t="s">
        <v>3449</v>
      </c>
      <c r="V1660" t="s">
        <v>2057</v>
      </c>
      <c r="W1660" t="s">
        <v>2982</v>
      </c>
      <c r="X1660">
        <v>1.58</v>
      </c>
      <c r="Y1660" t="s">
        <v>4683</v>
      </c>
      <c r="Z1660" t="s">
        <v>2071</v>
      </c>
      <c r="AA1660" t="s">
        <v>1515</v>
      </c>
      <c r="AB1660">
        <v>0.97</v>
      </c>
      <c r="AC1660" t="s">
        <v>1841</v>
      </c>
      <c r="AD1660">
        <v>42.91</v>
      </c>
      <c r="AE1660" t="s">
        <v>547</v>
      </c>
      <c r="AF1660">
        <v>2.13</v>
      </c>
      <c r="AG1660">
        <v>0</v>
      </c>
      <c r="AH1660">
        <v>0</v>
      </c>
      <c r="AI1660" s="4">
        <v>35912</v>
      </c>
    </row>
    <row r="1661" spans="1:35">
      <c r="A1661">
        <v>1660</v>
      </c>
      <c r="B1661" t="str">
        <f>"600105"</f>
        <v>600105</v>
      </c>
      <c r="C1661" t="s">
        <v>8935</v>
      </c>
      <c r="D1661" s="4">
        <v>43190</v>
      </c>
      <c r="E1661" t="s">
        <v>300</v>
      </c>
      <c r="F1661" t="s">
        <v>1856</v>
      </c>
      <c r="G1661" t="s">
        <v>1862</v>
      </c>
      <c r="H1661">
        <v>0.03</v>
      </c>
      <c r="I1661">
        <v>2.08</v>
      </c>
      <c r="J1661">
        <v>1.58</v>
      </c>
      <c r="K1661" t="s">
        <v>2110</v>
      </c>
      <c r="L1661">
        <v>45.68</v>
      </c>
      <c r="M1661" t="s">
        <v>8936</v>
      </c>
      <c r="N1661" t="s">
        <v>8937</v>
      </c>
      <c r="O1661" t="s">
        <v>8938</v>
      </c>
      <c r="P1661" t="s">
        <v>8939</v>
      </c>
      <c r="Q1661">
        <v>-23.85</v>
      </c>
      <c r="R1661" t="s">
        <v>3489</v>
      </c>
      <c r="S1661">
        <v>0.72</v>
      </c>
      <c r="T1661">
        <v>12.95</v>
      </c>
      <c r="U1661" t="s">
        <v>777</v>
      </c>
      <c r="V1661" t="s">
        <v>426</v>
      </c>
      <c r="W1661" t="s">
        <v>944</v>
      </c>
      <c r="X1661">
        <v>1.58</v>
      </c>
      <c r="Y1661" t="s">
        <v>1101</v>
      </c>
      <c r="Z1661" t="s">
        <v>1792</v>
      </c>
      <c r="AA1661" t="s">
        <v>798</v>
      </c>
      <c r="AB1661">
        <v>1.73</v>
      </c>
      <c r="AC1661" t="s">
        <v>158</v>
      </c>
      <c r="AD1661">
        <v>55.39</v>
      </c>
      <c r="AE1661" t="s">
        <v>2922</v>
      </c>
      <c r="AF1661">
        <v>0.43</v>
      </c>
      <c r="AG1661">
        <v>0</v>
      </c>
      <c r="AH1661">
        <v>0</v>
      </c>
      <c r="AI1661" s="4">
        <v>35702</v>
      </c>
    </row>
    <row r="1662" spans="1:35">
      <c r="A1662">
        <v>1661</v>
      </c>
      <c r="B1662" t="str">
        <f>"300375"</f>
        <v>300375</v>
      </c>
      <c r="C1662" t="s">
        <v>8940</v>
      </c>
      <c r="D1662" s="4">
        <v>43190</v>
      </c>
      <c r="E1662" t="s">
        <v>2029</v>
      </c>
      <c r="F1662" t="s">
        <v>94</v>
      </c>
      <c r="G1662">
        <v>9951</v>
      </c>
      <c r="H1662">
        <v>7.0000000000000007E-2</v>
      </c>
      <c r="I1662">
        <v>4.3</v>
      </c>
      <c r="J1662">
        <v>1.58</v>
      </c>
      <c r="K1662" t="s">
        <v>1791</v>
      </c>
      <c r="L1662">
        <v>8.93</v>
      </c>
      <c r="M1662" t="s">
        <v>8941</v>
      </c>
      <c r="N1662">
        <v>0</v>
      </c>
      <c r="O1662" t="s">
        <v>2130</v>
      </c>
      <c r="P1662" t="s">
        <v>5091</v>
      </c>
      <c r="Q1662">
        <v>-26.45</v>
      </c>
      <c r="R1662" t="s">
        <v>201</v>
      </c>
      <c r="S1662">
        <v>1.83</v>
      </c>
      <c r="T1662">
        <v>24.25</v>
      </c>
      <c r="U1662" t="s">
        <v>183</v>
      </c>
      <c r="V1662" t="s">
        <v>1082</v>
      </c>
      <c r="W1662" t="s">
        <v>44</v>
      </c>
      <c r="X1662">
        <v>1.58</v>
      </c>
      <c r="Y1662" t="s">
        <v>1067</v>
      </c>
      <c r="Z1662" t="s">
        <v>454</v>
      </c>
      <c r="AA1662" t="s">
        <v>8728</v>
      </c>
      <c r="AB1662">
        <v>1.49</v>
      </c>
      <c r="AC1662" t="s">
        <v>1062</v>
      </c>
      <c r="AD1662">
        <v>85.13</v>
      </c>
      <c r="AE1662" t="s">
        <v>2571</v>
      </c>
      <c r="AF1662">
        <v>1.1499999999999999</v>
      </c>
      <c r="AG1662">
        <v>0</v>
      </c>
      <c r="AH1662">
        <v>0</v>
      </c>
      <c r="AI1662" s="4">
        <v>41666</v>
      </c>
    </row>
    <row r="1663" spans="1:35">
      <c r="A1663">
        <v>1662</v>
      </c>
      <c r="B1663" t="str">
        <f>"300183"</f>
        <v>300183</v>
      </c>
      <c r="C1663" t="s">
        <v>8942</v>
      </c>
      <c r="D1663" s="4">
        <v>43190</v>
      </c>
      <c r="E1663" t="s">
        <v>1721</v>
      </c>
      <c r="F1663" t="s">
        <v>828</v>
      </c>
      <c r="G1663">
        <v>8180</v>
      </c>
      <c r="H1663">
        <v>0.09</v>
      </c>
      <c r="I1663">
        <v>5.53</v>
      </c>
      <c r="J1663">
        <v>1.58</v>
      </c>
      <c r="K1663" t="s">
        <v>1360</v>
      </c>
      <c r="L1663">
        <v>20.97</v>
      </c>
      <c r="M1663" t="s">
        <v>8943</v>
      </c>
      <c r="N1663" t="s">
        <v>8944</v>
      </c>
      <c r="O1663" t="s">
        <v>8945</v>
      </c>
      <c r="P1663" t="s">
        <v>8634</v>
      </c>
      <c r="Q1663">
        <v>-9.4499999999999993</v>
      </c>
      <c r="R1663" t="s">
        <v>250</v>
      </c>
      <c r="S1663">
        <v>2.15</v>
      </c>
      <c r="T1663">
        <v>55.68</v>
      </c>
      <c r="U1663" t="s">
        <v>1345</v>
      </c>
      <c r="V1663" t="s">
        <v>276</v>
      </c>
      <c r="W1663" t="s">
        <v>2069</v>
      </c>
      <c r="X1663">
        <v>1.58</v>
      </c>
      <c r="Y1663" t="s">
        <v>3441</v>
      </c>
      <c r="Z1663" t="s">
        <v>1664</v>
      </c>
      <c r="AA1663" t="s">
        <v>8946</v>
      </c>
      <c r="AB1663">
        <v>2.4900000000000002</v>
      </c>
      <c r="AC1663" t="s">
        <v>2523</v>
      </c>
      <c r="AD1663">
        <v>89.94</v>
      </c>
      <c r="AE1663" t="s">
        <v>521</v>
      </c>
      <c r="AF1663">
        <v>2.2400000000000002</v>
      </c>
      <c r="AG1663">
        <v>0</v>
      </c>
      <c r="AH1663">
        <v>0</v>
      </c>
      <c r="AI1663" s="4">
        <v>40596</v>
      </c>
    </row>
    <row r="1664" spans="1:35">
      <c r="A1664">
        <v>1663</v>
      </c>
      <c r="B1664" t="str">
        <f>"300114"</f>
        <v>300114</v>
      </c>
      <c r="C1664" t="s">
        <v>8947</v>
      </c>
      <c r="D1664" s="4">
        <v>43190</v>
      </c>
      <c r="E1664" t="s">
        <v>2429</v>
      </c>
      <c r="F1664" t="s">
        <v>2429</v>
      </c>
      <c r="G1664" t="s">
        <v>8948</v>
      </c>
      <c r="H1664">
        <v>0.04</v>
      </c>
      <c r="I1664">
        <v>2.46</v>
      </c>
      <c r="J1664">
        <v>1.58</v>
      </c>
      <c r="K1664" t="s">
        <v>342</v>
      </c>
      <c r="L1664">
        <v>21.48</v>
      </c>
      <c r="M1664" t="s">
        <v>8949</v>
      </c>
      <c r="N1664" t="s">
        <v>6605</v>
      </c>
      <c r="O1664" t="s">
        <v>5251</v>
      </c>
      <c r="P1664" t="s">
        <v>8950</v>
      </c>
      <c r="Q1664">
        <v>37.380000000000003</v>
      </c>
      <c r="R1664" t="s">
        <v>68</v>
      </c>
      <c r="S1664">
        <v>0.85</v>
      </c>
      <c r="T1664">
        <v>34.72</v>
      </c>
      <c r="U1664" t="s">
        <v>514</v>
      </c>
      <c r="V1664" t="s">
        <v>161</v>
      </c>
      <c r="W1664" t="s">
        <v>1768</v>
      </c>
      <c r="X1664">
        <v>1.58</v>
      </c>
      <c r="Y1664" t="s">
        <v>1212</v>
      </c>
      <c r="Z1664" t="s">
        <v>944</v>
      </c>
      <c r="AA1664" t="s">
        <v>8951</v>
      </c>
      <c r="AB1664">
        <v>3.28</v>
      </c>
      <c r="AC1664" t="s">
        <v>141</v>
      </c>
      <c r="AD1664">
        <v>69.510000000000005</v>
      </c>
      <c r="AE1664" t="s">
        <v>1853</v>
      </c>
      <c r="AF1664">
        <v>0.34</v>
      </c>
      <c r="AG1664">
        <v>0</v>
      </c>
      <c r="AH1664">
        <v>0</v>
      </c>
      <c r="AI1664" s="4">
        <v>40417</v>
      </c>
    </row>
    <row r="1665" spans="1:35">
      <c r="A1665">
        <v>1664</v>
      </c>
      <c r="B1665" t="str">
        <f>"300064"</f>
        <v>300064</v>
      </c>
      <c r="C1665" t="s">
        <v>8952</v>
      </c>
      <c r="D1665" s="4">
        <v>43190</v>
      </c>
      <c r="E1665" t="s">
        <v>264</v>
      </c>
      <c r="F1665" t="s">
        <v>1671</v>
      </c>
      <c r="G1665" t="s">
        <v>1694</v>
      </c>
      <c r="H1665">
        <v>0.09</v>
      </c>
      <c r="I1665">
        <v>5.79</v>
      </c>
      <c r="J1665">
        <v>1.58</v>
      </c>
      <c r="K1665" t="s">
        <v>48</v>
      </c>
      <c r="L1665">
        <v>40.49</v>
      </c>
      <c r="M1665" t="s">
        <v>8953</v>
      </c>
      <c r="N1665" t="s">
        <v>8954</v>
      </c>
      <c r="O1665" t="s">
        <v>1038</v>
      </c>
      <c r="P1665" t="s">
        <v>804</v>
      </c>
      <c r="Q1665">
        <v>95.14</v>
      </c>
      <c r="R1665" t="s">
        <v>1946</v>
      </c>
      <c r="S1665">
        <v>0.76</v>
      </c>
      <c r="T1665">
        <v>30.8</v>
      </c>
      <c r="U1665" t="s">
        <v>8955</v>
      </c>
      <c r="V1665" t="s">
        <v>1858</v>
      </c>
      <c r="W1665" t="s">
        <v>419</v>
      </c>
      <c r="X1665">
        <v>1.58</v>
      </c>
      <c r="Y1665" t="s">
        <v>728</v>
      </c>
      <c r="Z1665" t="s">
        <v>848</v>
      </c>
      <c r="AA1665" t="s">
        <v>1714</v>
      </c>
      <c r="AB1665">
        <v>1</v>
      </c>
      <c r="AC1665" t="s">
        <v>3015</v>
      </c>
      <c r="AD1665">
        <v>75.69</v>
      </c>
      <c r="AE1665" t="s">
        <v>2070</v>
      </c>
      <c r="AF1665">
        <v>3.94</v>
      </c>
      <c r="AG1665">
        <v>0</v>
      </c>
      <c r="AH1665">
        <v>0</v>
      </c>
      <c r="AI1665" s="4">
        <v>40263</v>
      </c>
    </row>
    <row r="1666" spans="1:35">
      <c r="A1666">
        <v>1665</v>
      </c>
      <c r="B1666" t="str">
        <f>"002425"</f>
        <v>002425</v>
      </c>
      <c r="C1666" t="s">
        <v>8956</v>
      </c>
      <c r="D1666" s="4">
        <v>43190</v>
      </c>
      <c r="E1666" t="s">
        <v>1414</v>
      </c>
      <c r="F1666" t="s">
        <v>2984</v>
      </c>
      <c r="G1666" t="s">
        <v>6136</v>
      </c>
      <c r="H1666">
        <v>7.0000000000000007E-2</v>
      </c>
      <c r="I1666">
        <v>4.5599999999999996</v>
      </c>
      <c r="J1666">
        <v>1.58</v>
      </c>
      <c r="K1666" t="s">
        <v>1724</v>
      </c>
      <c r="L1666">
        <v>10.83</v>
      </c>
      <c r="M1666" t="s">
        <v>8957</v>
      </c>
      <c r="N1666" t="s">
        <v>2426</v>
      </c>
      <c r="O1666" t="s">
        <v>8958</v>
      </c>
      <c r="P1666" t="s">
        <v>8959</v>
      </c>
      <c r="Q1666">
        <v>51.68</v>
      </c>
      <c r="R1666" t="s">
        <v>3894</v>
      </c>
      <c r="S1666">
        <v>0.85</v>
      </c>
      <c r="T1666">
        <v>56.63</v>
      </c>
      <c r="U1666" t="s">
        <v>3653</v>
      </c>
      <c r="V1666" t="s">
        <v>1496</v>
      </c>
      <c r="W1666" t="s">
        <v>1707</v>
      </c>
      <c r="X1666">
        <v>1.58</v>
      </c>
      <c r="Y1666" t="s">
        <v>1917</v>
      </c>
      <c r="Z1666" t="s">
        <v>1502</v>
      </c>
      <c r="AA1666" t="s">
        <v>2185</v>
      </c>
      <c r="AB1666">
        <v>1.02</v>
      </c>
      <c r="AC1666" t="s">
        <v>2725</v>
      </c>
      <c r="AD1666">
        <v>80.61</v>
      </c>
      <c r="AE1666" t="s">
        <v>420</v>
      </c>
      <c r="AF1666">
        <v>2.63</v>
      </c>
      <c r="AG1666">
        <v>0</v>
      </c>
      <c r="AH1666">
        <v>0</v>
      </c>
      <c r="AI1666" s="4">
        <v>40337</v>
      </c>
    </row>
    <row r="1667" spans="1:35">
      <c r="A1667">
        <v>1666</v>
      </c>
      <c r="B1667" t="str">
        <f>"001696"</f>
        <v>001696</v>
      </c>
      <c r="C1667" t="s">
        <v>8960</v>
      </c>
      <c r="D1667" s="4">
        <v>43190</v>
      </c>
      <c r="E1667" t="s">
        <v>973</v>
      </c>
      <c r="F1667" t="s">
        <v>299</v>
      </c>
      <c r="G1667">
        <v>9186</v>
      </c>
      <c r="H1667">
        <v>0.05</v>
      </c>
      <c r="I1667">
        <v>3.34</v>
      </c>
      <c r="J1667">
        <v>1.58</v>
      </c>
      <c r="K1667" t="s">
        <v>176</v>
      </c>
      <c r="L1667">
        <v>1.94</v>
      </c>
      <c r="M1667" t="s">
        <v>8961</v>
      </c>
      <c r="N1667" t="s">
        <v>5753</v>
      </c>
      <c r="O1667" t="s">
        <v>8813</v>
      </c>
      <c r="P1667" t="s">
        <v>8962</v>
      </c>
      <c r="Q1667">
        <v>-23.13</v>
      </c>
      <c r="R1667" t="s">
        <v>1126</v>
      </c>
      <c r="S1667">
        <v>1.55</v>
      </c>
      <c r="T1667">
        <v>14.79</v>
      </c>
      <c r="U1667" t="s">
        <v>1514</v>
      </c>
      <c r="V1667" t="s">
        <v>1412</v>
      </c>
      <c r="W1667" t="s">
        <v>4306</v>
      </c>
      <c r="X1667">
        <v>1.58</v>
      </c>
      <c r="Y1667" t="s">
        <v>3122</v>
      </c>
      <c r="Z1667" t="s">
        <v>2028</v>
      </c>
      <c r="AA1667" t="s">
        <v>2094</v>
      </c>
      <c r="AB1667">
        <v>1.43</v>
      </c>
      <c r="AC1667" t="s">
        <v>3160</v>
      </c>
      <c r="AD1667">
        <v>46.79</v>
      </c>
      <c r="AE1667" t="s">
        <v>4176</v>
      </c>
      <c r="AF1667">
        <v>0.48</v>
      </c>
      <c r="AG1667">
        <v>0</v>
      </c>
      <c r="AH1667">
        <v>0</v>
      </c>
      <c r="AI1667" s="4">
        <v>35495</v>
      </c>
    </row>
    <row r="1668" spans="1:35">
      <c r="A1668">
        <v>1667</v>
      </c>
      <c r="B1668" t="str">
        <f>"000004"</f>
        <v>000004</v>
      </c>
      <c r="C1668" t="s">
        <v>8963</v>
      </c>
      <c r="D1668" s="4">
        <v>43190</v>
      </c>
      <c r="E1668" t="s">
        <v>5383</v>
      </c>
      <c r="F1668" t="s">
        <v>8964</v>
      </c>
      <c r="G1668">
        <v>7939</v>
      </c>
      <c r="H1668">
        <v>0.02</v>
      </c>
      <c r="I1668">
        <v>1.57</v>
      </c>
      <c r="J1668">
        <v>1.58</v>
      </c>
      <c r="K1668" t="s">
        <v>4190</v>
      </c>
      <c r="L1668">
        <v>595.63</v>
      </c>
      <c r="M1668" t="s">
        <v>8965</v>
      </c>
      <c r="N1668" t="s">
        <v>3797</v>
      </c>
      <c r="O1668" t="s">
        <v>2363</v>
      </c>
      <c r="P1668" t="s">
        <v>8966</v>
      </c>
      <c r="Q1668">
        <v>274.92</v>
      </c>
      <c r="R1668" t="s">
        <v>8967</v>
      </c>
      <c r="S1668">
        <v>0.43</v>
      </c>
      <c r="T1668">
        <v>79.849999999999994</v>
      </c>
      <c r="U1668" t="s">
        <v>1048</v>
      </c>
      <c r="V1668" t="s">
        <v>698</v>
      </c>
      <c r="W1668" t="s">
        <v>8968</v>
      </c>
      <c r="X1668">
        <v>1.58</v>
      </c>
      <c r="Y1668" t="s">
        <v>533</v>
      </c>
      <c r="Z1668" t="s">
        <v>8969</v>
      </c>
      <c r="AA1668" t="s">
        <v>8970</v>
      </c>
      <c r="AB1668">
        <v>12.25</v>
      </c>
      <c r="AC1668" t="s">
        <v>2306</v>
      </c>
      <c r="AD1668">
        <v>42.47</v>
      </c>
      <c r="AE1668" t="s">
        <v>8971</v>
      </c>
      <c r="AF1668">
        <v>0.01</v>
      </c>
      <c r="AG1668">
        <v>0</v>
      </c>
      <c r="AH1668">
        <v>0</v>
      </c>
      <c r="AI1668" s="4">
        <v>33252</v>
      </c>
    </row>
    <row r="1669" spans="1:35">
      <c r="A1669">
        <v>1668</v>
      </c>
      <c r="B1669" t="str">
        <f>"600637"</f>
        <v>600637</v>
      </c>
      <c r="C1669" t="s">
        <v>8972</v>
      </c>
      <c r="D1669" s="4">
        <v>43190</v>
      </c>
      <c r="E1669" t="s">
        <v>1785</v>
      </c>
      <c r="F1669" t="s">
        <v>2515</v>
      </c>
      <c r="G1669" t="s">
        <v>1440</v>
      </c>
      <c r="H1669">
        <v>0.17</v>
      </c>
      <c r="I1669">
        <v>10.58</v>
      </c>
      <c r="J1669">
        <v>1.57</v>
      </c>
      <c r="K1669" t="s">
        <v>700</v>
      </c>
      <c r="L1669">
        <v>-24.49</v>
      </c>
      <c r="M1669" t="s">
        <v>2938</v>
      </c>
      <c r="N1669" t="s">
        <v>1459</v>
      </c>
      <c r="O1669" t="s">
        <v>494</v>
      </c>
      <c r="P1669" t="s">
        <v>4794</v>
      </c>
      <c r="Q1669">
        <v>1.72</v>
      </c>
      <c r="R1669" t="s">
        <v>815</v>
      </c>
      <c r="S1669">
        <v>4.46</v>
      </c>
      <c r="T1669">
        <v>32.19</v>
      </c>
      <c r="U1669" t="s">
        <v>5444</v>
      </c>
      <c r="V1669" t="s">
        <v>1654</v>
      </c>
      <c r="W1669" t="s">
        <v>710</v>
      </c>
      <c r="X1669">
        <v>1.57</v>
      </c>
      <c r="Y1669" t="s">
        <v>5659</v>
      </c>
      <c r="Z1669" t="s">
        <v>366</v>
      </c>
      <c r="AA1669" t="s">
        <v>2123</v>
      </c>
      <c r="AB1669">
        <v>1.34</v>
      </c>
      <c r="AC1669" t="s">
        <v>5714</v>
      </c>
      <c r="AD1669">
        <v>74.930000000000007</v>
      </c>
      <c r="AE1669" t="s">
        <v>580</v>
      </c>
      <c r="AF1669">
        <v>4.62</v>
      </c>
      <c r="AG1669">
        <v>0</v>
      </c>
      <c r="AH1669">
        <v>0</v>
      </c>
      <c r="AI1669" s="4">
        <v>34044</v>
      </c>
    </row>
    <row r="1670" spans="1:35">
      <c r="A1670">
        <v>1669</v>
      </c>
      <c r="B1670" t="str">
        <f>"603558"</f>
        <v>603558</v>
      </c>
      <c r="C1670" t="s">
        <v>8973</v>
      </c>
      <c r="D1670" s="4">
        <v>43190</v>
      </c>
      <c r="E1670" t="s">
        <v>104</v>
      </c>
      <c r="F1670" t="s">
        <v>120</v>
      </c>
      <c r="G1670" t="s">
        <v>2676</v>
      </c>
      <c r="H1670">
        <v>0.11</v>
      </c>
      <c r="I1670">
        <v>6.58</v>
      </c>
      <c r="J1670">
        <v>1.57</v>
      </c>
      <c r="K1670" t="s">
        <v>143</v>
      </c>
      <c r="L1670">
        <v>72.97</v>
      </c>
      <c r="M1670" t="s">
        <v>6083</v>
      </c>
      <c r="N1670">
        <v>0</v>
      </c>
      <c r="O1670" t="s">
        <v>8974</v>
      </c>
      <c r="P1670" t="s">
        <v>8975</v>
      </c>
      <c r="Q1670">
        <v>32.619999999999997</v>
      </c>
      <c r="R1670" t="s">
        <v>381</v>
      </c>
      <c r="S1670">
        <v>0.97</v>
      </c>
      <c r="T1670">
        <v>26.75</v>
      </c>
      <c r="U1670" t="s">
        <v>273</v>
      </c>
      <c r="V1670" t="s">
        <v>1223</v>
      </c>
      <c r="W1670" t="s">
        <v>1946</v>
      </c>
      <c r="X1670">
        <v>1.57</v>
      </c>
      <c r="Y1670" t="s">
        <v>735</v>
      </c>
      <c r="Z1670" t="s">
        <v>104</v>
      </c>
      <c r="AA1670" t="s">
        <v>8976</v>
      </c>
      <c r="AB1670">
        <v>1.1499999999999999</v>
      </c>
      <c r="AC1670" t="s">
        <v>700</v>
      </c>
      <c r="AD1670">
        <v>85.69</v>
      </c>
      <c r="AE1670" t="s">
        <v>389</v>
      </c>
      <c r="AF1670">
        <v>4.59</v>
      </c>
      <c r="AG1670">
        <v>0</v>
      </c>
      <c r="AH1670">
        <v>0</v>
      </c>
      <c r="AI1670" s="4">
        <v>42031</v>
      </c>
    </row>
    <row r="1671" spans="1:35">
      <c r="A1671">
        <v>1670</v>
      </c>
      <c r="B1671" t="str">
        <f>"601898"</f>
        <v>601898</v>
      </c>
      <c r="C1671" t="s">
        <v>8977</v>
      </c>
      <c r="D1671" s="4">
        <v>43190</v>
      </c>
      <c r="E1671" t="s">
        <v>1524</v>
      </c>
      <c r="F1671" t="s">
        <v>5730</v>
      </c>
      <c r="G1671">
        <v>0</v>
      </c>
      <c r="H1671">
        <v>0.11</v>
      </c>
      <c r="I1671">
        <v>6.85</v>
      </c>
      <c r="J1671">
        <v>1.57</v>
      </c>
      <c r="K1671" t="s">
        <v>1928</v>
      </c>
      <c r="L1671">
        <v>44.22</v>
      </c>
      <c r="M1671" t="s">
        <v>1158</v>
      </c>
      <c r="N1671" t="s">
        <v>143</v>
      </c>
      <c r="O1671" t="s">
        <v>1158</v>
      </c>
      <c r="P1671" t="s">
        <v>1384</v>
      </c>
      <c r="Q1671">
        <v>20.48</v>
      </c>
      <c r="R1671" t="s">
        <v>4274</v>
      </c>
      <c r="S1671">
        <v>2.44</v>
      </c>
      <c r="T1671">
        <v>28.62</v>
      </c>
      <c r="U1671" t="s">
        <v>8978</v>
      </c>
      <c r="V1671" t="s">
        <v>2526</v>
      </c>
      <c r="W1671" t="s">
        <v>8979</v>
      </c>
      <c r="X1671">
        <v>1.57</v>
      </c>
      <c r="Y1671" t="s">
        <v>8980</v>
      </c>
      <c r="Z1671" t="s">
        <v>2745</v>
      </c>
      <c r="AA1671" t="s">
        <v>4377</v>
      </c>
      <c r="AB1671">
        <v>0.69</v>
      </c>
      <c r="AC1671" t="s">
        <v>8981</v>
      </c>
      <c r="AD1671">
        <v>36.39</v>
      </c>
      <c r="AE1671" t="s">
        <v>8982</v>
      </c>
      <c r="AF1671">
        <v>2.88</v>
      </c>
      <c r="AG1671">
        <v>0</v>
      </c>
      <c r="AH1671" t="s">
        <v>1677</v>
      </c>
      <c r="AI1671" s="4">
        <v>39479</v>
      </c>
    </row>
    <row r="1672" spans="1:35">
      <c r="A1672">
        <v>1671</v>
      </c>
      <c r="B1672" t="str">
        <f>"300702"</f>
        <v>300702</v>
      </c>
      <c r="C1672" t="s">
        <v>8983</v>
      </c>
      <c r="D1672" s="4">
        <v>43190</v>
      </c>
      <c r="E1672" t="s">
        <v>1366</v>
      </c>
      <c r="F1672" t="s">
        <v>8984</v>
      </c>
      <c r="G1672">
        <v>1300</v>
      </c>
      <c r="H1672">
        <v>0.11</v>
      </c>
      <c r="I1672">
        <v>7.28</v>
      </c>
      <c r="J1672">
        <v>1.57</v>
      </c>
      <c r="K1672" t="s">
        <v>1621</v>
      </c>
      <c r="L1672">
        <v>4.3</v>
      </c>
      <c r="M1672" t="s">
        <v>8985</v>
      </c>
      <c r="N1672" t="s">
        <v>6715</v>
      </c>
      <c r="O1672" t="s">
        <v>8986</v>
      </c>
      <c r="P1672" t="s">
        <v>3583</v>
      </c>
      <c r="Q1672">
        <v>-34.659999999999997</v>
      </c>
      <c r="R1672" t="s">
        <v>1768</v>
      </c>
      <c r="S1672">
        <v>2.3199999999999998</v>
      </c>
      <c r="T1672">
        <v>33.450000000000003</v>
      </c>
      <c r="U1672" t="s">
        <v>261</v>
      </c>
      <c r="V1672" t="s">
        <v>971</v>
      </c>
      <c r="W1672" t="s">
        <v>1168</v>
      </c>
      <c r="X1672">
        <v>1.57</v>
      </c>
      <c r="Y1672" t="s">
        <v>2383</v>
      </c>
      <c r="Z1672" t="s">
        <v>1769</v>
      </c>
      <c r="AA1672" t="s">
        <v>1300</v>
      </c>
      <c r="AB1672">
        <v>3.25</v>
      </c>
      <c r="AC1672" t="s">
        <v>840</v>
      </c>
      <c r="AD1672">
        <v>58.55</v>
      </c>
      <c r="AE1672" t="s">
        <v>2456</v>
      </c>
      <c r="AF1672">
        <v>3.66</v>
      </c>
      <c r="AG1672">
        <v>0</v>
      </c>
      <c r="AH1672">
        <v>0</v>
      </c>
      <c r="AI1672" s="4">
        <v>42997</v>
      </c>
    </row>
    <row r="1673" spans="1:35">
      <c r="A1673">
        <v>1672</v>
      </c>
      <c r="B1673" t="str">
        <f>"300297"</f>
        <v>300297</v>
      </c>
      <c r="C1673" t="s">
        <v>8987</v>
      </c>
      <c r="D1673" s="4">
        <v>43190</v>
      </c>
      <c r="E1673" t="s">
        <v>250</v>
      </c>
      <c r="F1673" t="s">
        <v>3632</v>
      </c>
      <c r="G1673" t="s">
        <v>861</v>
      </c>
      <c r="H1673">
        <v>0.05</v>
      </c>
      <c r="I1673">
        <v>3.44</v>
      </c>
      <c r="J1673">
        <v>1.57</v>
      </c>
      <c r="K1673" t="s">
        <v>68</v>
      </c>
      <c r="L1673">
        <v>55.86</v>
      </c>
      <c r="M1673" t="s">
        <v>8988</v>
      </c>
      <c r="N1673" t="s">
        <v>8989</v>
      </c>
      <c r="O1673" t="s">
        <v>5448</v>
      </c>
      <c r="P1673" t="s">
        <v>8990</v>
      </c>
      <c r="Q1673">
        <v>12.21</v>
      </c>
      <c r="R1673" t="s">
        <v>3630</v>
      </c>
      <c r="S1673">
        <v>0.84</v>
      </c>
      <c r="T1673">
        <v>50.96</v>
      </c>
      <c r="U1673" t="s">
        <v>4487</v>
      </c>
      <c r="V1673" t="s">
        <v>1170</v>
      </c>
      <c r="W1673" t="s">
        <v>918</v>
      </c>
      <c r="X1673">
        <v>1.57</v>
      </c>
      <c r="Y1673" t="s">
        <v>447</v>
      </c>
      <c r="Z1673" t="s">
        <v>570</v>
      </c>
      <c r="AA1673" t="s">
        <v>2955</v>
      </c>
      <c r="AB1673">
        <v>2.16</v>
      </c>
      <c r="AC1673" t="s">
        <v>1545</v>
      </c>
      <c r="AD1673">
        <v>50.15</v>
      </c>
      <c r="AE1673" t="s">
        <v>183</v>
      </c>
      <c r="AF1673">
        <v>1.61</v>
      </c>
      <c r="AG1673">
        <v>0</v>
      </c>
      <c r="AH1673">
        <v>0</v>
      </c>
      <c r="AI1673" s="4">
        <v>40983</v>
      </c>
    </row>
    <row r="1674" spans="1:35">
      <c r="A1674">
        <v>1673</v>
      </c>
      <c r="B1674" t="str">
        <f>"002863"</f>
        <v>002863</v>
      </c>
      <c r="C1674" t="s">
        <v>8991</v>
      </c>
      <c r="D1674" s="4">
        <v>43190</v>
      </c>
      <c r="E1674" t="s">
        <v>137</v>
      </c>
      <c r="F1674" t="s">
        <v>383</v>
      </c>
      <c r="G1674">
        <v>1714</v>
      </c>
      <c r="H1674">
        <v>0.04</v>
      </c>
      <c r="I1674">
        <v>2.4</v>
      </c>
      <c r="J1674">
        <v>1.57</v>
      </c>
      <c r="K1674" t="s">
        <v>494</v>
      </c>
      <c r="L1674">
        <v>14.23</v>
      </c>
      <c r="M1674" t="s">
        <v>7262</v>
      </c>
      <c r="N1674" t="s">
        <v>8992</v>
      </c>
      <c r="O1674" t="s">
        <v>8993</v>
      </c>
      <c r="P1674" t="s">
        <v>4265</v>
      </c>
      <c r="Q1674">
        <v>0.54</v>
      </c>
      <c r="R1674" t="s">
        <v>340</v>
      </c>
      <c r="S1674">
        <v>0.92</v>
      </c>
      <c r="T1674">
        <v>18.88</v>
      </c>
      <c r="U1674" t="s">
        <v>447</v>
      </c>
      <c r="V1674" t="s">
        <v>418</v>
      </c>
      <c r="W1674" t="s">
        <v>1214</v>
      </c>
      <c r="X1674">
        <v>1.57</v>
      </c>
      <c r="Y1674" t="s">
        <v>1350</v>
      </c>
      <c r="Z1674" t="s">
        <v>502</v>
      </c>
      <c r="AA1674" t="s">
        <v>37</v>
      </c>
      <c r="AB1674">
        <v>3.15</v>
      </c>
      <c r="AC1674" t="s">
        <v>3986</v>
      </c>
      <c r="AD1674">
        <v>23.6</v>
      </c>
      <c r="AE1674" t="s">
        <v>535</v>
      </c>
      <c r="AF1674">
        <v>0.37</v>
      </c>
      <c r="AG1674">
        <v>0</v>
      </c>
      <c r="AH1674">
        <v>0</v>
      </c>
      <c r="AI1674" s="4">
        <v>42843</v>
      </c>
    </row>
    <row r="1675" spans="1:35">
      <c r="A1675">
        <v>1674</v>
      </c>
      <c r="B1675" t="str">
        <f>"002656"</f>
        <v>002656</v>
      </c>
      <c r="C1675" t="s">
        <v>8994</v>
      </c>
      <c r="D1675" s="4">
        <v>43190</v>
      </c>
      <c r="E1675" t="s">
        <v>2454</v>
      </c>
      <c r="F1675" t="s">
        <v>545</v>
      </c>
      <c r="G1675" t="s">
        <v>8919</v>
      </c>
      <c r="H1675">
        <v>0.05</v>
      </c>
      <c r="I1675">
        <v>3.33</v>
      </c>
      <c r="J1675">
        <v>1.57</v>
      </c>
      <c r="K1675" t="s">
        <v>2661</v>
      </c>
      <c r="L1675">
        <v>26.18</v>
      </c>
      <c r="M1675" t="s">
        <v>8995</v>
      </c>
      <c r="N1675" t="s">
        <v>8996</v>
      </c>
      <c r="O1675" t="s">
        <v>4499</v>
      </c>
      <c r="P1675" t="s">
        <v>8997</v>
      </c>
      <c r="Q1675">
        <v>-61.54</v>
      </c>
      <c r="R1675" t="s">
        <v>1067</v>
      </c>
      <c r="S1675">
        <v>0.39</v>
      </c>
      <c r="T1675">
        <v>55.16</v>
      </c>
      <c r="U1675" t="s">
        <v>884</v>
      </c>
      <c r="V1675" t="s">
        <v>1792</v>
      </c>
      <c r="W1675" t="s">
        <v>2563</v>
      </c>
      <c r="X1675">
        <v>1.57</v>
      </c>
      <c r="Y1675" t="s">
        <v>703</v>
      </c>
      <c r="Z1675" t="s">
        <v>872</v>
      </c>
      <c r="AA1675" t="s">
        <v>681</v>
      </c>
      <c r="AB1675">
        <v>2.89</v>
      </c>
      <c r="AC1675" t="s">
        <v>1704</v>
      </c>
      <c r="AD1675">
        <v>70.13</v>
      </c>
      <c r="AE1675" t="s">
        <v>1244</v>
      </c>
      <c r="AF1675">
        <v>1.91</v>
      </c>
      <c r="AG1675">
        <v>0</v>
      </c>
      <c r="AH1675">
        <v>0</v>
      </c>
      <c r="AI1675" s="4">
        <v>40967</v>
      </c>
    </row>
    <row r="1676" spans="1:35">
      <c r="A1676">
        <v>1675</v>
      </c>
      <c r="B1676" t="str">
        <f>"002643"</f>
        <v>002643</v>
      </c>
      <c r="C1676" t="s">
        <v>8998</v>
      </c>
      <c r="D1676" s="4">
        <v>43190</v>
      </c>
      <c r="E1676" t="s">
        <v>1998</v>
      </c>
      <c r="F1676" t="s">
        <v>421</v>
      </c>
      <c r="G1676" t="s">
        <v>1777</v>
      </c>
      <c r="H1676">
        <v>7.0000000000000007E-2</v>
      </c>
      <c r="I1676">
        <v>4.34</v>
      </c>
      <c r="J1676">
        <v>1.57</v>
      </c>
      <c r="K1676" t="s">
        <v>1523</v>
      </c>
      <c r="L1676">
        <v>7.43</v>
      </c>
      <c r="M1676" t="s">
        <v>5409</v>
      </c>
      <c r="N1676" t="s">
        <v>4475</v>
      </c>
      <c r="O1676" t="s">
        <v>8999</v>
      </c>
      <c r="P1676" t="s">
        <v>9000</v>
      </c>
      <c r="Q1676">
        <v>-35.549999999999997</v>
      </c>
      <c r="R1676" t="s">
        <v>2721</v>
      </c>
      <c r="S1676">
        <v>0.94</v>
      </c>
      <c r="T1676">
        <v>33.51</v>
      </c>
      <c r="U1676" t="s">
        <v>4889</v>
      </c>
      <c r="V1676" t="s">
        <v>576</v>
      </c>
      <c r="W1676" t="s">
        <v>350</v>
      </c>
      <c r="X1676">
        <v>1.57</v>
      </c>
      <c r="Y1676" t="s">
        <v>346</v>
      </c>
      <c r="Z1676" t="s">
        <v>501</v>
      </c>
      <c r="AA1676" t="s">
        <v>9001</v>
      </c>
      <c r="AB1676">
        <v>1.78</v>
      </c>
      <c r="AC1676" t="s">
        <v>1517</v>
      </c>
      <c r="AD1676">
        <v>90.2</v>
      </c>
      <c r="AE1676" t="s">
        <v>3356</v>
      </c>
      <c r="AF1676">
        <v>2.27</v>
      </c>
      <c r="AG1676">
        <v>0</v>
      </c>
      <c r="AH1676">
        <v>0</v>
      </c>
      <c r="AI1676" s="4">
        <v>40897</v>
      </c>
    </row>
    <row r="1677" spans="1:35">
      <c r="A1677">
        <v>1676</v>
      </c>
      <c r="B1677" t="str">
        <f>"002400"</f>
        <v>002400</v>
      </c>
      <c r="C1677" t="s">
        <v>9002</v>
      </c>
      <c r="D1677" s="4">
        <v>43190</v>
      </c>
      <c r="E1677" t="s">
        <v>867</v>
      </c>
      <c r="F1677" t="s">
        <v>298</v>
      </c>
      <c r="G1677" t="s">
        <v>1092</v>
      </c>
      <c r="H1677">
        <v>0.05</v>
      </c>
      <c r="I1677">
        <v>2.92</v>
      </c>
      <c r="J1677">
        <v>1.57</v>
      </c>
      <c r="K1677" t="s">
        <v>1449</v>
      </c>
      <c r="L1677">
        <v>18.47</v>
      </c>
      <c r="M1677" t="s">
        <v>7214</v>
      </c>
      <c r="N1677" t="s">
        <v>5828</v>
      </c>
      <c r="O1677" t="s">
        <v>9003</v>
      </c>
      <c r="P1677" t="s">
        <v>9004</v>
      </c>
      <c r="Q1677">
        <v>0.54</v>
      </c>
      <c r="R1677" t="s">
        <v>79</v>
      </c>
      <c r="S1677">
        <v>0.99</v>
      </c>
      <c r="T1677">
        <v>14.82</v>
      </c>
      <c r="U1677" t="s">
        <v>6073</v>
      </c>
      <c r="V1677" t="s">
        <v>3755</v>
      </c>
      <c r="W1677" t="s">
        <v>417</v>
      </c>
      <c r="X1677">
        <v>1.57</v>
      </c>
      <c r="Y1677" t="s">
        <v>2245</v>
      </c>
      <c r="Z1677" t="s">
        <v>4558</v>
      </c>
      <c r="AA1677" t="s">
        <v>619</v>
      </c>
      <c r="AB1677">
        <v>1.01</v>
      </c>
      <c r="AC1677" t="s">
        <v>2562</v>
      </c>
      <c r="AD1677">
        <v>51.66</v>
      </c>
      <c r="AE1677" t="s">
        <v>538</v>
      </c>
      <c r="AF1677">
        <v>0.8</v>
      </c>
      <c r="AG1677">
        <v>0</v>
      </c>
      <c r="AH1677">
        <v>0</v>
      </c>
      <c r="AI1677" s="4">
        <v>40304</v>
      </c>
    </row>
    <row r="1678" spans="1:35">
      <c r="A1678">
        <v>1677</v>
      </c>
      <c r="B1678" t="str">
        <f>"002377"</f>
        <v>002377</v>
      </c>
      <c r="C1678" t="s">
        <v>9005</v>
      </c>
      <c r="D1678" s="4">
        <v>43190</v>
      </c>
      <c r="E1678" t="s">
        <v>1946</v>
      </c>
      <c r="F1678" t="s">
        <v>1295</v>
      </c>
      <c r="G1678" t="s">
        <v>6102</v>
      </c>
      <c r="H1678">
        <v>0.08</v>
      </c>
      <c r="I1678">
        <v>5.31</v>
      </c>
      <c r="J1678">
        <v>1.57</v>
      </c>
      <c r="K1678" t="s">
        <v>1496</v>
      </c>
      <c r="L1678">
        <v>1028.54</v>
      </c>
      <c r="M1678" t="s">
        <v>9006</v>
      </c>
      <c r="N1678" t="s">
        <v>9007</v>
      </c>
      <c r="O1678" t="s">
        <v>9008</v>
      </c>
      <c r="P1678" t="s">
        <v>9009</v>
      </c>
      <c r="Q1678">
        <v>933.55</v>
      </c>
      <c r="R1678" t="s">
        <v>1049</v>
      </c>
      <c r="S1678">
        <v>0.28000000000000003</v>
      </c>
      <c r="T1678">
        <v>13.97</v>
      </c>
      <c r="U1678" t="s">
        <v>1418</v>
      </c>
      <c r="V1678" t="s">
        <v>876</v>
      </c>
      <c r="W1678" t="s">
        <v>1016</v>
      </c>
      <c r="X1678">
        <v>1.57</v>
      </c>
      <c r="Y1678" t="s">
        <v>124</v>
      </c>
      <c r="Z1678" t="s">
        <v>840</v>
      </c>
      <c r="AA1678" t="s">
        <v>8797</v>
      </c>
      <c r="AB1678">
        <v>1.25</v>
      </c>
      <c r="AC1678" t="s">
        <v>1748</v>
      </c>
      <c r="AD1678">
        <v>76.930000000000007</v>
      </c>
      <c r="AE1678" t="s">
        <v>2866</v>
      </c>
      <c r="AF1678">
        <v>4</v>
      </c>
      <c r="AG1678">
        <v>0</v>
      </c>
      <c r="AH1678">
        <v>0</v>
      </c>
      <c r="AI1678" s="4">
        <v>40260</v>
      </c>
    </row>
    <row r="1679" spans="1:35">
      <c r="A1679">
        <v>1678</v>
      </c>
      <c r="B1679" t="str">
        <f>"002344"</f>
        <v>002344</v>
      </c>
      <c r="C1679" t="s">
        <v>9010</v>
      </c>
      <c r="D1679" s="4">
        <v>43190</v>
      </c>
      <c r="E1679" t="s">
        <v>926</v>
      </c>
      <c r="F1679" t="s">
        <v>1082</v>
      </c>
      <c r="G1679" t="s">
        <v>1155</v>
      </c>
      <c r="H1679">
        <v>0.09</v>
      </c>
      <c r="I1679">
        <v>5.68</v>
      </c>
      <c r="J1679">
        <v>1.57</v>
      </c>
      <c r="K1679" t="s">
        <v>338</v>
      </c>
      <c r="L1679">
        <v>5.05</v>
      </c>
      <c r="M1679" t="s">
        <v>711</v>
      </c>
      <c r="N1679" t="s">
        <v>7252</v>
      </c>
      <c r="O1679" t="s">
        <v>1974</v>
      </c>
      <c r="P1679" t="s">
        <v>282</v>
      </c>
      <c r="Q1679">
        <v>30.4</v>
      </c>
      <c r="R1679" t="s">
        <v>447</v>
      </c>
      <c r="S1679">
        <v>2.93</v>
      </c>
      <c r="T1679">
        <v>53.71</v>
      </c>
      <c r="U1679" t="s">
        <v>525</v>
      </c>
      <c r="V1679" t="s">
        <v>251</v>
      </c>
      <c r="W1679" t="s">
        <v>1461</v>
      </c>
      <c r="X1679">
        <v>1.57</v>
      </c>
      <c r="Y1679" t="s">
        <v>583</v>
      </c>
      <c r="Z1679" t="s">
        <v>440</v>
      </c>
      <c r="AA1679" t="s">
        <v>3238</v>
      </c>
      <c r="AB1679">
        <v>0.82</v>
      </c>
      <c r="AC1679" t="s">
        <v>2493</v>
      </c>
      <c r="AD1679">
        <v>71.069999999999993</v>
      </c>
      <c r="AE1679" t="s">
        <v>516</v>
      </c>
      <c r="AF1679">
        <v>1.46</v>
      </c>
      <c r="AG1679">
        <v>0</v>
      </c>
      <c r="AH1679">
        <v>0</v>
      </c>
      <c r="AI1679" s="4">
        <v>40204</v>
      </c>
    </row>
    <row r="1680" spans="1:35">
      <c r="A1680">
        <v>1679</v>
      </c>
      <c r="B1680" t="str">
        <f>"000685"</f>
        <v>000685</v>
      </c>
      <c r="C1680" t="s">
        <v>9011</v>
      </c>
      <c r="D1680" s="4">
        <v>43190</v>
      </c>
      <c r="E1680" t="s">
        <v>141</v>
      </c>
      <c r="F1680" t="s">
        <v>300</v>
      </c>
      <c r="G1680" t="s">
        <v>9012</v>
      </c>
      <c r="H1680">
        <v>0.13</v>
      </c>
      <c r="I1680">
        <v>8.2200000000000006</v>
      </c>
      <c r="J1680">
        <v>1.57</v>
      </c>
      <c r="K1680" t="s">
        <v>1461</v>
      </c>
      <c r="L1680">
        <v>11.56</v>
      </c>
      <c r="M1680" t="s">
        <v>1970</v>
      </c>
      <c r="N1680" t="s">
        <v>603</v>
      </c>
      <c r="O1680" t="s">
        <v>292</v>
      </c>
      <c r="P1680" t="s">
        <v>905</v>
      </c>
      <c r="Q1680">
        <v>-22.29</v>
      </c>
      <c r="R1680" t="s">
        <v>1617</v>
      </c>
      <c r="S1680">
        <v>4.8600000000000003</v>
      </c>
      <c r="T1680">
        <v>28.67</v>
      </c>
      <c r="U1680" t="s">
        <v>3129</v>
      </c>
      <c r="V1680" t="s">
        <v>1284</v>
      </c>
      <c r="W1680" t="s">
        <v>1062</v>
      </c>
      <c r="X1680">
        <v>1.57</v>
      </c>
      <c r="Y1680" t="s">
        <v>1890</v>
      </c>
      <c r="Z1680" t="s">
        <v>512</v>
      </c>
      <c r="AA1680" t="s">
        <v>1223</v>
      </c>
      <c r="AB1680">
        <v>0.96</v>
      </c>
      <c r="AC1680" t="s">
        <v>1465</v>
      </c>
      <c r="AD1680">
        <v>75.72</v>
      </c>
      <c r="AE1680" t="s">
        <v>251</v>
      </c>
      <c r="AF1680">
        <v>1.4</v>
      </c>
      <c r="AG1680">
        <v>0</v>
      </c>
      <c r="AH1680">
        <v>0</v>
      </c>
      <c r="AI1680" s="4">
        <v>35453</v>
      </c>
    </row>
    <row r="1681" spans="1:35">
      <c r="A1681">
        <v>1680</v>
      </c>
      <c r="B1681" t="str">
        <f>"603858"</f>
        <v>603858</v>
      </c>
      <c r="C1681" t="s">
        <v>9013</v>
      </c>
      <c r="D1681" s="4">
        <v>43190</v>
      </c>
      <c r="E1681" t="s">
        <v>453</v>
      </c>
      <c r="F1681" t="s">
        <v>593</v>
      </c>
      <c r="G1681">
        <v>4880</v>
      </c>
      <c r="H1681">
        <v>0.3</v>
      </c>
      <c r="I1681">
        <v>19.579999999999998</v>
      </c>
      <c r="J1681">
        <v>1.56</v>
      </c>
      <c r="K1681" t="s">
        <v>306</v>
      </c>
      <c r="L1681">
        <v>0.09</v>
      </c>
      <c r="M1681" t="s">
        <v>1609</v>
      </c>
      <c r="N1681" t="s">
        <v>9014</v>
      </c>
      <c r="O1681" t="s">
        <v>2774</v>
      </c>
      <c r="P1681" t="s">
        <v>1970</v>
      </c>
      <c r="Q1681">
        <v>-7.26</v>
      </c>
      <c r="R1681" t="s">
        <v>2495</v>
      </c>
      <c r="S1681">
        <v>12.44</v>
      </c>
      <c r="T1681">
        <v>80.260000000000005</v>
      </c>
      <c r="U1681" t="s">
        <v>4910</v>
      </c>
      <c r="V1681" t="s">
        <v>1303</v>
      </c>
      <c r="W1681" t="s">
        <v>775</v>
      </c>
      <c r="X1681">
        <v>1.56</v>
      </c>
      <c r="Y1681" t="s">
        <v>428</v>
      </c>
      <c r="Z1681" t="s">
        <v>2092</v>
      </c>
      <c r="AA1681" t="s">
        <v>338</v>
      </c>
      <c r="AB1681">
        <v>2.25</v>
      </c>
      <c r="AC1681" t="s">
        <v>794</v>
      </c>
      <c r="AD1681">
        <v>71.67</v>
      </c>
      <c r="AE1681" t="s">
        <v>1133</v>
      </c>
      <c r="AF1681">
        <v>5.64</v>
      </c>
      <c r="AG1681">
        <v>0</v>
      </c>
      <c r="AH1681">
        <v>0</v>
      </c>
      <c r="AI1681" s="4">
        <v>42692</v>
      </c>
    </row>
    <row r="1682" spans="1:35">
      <c r="A1682">
        <v>1681</v>
      </c>
      <c r="B1682" t="str">
        <f>"603127"</f>
        <v>603127</v>
      </c>
      <c r="C1682" t="s">
        <v>9015</v>
      </c>
      <c r="D1682" s="4">
        <v>43190</v>
      </c>
      <c r="E1682" t="s">
        <v>1627</v>
      </c>
      <c r="F1682" t="s">
        <v>5412</v>
      </c>
      <c r="G1682">
        <v>2377</v>
      </c>
      <c r="H1682">
        <v>0.08</v>
      </c>
      <c r="I1682">
        <v>4.58</v>
      </c>
      <c r="J1682">
        <v>1.56</v>
      </c>
      <c r="K1682" t="s">
        <v>5820</v>
      </c>
      <c r="L1682">
        <v>172.69</v>
      </c>
      <c r="M1682" t="s">
        <v>9016</v>
      </c>
      <c r="N1682" t="s">
        <v>6044</v>
      </c>
      <c r="O1682" t="s">
        <v>9017</v>
      </c>
      <c r="P1682" t="s">
        <v>9018</v>
      </c>
      <c r="Q1682">
        <v>226.8</v>
      </c>
      <c r="R1682" t="s">
        <v>698</v>
      </c>
      <c r="S1682">
        <v>1.41</v>
      </c>
      <c r="T1682">
        <v>54.77</v>
      </c>
      <c r="U1682" t="s">
        <v>721</v>
      </c>
      <c r="V1682" t="s">
        <v>2674</v>
      </c>
      <c r="W1682" t="s">
        <v>807</v>
      </c>
      <c r="X1682">
        <v>1.56</v>
      </c>
      <c r="Y1682" t="s">
        <v>346</v>
      </c>
      <c r="Z1682" t="s">
        <v>160</v>
      </c>
      <c r="AA1682" t="s">
        <v>9019</v>
      </c>
      <c r="AB1682">
        <v>10.039999999999999</v>
      </c>
      <c r="AC1682" t="s">
        <v>734</v>
      </c>
      <c r="AD1682">
        <v>55.38</v>
      </c>
      <c r="AE1682" t="s">
        <v>1995</v>
      </c>
      <c r="AF1682">
        <v>2.0699999999999998</v>
      </c>
      <c r="AG1682">
        <v>0</v>
      </c>
      <c r="AH1682">
        <v>0</v>
      </c>
      <c r="AI1682" s="4">
        <v>42972</v>
      </c>
    </row>
    <row r="1683" spans="1:35">
      <c r="A1683">
        <v>1682</v>
      </c>
      <c r="B1683" t="str">
        <f>"601881"</f>
        <v>601881</v>
      </c>
      <c r="C1683" t="s">
        <v>9020</v>
      </c>
      <c r="D1683" s="4">
        <v>43190</v>
      </c>
      <c r="E1683" t="s">
        <v>232</v>
      </c>
      <c r="F1683" t="s">
        <v>405</v>
      </c>
      <c r="G1683" t="s">
        <v>103</v>
      </c>
      <c r="H1683">
        <v>0.1</v>
      </c>
      <c r="I1683">
        <v>6.47</v>
      </c>
      <c r="J1683">
        <v>1.56</v>
      </c>
      <c r="K1683" t="s">
        <v>451</v>
      </c>
      <c r="L1683">
        <v>-11.69</v>
      </c>
      <c r="M1683" t="s">
        <v>405</v>
      </c>
      <c r="N1683" t="s">
        <v>9021</v>
      </c>
      <c r="O1683" t="s">
        <v>548</v>
      </c>
      <c r="P1683" t="s">
        <v>1094</v>
      </c>
      <c r="Q1683">
        <v>-9.2200000000000006</v>
      </c>
      <c r="R1683" t="s">
        <v>1751</v>
      </c>
      <c r="S1683">
        <v>1.61</v>
      </c>
      <c r="T1683">
        <v>0</v>
      </c>
      <c r="U1683" t="s">
        <v>9022</v>
      </c>
      <c r="V1683">
        <v>0</v>
      </c>
      <c r="W1683" t="s">
        <v>126</v>
      </c>
      <c r="X1683">
        <v>1.56</v>
      </c>
      <c r="Y1683" t="s">
        <v>9023</v>
      </c>
      <c r="Z1683">
        <v>0</v>
      </c>
      <c r="AA1683">
        <v>0</v>
      </c>
      <c r="AB1683">
        <v>1.24</v>
      </c>
      <c r="AC1683" t="s">
        <v>9024</v>
      </c>
      <c r="AD1683">
        <v>24.19</v>
      </c>
      <c r="AE1683" t="s">
        <v>3500</v>
      </c>
      <c r="AF1683">
        <v>2.4700000000000002</v>
      </c>
      <c r="AG1683">
        <v>0</v>
      </c>
      <c r="AH1683" t="s">
        <v>785</v>
      </c>
      <c r="AI1683" s="4">
        <v>42758</v>
      </c>
    </row>
    <row r="1684" spans="1:35">
      <c r="A1684">
        <v>1683</v>
      </c>
      <c r="B1684" t="str">
        <f>"601222"</f>
        <v>601222</v>
      </c>
      <c r="C1684" t="s">
        <v>9025</v>
      </c>
      <c r="D1684" s="4">
        <v>43190</v>
      </c>
      <c r="E1684" t="s">
        <v>1126</v>
      </c>
      <c r="F1684" t="s">
        <v>1343</v>
      </c>
      <c r="G1684" t="s">
        <v>240</v>
      </c>
      <c r="H1684">
        <v>0.08</v>
      </c>
      <c r="I1684">
        <v>5</v>
      </c>
      <c r="J1684">
        <v>1.56</v>
      </c>
      <c r="K1684" t="s">
        <v>2739</v>
      </c>
      <c r="L1684">
        <v>-10.95</v>
      </c>
      <c r="M1684" t="s">
        <v>1203</v>
      </c>
      <c r="N1684" t="s">
        <v>5175</v>
      </c>
      <c r="O1684" t="s">
        <v>2031</v>
      </c>
      <c r="P1684" t="s">
        <v>745</v>
      </c>
      <c r="Q1684">
        <v>10.15</v>
      </c>
      <c r="R1684" t="s">
        <v>2753</v>
      </c>
      <c r="S1684">
        <v>1.23</v>
      </c>
      <c r="T1684">
        <v>44.51</v>
      </c>
      <c r="U1684" t="s">
        <v>1097</v>
      </c>
      <c r="V1684" t="s">
        <v>1253</v>
      </c>
      <c r="W1684" t="s">
        <v>1987</v>
      </c>
      <c r="X1684">
        <v>1.56</v>
      </c>
      <c r="Y1684" t="s">
        <v>772</v>
      </c>
      <c r="Z1684" t="s">
        <v>313</v>
      </c>
      <c r="AA1684" t="s">
        <v>1291</v>
      </c>
      <c r="AB1684">
        <v>1.03</v>
      </c>
      <c r="AC1684" t="s">
        <v>1262</v>
      </c>
      <c r="AD1684">
        <v>55.64</v>
      </c>
      <c r="AE1684" t="s">
        <v>732</v>
      </c>
      <c r="AF1684">
        <v>2.7</v>
      </c>
      <c r="AG1684">
        <v>0</v>
      </c>
      <c r="AH1684">
        <v>0</v>
      </c>
      <c r="AI1684" s="4">
        <v>40763</v>
      </c>
    </row>
    <row r="1685" spans="1:35">
      <c r="A1685">
        <v>1684</v>
      </c>
      <c r="B1685" t="str">
        <f>"600602"</f>
        <v>600602</v>
      </c>
      <c r="C1685" t="s">
        <v>9026</v>
      </c>
      <c r="D1685" s="4">
        <v>43190</v>
      </c>
      <c r="E1685" t="s">
        <v>971</v>
      </c>
      <c r="F1685" t="s">
        <v>4194</v>
      </c>
      <c r="G1685">
        <v>0</v>
      </c>
      <c r="H1685">
        <v>0.04</v>
      </c>
      <c r="I1685">
        <v>2.84</v>
      </c>
      <c r="J1685">
        <v>1.56</v>
      </c>
      <c r="K1685" t="s">
        <v>1998</v>
      </c>
      <c r="L1685">
        <v>20.149999999999999</v>
      </c>
      <c r="M1685" t="s">
        <v>9027</v>
      </c>
      <c r="N1685" t="s">
        <v>9028</v>
      </c>
      <c r="O1685" t="s">
        <v>7974</v>
      </c>
      <c r="P1685" t="s">
        <v>4022</v>
      </c>
      <c r="Q1685">
        <v>1.6</v>
      </c>
      <c r="R1685" t="s">
        <v>2295</v>
      </c>
      <c r="S1685">
        <v>0.46</v>
      </c>
      <c r="T1685">
        <v>17.559999999999999</v>
      </c>
      <c r="U1685" t="s">
        <v>1532</v>
      </c>
      <c r="V1685" t="s">
        <v>907</v>
      </c>
      <c r="W1685" t="s">
        <v>474</v>
      </c>
      <c r="X1685">
        <v>1.56</v>
      </c>
      <c r="Y1685" t="s">
        <v>300</v>
      </c>
      <c r="Z1685" t="s">
        <v>250</v>
      </c>
      <c r="AA1685" t="s">
        <v>9029</v>
      </c>
      <c r="AB1685">
        <v>1.96</v>
      </c>
      <c r="AC1685" t="s">
        <v>948</v>
      </c>
      <c r="AD1685">
        <v>73.7</v>
      </c>
      <c r="AE1685" t="s">
        <v>547</v>
      </c>
      <c r="AF1685">
        <v>1.1000000000000001</v>
      </c>
      <c r="AG1685" t="s">
        <v>1402</v>
      </c>
      <c r="AH1685">
        <v>0</v>
      </c>
      <c r="AI1685" s="4">
        <v>33226</v>
      </c>
    </row>
    <row r="1686" spans="1:35">
      <c r="A1686">
        <v>1685</v>
      </c>
      <c r="B1686" t="str">
        <f>"600203"</f>
        <v>600203</v>
      </c>
      <c r="C1686" t="s">
        <v>9030</v>
      </c>
      <c r="D1686" s="4">
        <v>43190</v>
      </c>
      <c r="E1686" t="s">
        <v>2222</v>
      </c>
      <c r="F1686" t="s">
        <v>204</v>
      </c>
      <c r="G1686" t="s">
        <v>3789</v>
      </c>
      <c r="H1686">
        <v>7.0000000000000007E-2</v>
      </c>
      <c r="I1686">
        <v>4.47</v>
      </c>
      <c r="J1686">
        <v>1.56</v>
      </c>
      <c r="K1686" t="s">
        <v>1569</v>
      </c>
      <c r="L1686">
        <v>-24.19</v>
      </c>
      <c r="M1686" t="s">
        <v>9031</v>
      </c>
      <c r="N1686" t="s">
        <v>9032</v>
      </c>
      <c r="O1686" t="s">
        <v>9033</v>
      </c>
      <c r="P1686" t="s">
        <v>8000</v>
      </c>
      <c r="Q1686">
        <v>123.92</v>
      </c>
      <c r="R1686" t="s">
        <v>9034</v>
      </c>
      <c r="S1686">
        <v>-0.12</v>
      </c>
      <c r="T1686">
        <v>7.79</v>
      </c>
      <c r="U1686" t="s">
        <v>2419</v>
      </c>
      <c r="V1686" t="s">
        <v>1305</v>
      </c>
      <c r="W1686" t="s">
        <v>1869</v>
      </c>
      <c r="X1686">
        <v>1.56</v>
      </c>
      <c r="Y1686" t="s">
        <v>431</v>
      </c>
      <c r="Z1686" t="s">
        <v>1175</v>
      </c>
      <c r="AA1686" t="s">
        <v>9035</v>
      </c>
      <c r="AB1686">
        <v>2.12</v>
      </c>
      <c r="AC1686" t="s">
        <v>1843</v>
      </c>
      <c r="AD1686">
        <v>36.04</v>
      </c>
      <c r="AE1686" t="s">
        <v>50</v>
      </c>
      <c r="AF1686">
        <v>3.53</v>
      </c>
      <c r="AG1686">
        <v>0</v>
      </c>
      <c r="AH1686">
        <v>0</v>
      </c>
      <c r="AI1686" s="4">
        <v>36294</v>
      </c>
    </row>
    <row r="1687" spans="1:35">
      <c r="A1687">
        <v>1686</v>
      </c>
      <c r="B1687" t="str">
        <f>"002810"</f>
        <v>002810</v>
      </c>
      <c r="C1687" t="s">
        <v>9036</v>
      </c>
      <c r="D1687" s="4">
        <v>43190</v>
      </c>
      <c r="E1687" t="s">
        <v>4493</v>
      </c>
      <c r="F1687" t="s">
        <v>5802</v>
      </c>
      <c r="G1687">
        <v>4087</v>
      </c>
      <c r="H1687">
        <v>0.11</v>
      </c>
      <c r="I1687">
        <v>7.32</v>
      </c>
      <c r="J1687">
        <v>1.56</v>
      </c>
      <c r="K1687" t="s">
        <v>1855</v>
      </c>
      <c r="L1687">
        <v>26.19</v>
      </c>
      <c r="M1687" t="s">
        <v>4519</v>
      </c>
      <c r="N1687" t="s">
        <v>9037</v>
      </c>
      <c r="O1687" t="s">
        <v>8351</v>
      </c>
      <c r="P1687" t="s">
        <v>7224</v>
      </c>
      <c r="Q1687">
        <v>-31.32</v>
      </c>
      <c r="R1687" t="s">
        <v>1578</v>
      </c>
      <c r="S1687">
        <v>3.41</v>
      </c>
      <c r="T1687">
        <v>23.32</v>
      </c>
      <c r="U1687" t="s">
        <v>192</v>
      </c>
      <c r="V1687" t="s">
        <v>1768</v>
      </c>
      <c r="W1687" t="s">
        <v>1967</v>
      </c>
      <c r="X1687">
        <v>1.56</v>
      </c>
      <c r="Y1687" t="s">
        <v>5374</v>
      </c>
      <c r="Z1687" t="s">
        <v>137</v>
      </c>
      <c r="AA1687" t="s">
        <v>1475</v>
      </c>
      <c r="AB1687">
        <v>2.83</v>
      </c>
      <c r="AC1687" t="s">
        <v>2394</v>
      </c>
      <c r="AD1687">
        <v>58.4</v>
      </c>
      <c r="AE1687" t="s">
        <v>608</v>
      </c>
      <c r="AF1687">
        <v>2.31</v>
      </c>
      <c r="AG1687">
        <v>0</v>
      </c>
      <c r="AH1687">
        <v>0</v>
      </c>
      <c r="AI1687" s="4">
        <v>42608</v>
      </c>
    </row>
    <row r="1688" spans="1:35">
      <c r="A1688">
        <v>1687</v>
      </c>
      <c r="B1688" t="str">
        <f>"002648"</f>
        <v>002648</v>
      </c>
      <c r="C1688" t="s">
        <v>9038</v>
      </c>
      <c r="D1688" s="4">
        <v>43190</v>
      </c>
      <c r="E1688" t="s">
        <v>521</v>
      </c>
      <c r="F1688" t="s">
        <v>4000</v>
      </c>
      <c r="G1688" t="s">
        <v>520</v>
      </c>
      <c r="H1688">
        <v>0.11</v>
      </c>
      <c r="I1688">
        <v>6.78</v>
      </c>
      <c r="J1688">
        <v>1.56</v>
      </c>
      <c r="K1688" t="s">
        <v>1343</v>
      </c>
      <c r="L1688">
        <v>-8.4499999999999993</v>
      </c>
      <c r="M1688" t="s">
        <v>1038</v>
      </c>
      <c r="N1688" t="s">
        <v>9039</v>
      </c>
      <c r="O1688" t="s">
        <v>1038</v>
      </c>
      <c r="P1688" t="s">
        <v>1349</v>
      </c>
      <c r="Q1688">
        <v>-61.21</v>
      </c>
      <c r="R1688" t="s">
        <v>754</v>
      </c>
      <c r="S1688">
        <v>1.62</v>
      </c>
      <c r="T1688">
        <v>19.25</v>
      </c>
      <c r="U1688" t="s">
        <v>525</v>
      </c>
      <c r="V1688" t="s">
        <v>739</v>
      </c>
      <c r="W1688" t="s">
        <v>733</v>
      </c>
      <c r="X1688">
        <v>1.56</v>
      </c>
      <c r="Y1688" t="s">
        <v>907</v>
      </c>
      <c r="Z1688" t="s">
        <v>313</v>
      </c>
      <c r="AA1688" t="s">
        <v>3942</v>
      </c>
      <c r="AB1688">
        <v>1.62</v>
      </c>
      <c r="AC1688" t="s">
        <v>3262</v>
      </c>
      <c r="AD1688">
        <v>69.709999999999994</v>
      </c>
      <c r="AE1688" t="s">
        <v>2239</v>
      </c>
      <c r="AF1688">
        <v>3.91</v>
      </c>
      <c r="AG1688">
        <v>0</v>
      </c>
      <c r="AH1688">
        <v>0</v>
      </c>
      <c r="AI1688" s="4">
        <v>40905</v>
      </c>
    </row>
    <row r="1689" spans="1:35">
      <c r="A1689">
        <v>1688</v>
      </c>
      <c r="B1689" t="str">
        <f>"002095"</f>
        <v>002095</v>
      </c>
      <c r="C1689" t="s">
        <v>9040</v>
      </c>
      <c r="D1689" s="4">
        <v>43190</v>
      </c>
      <c r="E1689" t="s">
        <v>998</v>
      </c>
      <c r="F1689" t="s">
        <v>641</v>
      </c>
      <c r="G1689">
        <v>7847</v>
      </c>
      <c r="H1689">
        <v>0.05</v>
      </c>
      <c r="I1689">
        <v>3.33</v>
      </c>
      <c r="J1689">
        <v>1.56</v>
      </c>
      <c r="K1689" t="s">
        <v>9041</v>
      </c>
      <c r="L1689">
        <v>-12.65</v>
      </c>
      <c r="M1689" t="s">
        <v>9042</v>
      </c>
      <c r="N1689" t="s">
        <v>843</v>
      </c>
      <c r="O1689" t="s">
        <v>7240</v>
      </c>
      <c r="P1689" t="s">
        <v>6906</v>
      </c>
      <c r="Q1689">
        <v>100.8</v>
      </c>
      <c r="R1689" t="s">
        <v>1004</v>
      </c>
      <c r="S1689">
        <v>0.87</v>
      </c>
      <c r="T1689">
        <v>47.19</v>
      </c>
      <c r="U1689" t="s">
        <v>538</v>
      </c>
      <c r="V1689" t="s">
        <v>548</v>
      </c>
      <c r="W1689" t="s">
        <v>4852</v>
      </c>
      <c r="X1689">
        <v>1.56</v>
      </c>
      <c r="Y1689" t="s">
        <v>1964</v>
      </c>
      <c r="Z1689" t="s">
        <v>2185</v>
      </c>
      <c r="AA1689" t="s">
        <v>9043</v>
      </c>
      <c r="AB1689">
        <v>10.11</v>
      </c>
      <c r="AC1689" t="s">
        <v>1802</v>
      </c>
      <c r="AD1689">
        <v>60.25</v>
      </c>
      <c r="AE1689" t="s">
        <v>90</v>
      </c>
      <c r="AF1689">
        <v>1.29</v>
      </c>
      <c r="AG1689">
        <v>0</v>
      </c>
      <c r="AH1689">
        <v>0</v>
      </c>
      <c r="AI1689" s="4">
        <v>39066</v>
      </c>
    </row>
    <row r="1690" spans="1:35">
      <c r="A1690">
        <v>1689</v>
      </c>
      <c r="B1690" t="str">
        <f>"002053"</f>
        <v>002053</v>
      </c>
      <c r="C1690" t="s">
        <v>9044</v>
      </c>
      <c r="D1690" s="4">
        <v>43190</v>
      </c>
      <c r="E1690" t="s">
        <v>695</v>
      </c>
      <c r="F1690" t="s">
        <v>1035</v>
      </c>
      <c r="G1690" t="s">
        <v>1471</v>
      </c>
      <c r="H1690">
        <v>7.0000000000000007E-2</v>
      </c>
      <c r="I1690">
        <v>4.2</v>
      </c>
      <c r="J1690">
        <v>1.56</v>
      </c>
      <c r="K1690" t="s">
        <v>559</v>
      </c>
      <c r="L1690">
        <v>-1.35</v>
      </c>
      <c r="M1690" t="s">
        <v>9045</v>
      </c>
      <c r="N1690" t="s">
        <v>631</v>
      </c>
      <c r="O1690" t="s">
        <v>9046</v>
      </c>
      <c r="P1690" t="s">
        <v>9047</v>
      </c>
      <c r="Q1690">
        <v>-12.48</v>
      </c>
      <c r="R1690" t="s">
        <v>2413</v>
      </c>
      <c r="S1690">
        <v>0.88</v>
      </c>
      <c r="T1690">
        <v>50.38</v>
      </c>
      <c r="U1690" t="s">
        <v>1211</v>
      </c>
      <c r="V1690" t="s">
        <v>264</v>
      </c>
      <c r="W1690" t="s">
        <v>4194</v>
      </c>
      <c r="X1690">
        <v>1.56</v>
      </c>
      <c r="Y1690" t="s">
        <v>164</v>
      </c>
      <c r="Z1690" t="s">
        <v>2063</v>
      </c>
      <c r="AA1690" t="s">
        <v>846</v>
      </c>
      <c r="AB1690">
        <v>2.4</v>
      </c>
      <c r="AC1690" t="s">
        <v>1348</v>
      </c>
      <c r="AD1690">
        <v>63.41</v>
      </c>
      <c r="AE1690" t="s">
        <v>1033</v>
      </c>
      <c r="AF1690">
        <v>2.12</v>
      </c>
      <c r="AG1690">
        <v>0</v>
      </c>
      <c r="AH1690">
        <v>0</v>
      </c>
      <c r="AI1690" s="4">
        <v>38895</v>
      </c>
    </row>
    <row r="1691" spans="1:35">
      <c r="A1691">
        <v>1690</v>
      </c>
      <c r="B1691" t="str">
        <f>"000665"</f>
        <v>000665</v>
      </c>
      <c r="C1691" t="s">
        <v>9048</v>
      </c>
      <c r="D1691" s="4">
        <v>43190</v>
      </c>
      <c r="E1691" t="s">
        <v>2295</v>
      </c>
      <c r="F1691" t="s">
        <v>2295</v>
      </c>
      <c r="G1691" t="s">
        <v>6656</v>
      </c>
      <c r="H1691">
        <v>0.15</v>
      </c>
      <c r="I1691">
        <v>9.31</v>
      </c>
      <c r="J1691">
        <v>1.56</v>
      </c>
      <c r="K1691" t="s">
        <v>1491</v>
      </c>
      <c r="L1691">
        <v>16.510000000000002</v>
      </c>
      <c r="M1691" t="s">
        <v>9049</v>
      </c>
      <c r="N1691" t="s">
        <v>9050</v>
      </c>
      <c r="O1691" t="s">
        <v>9051</v>
      </c>
      <c r="P1691" t="s">
        <v>9052</v>
      </c>
      <c r="Q1691">
        <v>1.48</v>
      </c>
      <c r="R1691" t="s">
        <v>1343</v>
      </c>
      <c r="S1691">
        <v>2.67</v>
      </c>
      <c r="T1691">
        <v>43.33</v>
      </c>
      <c r="U1691" t="s">
        <v>5429</v>
      </c>
      <c r="V1691" t="s">
        <v>625</v>
      </c>
      <c r="W1691" t="s">
        <v>428</v>
      </c>
      <c r="X1691">
        <v>1.56</v>
      </c>
      <c r="Y1691" t="s">
        <v>1248</v>
      </c>
      <c r="Z1691" t="s">
        <v>4697</v>
      </c>
      <c r="AA1691" t="s">
        <v>9053</v>
      </c>
      <c r="AB1691">
        <v>0.93</v>
      </c>
      <c r="AC1691" t="s">
        <v>1104</v>
      </c>
      <c r="AD1691">
        <v>61.73</v>
      </c>
      <c r="AE1691" t="s">
        <v>1175</v>
      </c>
      <c r="AF1691">
        <v>5.45</v>
      </c>
      <c r="AG1691">
        <v>0</v>
      </c>
      <c r="AH1691">
        <v>0</v>
      </c>
      <c r="AI1691" s="4">
        <v>35409</v>
      </c>
    </row>
    <row r="1692" spans="1:35">
      <c r="A1692">
        <v>1691</v>
      </c>
      <c r="B1692" t="str">
        <f>"000662"</f>
        <v>000662</v>
      </c>
      <c r="C1692" t="s">
        <v>9054</v>
      </c>
      <c r="D1692" s="4">
        <v>43190</v>
      </c>
      <c r="E1692" t="s">
        <v>1223</v>
      </c>
      <c r="F1692" t="s">
        <v>3197</v>
      </c>
      <c r="G1692" t="s">
        <v>950</v>
      </c>
      <c r="H1692">
        <v>0.08</v>
      </c>
      <c r="I1692">
        <v>5.12</v>
      </c>
      <c r="J1692">
        <v>1.56</v>
      </c>
      <c r="K1692" t="s">
        <v>203</v>
      </c>
      <c r="L1692">
        <v>46.5</v>
      </c>
      <c r="M1692" t="s">
        <v>355</v>
      </c>
      <c r="N1692" t="s">
        <v>9055</v>
      </c>
      <c r="O1692" t="s">
        <v>804</v>
      </c>
      <c r="P1692" t="s">
        <v>5453</v>
      </c>
      <c r="Q1692">
        <v>2.86</v>
      </c>
      <c r="R1692" t="s">
        <v>724</v>
      </c>
      <c r="S1692">
        <v>0.77</v>
      </c>
      <c r="T1692">
        <v>56.82</v>
      </c>
      <c r="U1692" t="s">
        <v>2832</v>
      </c>
      <c r="V1692" t="s">
        <v>583</v>
      </c>
      <c r="W1692" t="s">
        <v>1854</v>
      </c>
      <c r="X1692">
        <v>1.56</v>
      </c>
      <c r="Y1692" t="s">
        <v>1569</v>
      </c>
      <c r="Z1692" t="s">
        <v>1190</v>
      </c>
      <c r="AA1692" t="s">
        <v>9056</v>
      </c>
      <c r="AB1692">
        <v>1.22</v>
      </c>
      <c r="AC1692" t="s">
        <v>2419</v>
      </c>
      <c r="AD1692">
        <v>77.05</v>
      </c>
      <c r="AE1692" t="s">
        <v>1781</v>
      </c>
      <c r="AF1692">
        <v>3.29</v>
      </c>
      <c r="AG1692">
        <v>0</v>
      </c>
      <c r="AH1692">
        <v>0</v>
      </c>
      <c r="AI1692" s="4">
        <v>35415</v>
      </c>
    </row>
    <row r="1693" spans="1:35">
      <c r="A1693">
        <v>1692</v>
      </c>
      <c r="B1693" t="str">
        <f>"000166"</f>
        <v>000166</v>
      </c>
      <c r="C1693" t="s">
        <v>9057</v>
      </c>
      <c r="D1693" s="4">
        <v>43190</v>
      </c>
      <c r="E1693" t="s">
        <v>409</v>
      </c>
      <c r="F1693" t="s">
        <v>388</v>
      </c>
      <c r="G1693" t="s">
        <v>9058</v>
      </c>
      <c r="H1693">
        <v>0.04</v>
      </c>
      <c r="I1693">
        <v>3.02</v>
      </c>
      <c r="J1693">
        <v>1.56</v>
      </c>
      <c r="K1693" t="s">
        <v>371</v>
      </c>
      <c r="L1693">
        <v>1.94</v>
      </c>
      <c r="M1693" t="s">
        <v>101</v>
      </c>
      <c r="N1693" t="s">
        <v>496</v>
      </c>
      <c r="O1693" t="s">
        <v>101</v>
      </c>
      <c r="P1693" t="s">
        <v>2620</v>
      </c>
      <c r="Q1693">
        <v>2.1800000000000002</v>
      </c>
      <c r="R1693" t="s">
        <v>462</v>
      </c>
      <c r="S1693">
        <v>0.87</v>
      </c>
      <c r="T1693">
        <v>0</v>
      </c>
      <c r="U1693" t="s">
        <v>9059</v>
      </c>
      <c r="V1693">
        <v>0</v>
      </c>
      <c r="W1693" t="s">
        <v>1025</v>
      </c>
      <c r="X1693">
        <v>1.56</v>
      </c>
      <c r="Y1693" t="s">
        <v>9060</v>
      </c>
      <c r="Z1693">
        <v>0</v>
      </c>
      <c r="AA1693">
        <v>0</v>
      </c>
      <c r="AB1693">
        <v>1.43</v>
      </c>
      <c r="AC1693" t="s">
        <v>9061</v>
      </c>
      <c r="AD1693">
        <v>20.84</v>
      </c>
      <c r="AE1693" t="s">
        <v>229</v>
      </c>
      <c r="AF1693">
        <v>0.62</v>
      </c>
      <c r="AG1693">
        <v>0</v>
      </c>
      <c r="AH1693">
        <v>0</v>
      </c>
      <c r="AI1693" s="4">
        <v>42030</v>
      </c>
    </row>
    <row r="1694" spans="1:35">
      <c r="A1694">
        <v>1693</v>
      </c>
      <c r="B1694" t="str">
        <f>"000050"</f>
        <v>000050</v>
      </c>
      <c r="C1694" t="s">
        <v>9062</v>
      </c>
      <c r="D1694" s="4">
        <v>43190</v>
      </c>
      <c r="E1694" t="s">
        <v>1920</v>
      </c>
      <c r="F1694" t="s">
        <v>538</v>
      </c>
      <c r="G1694" t="s">
        <v>6893</v>
      </c>
      <c r="H1694">
        <v>0.19</v>
      </c>
      <c r="I1694">
        <v>12.36</v>
      </c>
      <c r="J1694">
        <v>1.56</v>
      </c>
      <c r="K1694" t="s">
        <v>7234</v>
      </c>
      <c r="L1694">
        <v>47.53</v>
      </c>
      <c r="M1694" t="s">
        <v>704</v>
      </c>
      <c r="N1694" t="s">
        <v>9063</v>
      </c>
      <c r="O1694" t="s">
        <v>540</v>
      </c>
      <c r="P1694" t="s">
        <v>2098</v>
      </c>
      <c r="Q1694">
        <v>2.71</v>
      </c>
      <c r="R1694" t="s">
        <v>2064</v>
      </c>
      <c r="S1694">
        <v>1.45</v>
      </c>
      <c r="T1694">
        <v>15.75</v>
      </c>
      <c r="U1694" t="s">
        <v>4694</v>
      </c>
      <c r="V1694" t="s">
        <v>3129</v>
      </c>
      <c r="W1694" t="s">
        <v>9064</v>
      </c>
      <c r="X1694">
        <v>1.56</v>
      </c>
      <c r="Y1694" t="s">
        <v>2540</v>
      </c>
      <c r="Z1694" t="s">
        <v>2522</v>
      </c>
      <c r="AA1694" t="s">
        <v>463</v>
      </c>
      <c r="AB1694">
        <v>1.18</v>
      </c>
      <c r="AC1694" t="s">
        <v>3410</v>
      </c>
      <c r="AD1694">
        <v>42.77</v>
      </c>
      <c r="AE1694" t="s">
        <v>1495</v>
      </c>
      <c r="AF1694">
        <v>9.8699999999999992</v>
      </c>
      <c r="AG1694">
        <v>0</v>
      </c>
      <c r="AH1694">
        <v>0</v>
      </c>
      <c r="AI1694" s="4">
        <v>34773</v>
      </c>
    </row>
    <row r="1695" spans="1:35">
      <c r="A1695">
        <v>1694</v>
      </c>
      <c r="B1695" t="str">
        <f>"601333"</f>
        <v>601333</v>
      </c>
      <c r="C1695" t="s">
        <v>9065</v>
      </c>
      <c r="D1695" s="4">
        <v>43190</v>
      </c>
      <c r="E1695" t="s">
        <v>2710</v>
      </c>
      <c r="F1695" t="s">
        <v>6982</v>
      </c>
      <c r="G1695">
        <v>0</v>
      </c>
      <c r="H1695">
        <v>0.06</v>
      </c>
      <c r="I1695">
        <v>4.1100000000000003</v>
      </c>
      <c r="J1695">
        <v>1.55</v>
      </c>
      <c r="K1695" t="s">
        <v>762</v>
      </c>
      <c r="L1695">
        <v>13.16</v>
      </c>
      <c r="M1695" t="s">
        <v>456</v>
      </c>
      <c r="N1695" t="s">
        <v>5522</v>
      </c>
      <c r="O1695" t="s">
        <v>2429</v>
      </c>
      <c r="P1695" t="s">
        <v>4044</v>
      </c>
      <c r="Q1695">
        <v>57.89</v>
      </c>
      <c r="R1695" t="s">
        <v>1927</v>
      </c>
      <c r="S1695">
        <v>1.03</v>
      </c>
      <c r="T1695">
        <v>13.41</v>
      </c>
      <c r="U1695" t="s">
        <v>9066</v>
      </c>
      <c r="V1695" t="s">
        <v>1418</v>
      </c>
      <c r="W1695" t="s">
        <v>4816</v>
      </c>
      <c r="X1695">
        <v>1.55</v>
      </c>
      <c r="Y1695" t="s">
        <v>8225</v>
      </c>
      <c r="Z1695" t="s">
        <v>2092</v>
      </c>
      <c r="AA1695" t="s">
        <v>1457</v>
      </c>
      <c r="AB1695">
        <v>1.01</v>
      </c>
      <c r="AC1695" t="s">
        <v>2049</v>
      </c>
      <c r="AD1695">
        <v>85.53</v>
      </c>
      <c r="AE1695" t="s">
        <v>590</v>
      </c>
      <c r="AF1695">
        <v>1.63</v>
      </c>
      <c r="AG1695">
        <v>0</v>
      </c>
      <c r="AH1695" t="s">
        <v>162</v>
      </c>
      <c r="AI1695" s="4">
        <v>39073</v>
      </c>
    </row>
    <row r="1696" spans="1:35">
      <c r="A1696">
        <v>1695</v>
      </c>
      <c r="B1696" t="str">
        <f>"600758"</f>
        <v>600758</v>
      </c>
      <c r="C1696" t="s">
        <v>9067</v>
      </c>
      <c r="D1696" s="4">
        <v>43190</v>
      </c>
      <c r="E1696" t="s">
        <v>124</v>
      </c>
      <c r="F1696" t="s">
        <v>1671</v>
      </c>
      <c r="G1696">
        <v>9281</v>
      </c>
      <c r="H1696">
        <v>7.0000000000000007E-2</v>
      </c>
      <c r="I1696">
        <v>4.25</v>
      </c>
      <c r="J1696">
        <v>1.55</v>
      </c>
      <c r="K1696" t="s">
        <v>2568</v>
      </c>
      <c r="L1696">
        <v>-8.39</v>
      </c>
      <c r="M1696" t="s">
        <v>1525</v>
      </c>
      <c r="N1696">
        <v>0</v>
      </c>
      <c r="O1696" t="s">
        <v>280</v>
      </c>
      <c r="P1696" t="s">
        <v>7593</v>
      </c>
      <c r="Q1696">
        <v>-76.39</v>
      </c>
      <c r="R1696" t="s">
        <v>475</v>
      </c>
      <c r="S1696">
        <v>0.52</v>
      </c>
      <c r="T1696">
        <v>16.98</v>
      </c>
      <c r="U1696" t="s">
        <v>1146</v>
      </c>
      <c r="V1696" t="s">
        <v>3243</v>
      </c>
      <c r="W1696" t="s">
        <v>1281</v>
      </c>
      <c r="X1696">
        <v>1.55</v>
      </c>
      <c r="Y1696" t="s">
        <v>525</v>
      </c>
      <c r="Z1696" t="s">
        <v>2020</v>
      </c>
      <c r="AA1696" t="s">
        <v>161</v>
      </c>
      <c r="AB1696">
        <v>1.02</v>
      </c>
      <c r="AC1696" t="s">
        <v>2419</v>
      </c>
      <c r="AD1696">
        <v>35.04</v>
      </c>
      <c r="AE1696" t="s">
        <v>817</v>
      </c>
      <c r="AF1696">
        <v>2.56</v>
      </c>
      <c r="AG1696">
        <v>0</v>
      </c>
      <c r="AH1696">
        <v>0</v>
      </c>
      <c r="AI1696" s="4">
        <v>35367</v>
      </c>
    </row>
    <row r="1697" spans="1:35">
      <c r="A1697">
        <v>1696</v>
      </c>
      <c r="B1697" t="str">
        <f>"300253"</f>
        <v>300253</v>
      </c>
      <c r="C1697" t="s">
        <v>9068</v>
      </c>
      <c r="D1697" s="4">
        <v>43190</v>
      </c>
      <c r="E1697" t="s">
        <v>1062</v>
      </c>
      <c r="F1697" t="s">
        <v>1033</v>
      </c>
      <c r="G1697" t="s">
        <v>294</v>
      </c>
      <c r="H1697">
        <v>0.03</v>
      </c>
      <c r="I1697">
        <v>1.7</v>
      </c>
      <c r="J1697">
        <v>1.55</v>
      </c>
      <c r="K1697" t="s">
        <v>1970</v>
      </c>
      <c r="L1697">
        <v>22.93</v>
      </c>
      <c r="M1697" t="s">
        <v>6189</v>
      </c>
      <c r="N1697" t="s">
        <v>9069</v>
      </c>
      <c r="O1697" t="s">
        <v>9070</v>
      </c>
      <c r="P1697" t="s">
        <v>9071</v>
      </c>
      <c r="Q1697">
        <v>50.04</v>
      </c>
      <c r="R1697" t="s">
        <v>627</v>
      </c>
      <c r="S1697">
        <v>0.45</v>
      </c>
      <c r="T1697">
        <v>45.58</v>
      </c>
      <c r="U1697" t="s">
        <v>1397</v>
      </c>
      <c r="V1697" t="s">
        <v>983</v>
      </c>
      <c r="W1697" t="s">
        <v>3726</v>
      </c>
      <c r="X1697">
        <v>1.55</v>
      </c>
      <c r="Y1697" t="s">
        <v>7139</v>
      </c>
      <c r="Z1697" t="s">
        <v>1867</v>
      </c>
      <c r="AA1697" t="s">
        <v>7061</v>
      </c>
      <c r="AB1697">
        <v>7.12</v>
      </c>
      <c r="AC1697" t="s">
        <v>2523</v>
      </c>
      <c r="AD1697">
        <v>75.790000000000006</v>
      </c>
      <c r="AE1697" t="s">
        <v>1317</v>
      </c>
      <c r="AF1697">
        <v>0.27</v>
      </c>
      <c r="AG1697">
        <v>0</v>
      </c>
      <c r="AH1697">
        <v>0</v>
      </c>
      <c r="AI1697" s="4">
        <v>40773</v>
      </c>
    </row>
    <row r="1698" spans="1:35">
      <c r="A1698">
        <v>1697</v>
      </c>
      <c r="B1698" t="str">
        <f>"000681"</f>
        <v>000681</v>
      </c>
      <c r="C1698" t="s">
        <v>9072</v>
      </c>
      <c r="D1698" s="4">
        <v>43190</v>
      </c>
      <c r="E1698" t="s">
        <v>5415</v>
      </c>
      <c r="F1698" t="s">
        <v>1664</v>
      </c>
      <c r="G1698">
        <v>9589</v>
      </c>
      <c r="H1698">
        <v>0.06</v>
      </c>
      <c r="I1698">
        <v>3.66</v>
      </c>
      <c r="J1698">
        <v>1.55</v>
      </c>
      <c r="K1698" t="s">
        <v>863</v>
      </c>
      <c r="L1698">
        <v>38.04</v>
      </c>
      <c r="M1698" t="s">
        <v>9073</v>
      </c>
      <c r="N1698" t="s">
        <v>2294</v>
      </c>
      <c r="O1698" t="s">
        <v>9073</v>
      </c>
      <c r="P1698" t="s">
        <v>7331</v>
      </c>
      <c r="Q1698">
        <v>36.25</v>
      </c>
      <c r="R1698" t="s">
        <v>2537</v>
      </c>
      <c r="S1698">
        <v>1.29</v>
      </c>
      <c r="T1698">
        <v>62.37</v>
      </c>
      <c r="U1698" t="s">
        <v>1258</v>
      </c>
      <c r="V1698" t="s">
        <v>1993</v>
      </c>
      <c r="W1698" t="s">
        <v>9074</v>
      </c>
      <c r="X1698">
        <v>1.55</v>
      </c>
      <c r="Y1698" t="s">
        <v>350</v>
      </c>
      <c r="Z1698" t="s">
        <v>4760</v>
      </c>
      <c r="AA1698" t="s">
        <v>2177</v>
      </c>
      <c r="AB1698">
        <v>6.81</v>
      </c>
      <c r="AC1698" t="s">
        <v>512</v>
      </c>
      <c r="AD1698">
        <v>65.14</v>
      </c>
      <c r="AE1698" t="s">
        <v>847</v>
      </c>
      <c r="AF1698">
        <v>2.2799999999999998</v>
      </c>
      <c r="AG1698">
        <v>0</v>
      </c>
      <c r="AH1698">
        <v>0</v>
      </c>
      <c r="AI1698" s="4">
        <v>35451</v>
      </c>
    </row>
    <row r="1699" spans="1:35">
      <c r="A1699">
        <v>1698</v>
      </c>
      <c r="B1699" t="str">
        <f>"600831"</f>
        <v>600831</v>
      </c>
      <c r="C1699" t="s">
        <v>9075</v>
      </c>
      <c r="D1699" s="4">
        <v>43190</v>
      </c>
      <c r="E1699" t="s">
        <v>2063</v>
      </c>
      <c r="F1699" t="s">
        <v>1935</v>
      </c>
      <c r="G1699" t="s">
        <v>1448</v>
      </c>
      <c r="H1699">
        <v>0.08</v>
      </c>
      <c r="I1699">
        <v>4.92</v>
      </c>
      <c r="J1699">
        <v>1.54</v>
      </c>
      <c r="K1699" t="s">
        <v>504</v>
      </c>
      <c r="L1699">
        <v>13.54</v>
      </c>
      <c r="M1699" t="s">
        <v>9076</v>
      </c>
      <c r="N1699" t="s">
        <v>8738</v>
      </c>
      <c r="O1699" t="s">
        <v>6587</v>
      </c>
      <c r="P1699" t="s">
        <v>1559</v>
      </c>
      <c r="Q1699">
        <v>26.08</v>
      </c>
      <c r="R1699" t="s">
        <v>147</v>
      </c>
      <c r="S1699">
        <v>1.82</v>
      </c>
      <c r="T1699">
        <v>33.97</v>
      </c>
      <c r="U1699" t="s">
        <v>4690</v>
      </c>
      <c r="V1699" t="s">
        <v>510</v>
      </c>
      <c r="W1699" t="s">
        <v>588</v>
      </c>
      <c r="X1699">
        <v>1.54</v>
      </c>
      <c r="Y1699" t="s">
        <v>2452</v>
      </c>
      <c r="Z1699" t="s">
        <v>2283</v>
      </c>
      <c r="AA1699" t="s">
        <v>776</v>
      </c>
      <c r="AB1699">
        <v>1.19</v>
      </c>
      <c r="AC1699" t="s">
        <v>1051</v>
      </c>
      <c r="AD1699">
        <v>41.45</v>
      </c>
      <c r="AE1699" t="s">
        <v>973</v>
      </c>
      <c r="AF1699">
        <v>1.9</v>
      </c>
      <c r="AG1699">
        <v>0</v>
      </c>
      <c r="AH1699">
        <v>0</v>
      </c>
      <c r="AI1699" s="4">
        <v>34389</v>
      </c>
    </row>
    <row r="1700" spans="1:35">
      <c r="A1700">
        <v>1699</v>
      </c>
      <c r="B1700" t="str">
        <f>"300582"</f>
        <v>300582</v>
      </c>
      <c r="C1700" t="s">
        <v>9077</v>
      </c>
      <c r="D1700" s="4">
        <v>43190</v>
      </c>
      <c r="E1700" t="s">
        <v>975</v>
      </c>
      <c r="F1700" t="s">
        <v>1525</v>
      </c>
      <c r="G1700">
        <v>6761</v>
      </c>
      <c r="H1700">
        <v>7.0000000000000007E-2</v>
      </c>
      <c r="I1700">
        <v>4.63</v>
      </c>
      <c r="J1700">
        <v>1.54</v>
      </c>
      <c r="K1700" t="s">
        <v>1004</v>
      </c>
      <c r="L1700">
        <v>46.97</v>
      </c>
      <c r="M1700" t="s">
        <v>9078</v>
      </c>
      <c r="N1700">
        <v>0</v>
      </c>
      <c r="O1700" t="s">
        <v>9079</v>
      </c>
      <c r="P1700" t="s">
        <v>9080</v>
      </c>
      <c r="Q1700">
        <v>93.18</v>
      </c>
      <c r="R1700" t="s">
        <v>1287</v>
      </c>
      <c r="S1700">
        <v>1.05</v>
      </c>
      <c r="T1700">
        <v>30.25</v>
      </c>
      <c r="U1700" t="s">
        <v>983</v>
      </c>
      <c r="V1700" t="s">
        <v>1567</v>
      </c>
      <c r="W1700" t="s">
        <v>1018</v>
      </c>
      <c r="X1700">
        <v>1.54</v>
      </c>
      <c r="Y1700" t="s">
        <v>4002</v>
      </c>
      <c r="Z1700" t="s">
        <v>2295</v>
      </c>
      <c r="AA1700" t="s">
        <v>9081</v>
      </c>
      <c r="AB1700">
        <v>2.57</v>
      </c>
      <c r="AC1700" t="s">
        <v>2870</v>
      </c>
      <c r="AD1700">
        <v>59.32</v>
      </c>
      <c r="AE1700" t="s">
        <v>1685</v>
      </c>
      <c r="AF1700">
        <v>2.77</v>
      </c>
      <c r="AG1700">
        <v>0</v>
      </c>
      <c r="AH1700">
        <v>0</v>
      </c>
      <c r="AI1700" s="4">
        <v>42732</v>
      </c>
    </row>
    <row r="1701" spans="1:35">
      <c r="A1701">
        <v>1700</v>
      </c>
      <c r="B1701" t="str">
        <f>"300508"</f>
        <v>300508</v>
      </c>
      <c r="C1701" t="s">
        <v>9082</v>
      </c>
      <c r="D1701" s="4">
        <v>43190</v>
      </c>
      <c r="E1701" t="s">
        <v>9083</v>
      </c>
      <c r="F1701" t="s">
        <v>7512</v>
      </c>
      <c r="G1701">
        <v>1375</v>
      </c>
      <c r="H1701">
        <v>0.09</v>
      </c>
      <c r="I1701">
        <v>5.56</v>
      </c>
      <c r="J1701">
        <v>1.54</v>
      </c>
      <c r="K1701" t="s">
        <v>8017</v>
      </c>
      <c r="L1701">
        <v>23.67</v>
      </c>
      <c r="M1701" t="s">
        <v>6797</v>
      </c>
      <c r="N1701" t="s">
        <v>9084</v>
      </c>
      <c r="O1701" t="s">
        <v>270</v>
      </c>
      <c r="P1701" t="s">
        <v>9085</v>
      </c>
      <c r="Q1701">
        <v>-29.51</v>
      </c>
      <c r="R1701" t="s">
        <v>470</v>
      </c>
      <c r="S1701">
        <v>2.42</v>
      </c>
      <c r="T1701">
        <v>60.58</v>
      </c>
      <c r="U1701" t="s">
        <v>483</v>
      </c>
      <c r="V1701" t="s">
        <v>800</v>
      </c>
      <c r="W1701" t="s">
        <v>1475</v>
      </c>
      <c r="X1701">
        <v>1.54</v>
      </c>
      <c r="Y1701" t="s">
        <v>4601</v>
      </c>
      <c r="Z1701" t="s">
        <v>9086</v>
      </c>
      <c r="AA1701" t="s">
        <v>9087</v>
      </c>
      <c r="AB1701">
        <v>6.59</v>
      </c>
      <c r="AC1701" t="s">
        <v>2681</v>
      </c>
      <c r="AD1701">
        <v>93.69</v>
      </c>
      <c r="AE1701" t="s">
        <v>293</v>
      </c>
      <c r="AF1701">
        <v>1.83</v>
      </c>
      <c r="AG1701">
        <v>0</v>
      </c>
      <c r="AH1701">
        <v>0</v>
      </c>
      <c r="AI1701" s="4">
        <v>42479</v>
      </c>
    </row>
    <row r="1702" spans="1:35">
      <c r="A1702">
        <v>1701</v>
      </c>
      <c r="B1702" t="str">
        <f>"300315"</f>
        <v>300315</v>
      </c>
      <c r="C1702" t="s">
        <v>9088</v>
      </c>
      <c r="D1702" s="4">
        <v>43190</v>
      </c>
      <c r="E1702" t="s">
        <v>2523</v>
      </c>
      <c r="F1702" t="s">
        <v>158</v>
      </c>
      <c r="G1702" t="s">
        <v>2985</v>
      </c>
      <c r="H1702">
        <v>0.05</v>
      </c>
      <c r="I1702">
        <v>3.12</v>
      </c>
      <c r="J1702">
        <v>1.54</v>
      </c>
      <c r="K1702" t="s">
        <v>5374</v>
      </c>
      <c r="L1702">
        <v>5.75</v>
      </c>
      <c r="M1702" t="s">
        <v>319</v>
      </c>
      <c r="N1702" t="s">
        <v>2820</v>
      </c>
      <c r="O1702" t="s">
        <v>319</v>
      </c>
      <c r="P1702" t="s">
        <v>2306</v>
      </c>
      <c r="Q1702">
        <v>-18.71</v>
      </c>
      <c r="R1702" t="s">
        <v>1569</v>
      </c>
      <c r="S1702">
        <v>0.61</v>
      </c>
      <c r="T1702">
        <v>57.38</v>
      </c>
      <c r="U1702" t="s">
        <v>4164</v>
      </c>
      <c r="V1702" t="s">
        <v>516</v>
      </c>
      <c r="W1702" t="s">
        <v>9089</v>
      </c>
      <c r="X1702">
        <v>1.54</v>
      </c>
      <c r="Y1702" t="s">
        <v>835</v>
      </c>
      <c r="Z1702" t="s">
        <v>90</v>
      </c>
      <c r="AA1702" t="s">
        <v>3157</v>
      </c>
      <c r="AB1702">
        <v>1.26</v>
      </c>
      <c r="AC1702" t="s">
        <v>2406</v>
      </c>
      <c r="AD1702">
        <v>87.67</v>
      </c>
      <c r="AE1702" t="s">
        <v>1677</v>
      </c>
      <c r="AF1702">
        <v>1.49</v>
      </c>
      <c r="AG1702">
        <v>0</v>
      </c>
      <c r="AH1702">
        <v>0</v>
      </c>
      <c r="AI1702" s="4">
        <v>41040</v>
      </c>
    </row>
    <row r="1703" spans="1:35">
      <c r="A1703">
        <v>1702</v>
      </c>
      <c r="B1703" t="str">
        <f>"002325"</f>
        <v>002325</v>
      </c>
      <c r="C1703" t="s">
        <v>9090</v>
      </c>
      <c r="D1703" s="4">
        <v>43190</v>
      </c>
      <c r="E1703" t="s">
        <v>300</v>
      </c>
      <c r="F1703" t="s">
        <v>5061</v>
      </c>
      <c r="G1703" t="s">
        <v>1381</v>
      </c>
      <c r="H1703">
        <v>0.05</v>
      </c>
      <c r="I1703">
        <v>2.89</v>
      </c>
      <c r="J1703">
        <v>1.54</v>
      </c>
      <c r="K1703" t="s">
        <v>2781</v>
      </c>
      <c r="L1703">
        <v>18.03</v>
      </c>
      <c r="M1703" t="s">
        <v>9091</v>
      </c>
      <c r="N1703">
        <v>0</v>
      </c>
      <c r="O1703" t="s">
        <v>9092</v>
      </c>
      <c r="P1703" t="s">
        <v>656</v>
      </c>
      <c r="Q1703">
        <v>12.05</v>
      </c>
      <c r="R1703" t="s">
        <v>162</v>
      </c>
      <c r="S1703">
        <v>1.1399999999999999</v>
      </c>
      <c r="T1703">
        <v>20.21</v>
      </c>
      <c r="U1703" t="s">
        <v>232</v>
      </c>
      <c r="V1703" t="s">
        <v>7536</v>
      </c>
      <c r="W1703" t="s">
        <v>872</v>
      </c>
      <c r="X1703">
        <v>1.54</v>
      </c>
      <c r="Y1703" t="s">
        <v>2868</v>
      </c>
      <c r="Z1703" t="s">
        <v>1925</v>
      </c>
      <c r="AA1703" t="s">
        <v>584</v>
      </c>
      <c r="AB1703">
        <v>1.22</v>
      </c>
      <c r="AC1703" t="s">
        <v>2725</v>
      </c>
      <c r="AD1703">
        <v>36.64</v>
      </c>
      <c r="AE1703" t="s">
        <v>821</v>
      </c>
      <c r="AF1703">
        <v>0.74</v>
      </c>
      <c r="AG1703">
        <v>0</v>
      </c>
      <c r="AH1703">
        <v>0</v>
      </c>
      <c r="AI1703" s="4">
        <v>40169</v>
      </c>
    </row>
    <row r="1704" spans="1:35">
      <c r="A1704">
        <v>1703</v>
      </c>
      <c r="B1704" t="str">
        <f>"002311"</f>
        <v>002311</v>
      </c>
      <c r="C1704" t="s">
        <v>9093</v>
      </c>
      <c r="D1704" s="4">
        <v>43190</v>
      </c>
      <c r="E1704" t="s">
        <v>1367</v>
      </c>
      <c r="F1704" t="s">
        <v>833</v>
      </c>
      <c r="G1704" t="s">
        <v>7401</v>
      </c>
      <c r="H1704">
        <v>0.06</v>
      </c>
      <c r="I1704">
        <v>4.17</v>
      </c>
      <c r="J1704">
        <v>1.54</v>
      </c>
      <c r="K1704" t="s">
        <v>8103</v>
      </c>
      <c r="L1704">
        <v>32.82</v>
      </c>
      <c r="M1704" t="s">
        <v>1365</v>
      </c>
      <c r="N1704" t="s">
        <v>9094</v>
      </c>
      <c r="O1704" t="s">
        <v>280</v>
      </c>
      <c r="P1704" t="s">
        <v>651</v>
      </c>
      <c r="Q1704">
        <v>73.92</v>
      </c>
      <c r="R1704" t="s">
        <v>1345</v>
      </c>
      <c r="S1704">
        <v>1.94</v>
      </c>
      <c r="T1704">
        <v>9.93</v>
      </c>
      <c r="U1704" t="s">
        <v>3118</v>
      </c>
      <c r="V1704" t="s">
        <v>2388</v>
      </c>
      <c r="W1704" t="s">
        <v>2667</v>
      </c>
      <c r="X1704">
        <v>1.54</v>
      </c>
      <c r="Y1704" t="s">
        <v>4108</v>
      </c>
      <c r="Z1704" t="s">
        <v>2640</v>
      </c>
      <c r="AA1704" t="s">
        <v>2387</v>
      </c>
      <c r="AB1704">
        <v>5.37</v>
      </c>
      <c r="AC1704" t="s">
        <v>2243</v>
      </c>
      <c r="AD1704">
        <v>43.99</v>
      </c>
      <c r="AE1704" t="s">
        <v>389</v>
      </c>
      <c r="AF1704">
        <v>1.22</v>
      </c>
      <c r="AG1704">
        <v>0</v>
      </c>
      <c r="AH1704">
        <v>0</v>
      </c>
      <c r="AI1704" s="4">
        <v>40144</v>
      </c>
    </row>
    <row r="1705" spans="1:35">
      <c r="A1705">
        <v>1704</v>
      </c>
      <c r="B1705" t="str">
        <f>"600605"</f>
        <v>600605</v>
      </c>
      <c r="C1705" t="s">
        <v>9095</v>
      </c>
      <c r="D1705" s="4">
        <v>43190</v>
      </c>
      <c r="E1705" t="s">
        <v>745</v>
      </c>
      <c r="F1705" t="s">
        <v>745</v>
      </c>
      <c r="G1705" t="s">
        <v>1568</v>
      </c>
      <c r="H1705">
        <v>7.0000000000000007E-2</v>
      </c>
      <c r="I1705">
        <v>4.6399999999999997</v>
      </c>
      <c r="J1705">
        <v>1.54</v>
      </c>
      <c r="K1705" t="s">
        <v>2468</v>
      </c>
      <c r="L1705">
        <v>-25.25</v>
      </c>
      <c r="M1705" t="s">
        <v>9096</v>
      </c>
      <c r="N1705" t="s">
        <v>9097</v>
      </c>
      <c r="O1705" t="s">
        <v>6958</v>
      </c>
      <c r="P1705" t="s">
        <v>7064</v>
      </c>
      <c r="Q1705">
        <v>95.38</v>
      </c>
      <c r="R1705" t="s">
        <v>1853</v>
      </c>
      <c r="S1705">
        <v>1.37</v>
      </c>
      <c r="T1705">
        <v>6.86</v>
      </c>
      <c r="U1705" t="s">
        <v>548</v>
      </c>
      <c r="V1705" t="s">
        <v>181</v>
      </c>
      <c r="W1705" t="s">
        <v>1243</v>
      </c>
      <c r="X1705">
        <v>1.54</v>
      </c>
      <c r="Y1705" t="s">
        <v>633</v>
      </c>
      <c r="Z1705" t="s">
        <v>1035</v>
      </c>
      <c r="AA1705" t="s">
        <v>748</v>
      </c>
      <c r="AB1705">
        <v>1.96</v>
      </c>
      <c r="AC1705" t="s">
        <v>4435</v>
      </c>
      <c r="AD1705">
        <v>55.13</v>
      </c>
      <c r="AE1705" t="s">
        <v>998</v>
      </c>
      <c r="AF1705">
        <v>1.72</v>
      </c>
      <c r="AG1705">
        <v>0</v>
      </c>
      <c r="AH1705">
        <v>0</v>
      </c>
      <c r="AI1705" s="4">
        <v>33690</v>
      </c>
    </row>
    <row r="1706" spans="1:35">
      <c r="A1706">
        <v>1705</v>
      </c>
      <c r="B1706" t="str">
        <f>"603721"</f>
        <v>603721</v>
      </c>
      <c r="C1706" t="s">
        <v>9098</v>
      </c>
      <c r="D1706" s="4">
        <v>43190</v>
      </c>
      <c r="E1706" t="s">
        <v>2307</v>
      </c>
      <c r="F1706" t="s">
        <v>534</v>
      </c>
      <c r="G1706">
        <v>2224</v>
      </c>
      <c r="H1706">
        <v>0.08</v>
      </c>
      <c r="I1706">
        <v>5.18</v>
      </c>
      <c r="J1706">
        <v>1.53</v>
      </c>
      <c r="K1706" t="s">
        <v>8564</v>
      </c>
      <c r="L1706">
        <v>-23.17</v>
      </c>
      <c r="M1706" t="s">
        <v>8083</v>
      </c>
      <c r="N1706" t="s">
        <v>8235</v>
      </c>
      <c r="O1706" t="s">
        <v>8083</v>
      </c>
      <c r="P1706" t="s">
        <v>8083</v>
      </c>
      <c r="Q1706">
        <v>-40.01</v>
      </c>
      <c r="R1706" t="s">
        <v>368</v>
      </c>
      <c r="S1706">
        <v>1.41</v>
      </c>
      <c r="T1706">
        <v>32.51</v>
      </c>
      <c r="U1706" t="s">
        <v>661</v>
      </c>
      <c r="V1706" t="s">
        <v>216</v>
      </c>
      <c r="W1706" t="s">
        <v>6211</v>
      </c>
      <c r="X1706">
        <v>1.53</v>
      </c>
      <c r="Y1706" t="s">
        <v>9099</v>
      </c>
      <c r="Z1706" t="s">
        <v>6422</v>
      </c>
      <c r="AA1706" t="s">
        <v>9100</v>
      </c>
      <c r="AB1706">
        <v>4.41</v>
      </c>
      <c r="AC1706" t="s">
        <v>1438</v>
      </c>
      <c r="AD1706">
        <v>88.26</v>
      </c>
      <c r="AE1706" t="s">
        <v>134</v>
      </c>
      <c r="AF1706">
        <v>2.56</v>
      </c>
      <c r="AG1706">
        <v>0</v>
      </c>
      <c r="AH1706">
        <v>0</v>
      </c>
      <c r="AI1706" s="4">
        <v>42958</v>
      </c>
    </row>
    <row r="1707" spans="1:35">
      <c r="A1707">
        <v>1706</v>
      </c>
      <c r="B1707" t="str">
        <f>"600565"</f>
        <v>600565</v>
      </c>
      <c r="C1707" t="s">
        <v>9101</v>
      </c>
      <c r="D1707" s="4">
        <v>43190</v>
      </c>
      <c r="E1707" t="s">
        <v>223</v>
      </c>
      <c r="F1707" t="s">
        <v>2273</v>
      </c>
      <c r="G1707" t="s">
        <v>1694</v>
      </c>
      <c r="H1707">
        <v>0.05</v>
      </c>
      <c r="I1707">
        <v>3.13</v>
      </c>
      <c r="J1707">
        <v>1.53</v>
      </c>
      <c r="K1707" t="s">
        <v>1082</v>
      </c>
      <c r="L1707">
        <v>-10.51</v>
      </c>
      <c r="M1707" t="s">
        <v>2031</v>
      </c>
      <c r="N1707" t="s">
        <v>9102</v>
      </c>
      <c r="O1707" t="s">
        <v>552</v>
      </c>
      <c r="P1707" t="s">
        <v>1627</v>
      </c>
      <c r="Q1707">
        <v>50.9</v>
      </c>
      <c r="R1707" t="s">
        <v>1039</v>
      </c>
      <c r="S1707">
        <v>0.96</v>
      </c>
      <c r="T1707">
        <v>33.229999999999997</v>
      </c>
      <c r="U1707" t="s">
        <v>7360</v>
      </c>
      <c r="V1707" t="s">
        <v>2002</v>
      </c>
      <c r="W1707" t="s">
        <v>1936</v>
      </c>
      <c r="X1707">
        <v>1.53</v>
      </c>
      <c r="Y1707" t="s">
        <v>2540</v>
      </c>
      <c r="Z1707" t="s">
        <v>2543</v>
      </c>
      <c r="AA1707" t="s">
        <v>9103</v>
      </c>
      <c r="AB1707">
        <v>0.94</v>
      </c>
      <c r="AC1707" t="s">
        <v>1498</v>
      </c>
      <c r="AD1707">
        <v>18.04</v>
      </c>
      <c r="AE1707" t="s">
        <v>1687</v>
      </c>
      <c r="AF1707">
        <v>1.02</v>
      </c>
      <c r="AG1707">
        <v>0</v>
      </c>
      <c r="AH1707">
        <v>0</v>
      </c>
      <c r="AI1707" s="4">
        <v>37460</v>
      </c>
    </row>
    <row r="1708" spans="1:35">
      <c r="A1708">
        <v>1707</v>
      </c>
      <c r="B1708" t="str">
        <f>"600490"</f>
        <v>600490</v>
      </c>
      <c r="C1708" t="s">
        <v>9104</v>
      </c>
      <c r="D1708" s="4">
        <v>43190</v>
      </c>
      <c r="E1708" t="s">
        <v>576</v>
      </c>
      <c r="F1708" t="s">
        <v>759</v>
      </c>
      <c r="G1708" t="s">
        <v>6893</v>
      </c>
      <c r="H1708">
        <v>0.04</v>
      </c>
      <c r="I1708">
        <v>3.32</v>
      </c>
      <c r="J1708">
        <v>1.53</v>
      </c>
      <c r="K1708" t="s">
        <v>512</v>
      </c>
      <c r="L1708">
        <v>207.05</v>
      </c>
      <c r="M1708" t="s">
        <v>9105</v>
      </c>
      <c r="N1708" t="s">
        <v>5516</v>
      </c>
      <c r="O1708" t="s">
        <v>1119</v>
      </c>
      <c r="P1708" t="s">
        <v>9106</v>
      </c>
      <c r="Q1708">
        <v>2.29</v>
      </c>
      <c r="R1708" t="s">
        <v>1059</v>
      </c>
      <c r="S1708">
        <v>0.21</v>
      </c>
      <c r="T1708">
        <v>6.15</v>
      </c>
      <c r="U1708" t="s">
        <v>2626</v>
      </c>
      <c r="V1708" t="s">
        <v>588</v>
      </c>
      <c r="W1708" t="s">
        <v>712</v>
      </c>
      <c r="X1708">
        <v>1.53</v>
      </c>
      <c r="Y1708" t="s">
        <v>1832</v>
      </c>
      <c r="Z1708" t="s">
        <v>646</v>
      </c>
      <c r="AA1708" t="s">
        <v>2593</v>
      </c>
      <c r="AB1708">
        <v>2.61</v>
      </c>
      <c r="AC1708" t="s">
        <v>1344</v>
      </c>
      <c r="AD1708">
        <v>67.069999999999993</v>
      </c>
      <c r="AE1708" t="s">
        <v>884</v>
      </c>
      <c r="AF1708">
        <v>2.3199999999999998</v>
      </c>
      <c r="AG1708">
        <v>0</v>
      </c>
      <c r="AH1708">
        <v>0</v>
      </c>
      <c r="AI1708" s="4">
        <v>37798</v>
      </c>
    </row>
    <row r="1709" spans="1:35">
      <c r="A1709">
        <v>1708</v>
      </c>
      <c r="B1709" t="str">
        <f>"600103"</f>
        <v>600103</v>
      </c>
      <c r="C1709" t="s">
        <v>9107</v>
      </c>
      <c r="D1709" s="4">
        <v>43190</v>
      </c>
      <c r="E1709" t="s">
        <v>1126</v>
      </c>
      <c r="F1709" t="s">
        <v>521</v>
      </c>
      <c r="G1709">
        <v>9075</v>
      </c>
      <c r="H1709">
        <v>0.03</v>
      </c>
      <c r="I1709">
        <v>1.89</v>
      </c>
      <c r="J1709">
        <v>1.53</v>
      </c>
      <c r="K1709" t="s">
        <v>1521</v>
      </c>
      <c r="L1709">
        <v>9.5299999999999994</v>
      </c>
      <c r="M1709" t="s">
        <v>9000</v>
      </c>
      <c r="N1709" t="s">
        <v>9108</v>
      </c>
      <c r="O1709" t="s">
        <v>3969</v>
      </c>
      <c r="P1709" t="s">
        <v>9109</v>
      </c>
      <c r="Q1709">
        <v>117.85</v>
      </c>
      <c r="R1709" t="s">
        <v>7732</v>
      </c>
      <c r="S1709">
        <v>0.01</v>
      </c>
      <c r="T1709">
        <v>21.19</v>
      </c>
      <c r="U1709" t="s">
        <v>1715</v>
      </c>
      <c r="V1709" t="s">
        <v>1158</v>
      </c>
      <c r="W1709" t="s">
        <v>1307</v>
      </c>
      <c r="X1709">
        <v>1.53</v>
      </c>
      <c r="Y1709" t="s">
        <v>926</v>
      </c>
      <c r="Z1709" t="s">
        <v>978</v>
      </c>
      <c r="AA1709" t="s">
        <v>2142</v>
      </c>
      <c r="AB1709">
        <v>1.46</v>
      </c>
      <c r="AC1709" t="s">
        <v>3073</v>
      </c>
      <c r="AD1709">
        <v>69.52</v>
      </c>
      <c r="AE1709" t="s">
        <v>1214</v>
      </c>
      <c r="AF1709">
        <v>0.76</v>
      </c>
      <c r="AG1709">
        <v>0</v>
      </c>
      <c r="AH1709">
        <v>0</v>
      </c>
      <c r="AI1709" s="4">
        <v>35614</v>
      </c>
    </row>
    <row r="1710" spans="1:35">
      <c r="A1710">
        <v>1709</v>
      </c>
      <c r="B1710" t="str">
        <f>"300421"</f>
        <v>300421</v>
      </c>
      <c r="C1710" t="s">
        <v>9110</v>
      </c>
      <c r="D1710" s="4">
        <v>43190</v>
      </c>
      <c r="E1710" t="s">
        <v>595</v>
      </c>
      <c r="F1710" t="s">
        <v>1525</v>
      </c>
      <c r="G1710" t="s">
        <v>4216</v>
      </c>
      <c r="H1710">
        <v>0.14000000000000001</v>
      </c>
      <c r="I1710">
        <v>8.6199999999999992</v>
      </c>
      <c r="J1710">
        <v>1.53</v>
      </c>
      <c r="K1710" t="s">
        <v>552</v>
      </c>
      <c r="L1710">
        <v>7.25</v>
      </c>
      <c r="M1710" t="s">
        <v>9111</v>
      </c>
      <c r="N1710" t="s">
        <v>8077</v>
      </c>
      <c r="O1710" t="s">
        <v>5423</v>
      </c>
      <c r="P1710" t="s">
        <v>7228</v>
      </c>
      <c r="Q1710">
        <v>2.1800000000000002</v>
      </c>
      <c r="R1710" t="s">
        <v>321</v>
      </c>
      <c r="S1710">
        <v>0.98</v>
      </c>
      <c r="T1710">
        <v>26.63</v>
      </c>
      <c r="U1710" t="s">
        <v>759</v>
      </c>
      <c r="V1710" t="s">
        <v>1575</v>
      </c>
      <c r="W1710" t="s">
        <v>2222</v>
      </c>
      <c r="X1710">
        <v>1.53</v>
      </c>
      <c r="Y1710" t="s">
        <v>145</v>
      </c>
      <c r="Z1710" t="s">
        <v>2774</v>
      </c>
      <c r="AA1710" t="s">
        <v>9112</v>
      </c>
      <c r="AB1710">
        <v>1.58</v>
      </c>
      <c r="AC1710" t="s">
        <v>1033</v>
      </c>
      <c r="AD1710">
        <v>79.599999999999994</v>
      </c>
      <c r="AE1710" t="s">
        <v>299</v>
      </c>
      <c r="AF1710">
        <v>6.68</v>
      </c>
      <c r="AG1710">
        <v>0</v>
      </c>
      <c r="AH1710">
        <v>0</v>
      </c>
      <c r="AI1710" s="4">
        <v>42052</v>
      </c>
    </row>
    <row r="1711" spans="1:35">
      <c r="A1711">
        <v>1710</v>
      </c>
      <c r="B1711" t="str">
        <f>"300299"</f>
        <v>300299</v>
      </c>
      <c r="C1711" t="s">
        <v>9113</v>
      </c>
      <c r="D1711" s="4">
        <v>43190</v>
      </c>
      <c r="E1711" t="s">
        <v>1042</v>
      </c>
      <c r="F1711" t="s">
        <v>127</v>
      </c>
      <c r="G1711" t="s">
        <v>2221</v>
      </c>
      <c r="H1711">
        <v>0.03</v>
      </c>
      <c r="I1711">
        <v>1.71</v>
      </c>
      <c r="J1711">
        <v>1.53</v>
      </c>
      <c r="K1711" t="s">
        <v>1974</v>
      </c>
      <c r="L1711">
        <v>-18.809999999999999</v>
      </c>
      <c r="M1711" t="s">
        <v>9114</v>
      </c>
      <c r="N1711" t="s">
        <v>9115</v>
      </c>
      <c r="O1711" t="s">
        <v>9116</v>
      </c>
      <c r="P1711" t="s">
        <v>9117</v>
      </c>
      <c r="Q1711">
        <v>-69.05</v>
      </c>
      <c r="R1711" t="s">
        <v>9118</v>
      </c>
      <c r="S1711">
        <v>0.05</v>
      </c>
      <c r="T1711">
        <v>62.92</v>
      </c>
      <c r="U1711" t="s">
        <v>1449</v>
      </c>
      <c r="V1711" t="s">
        <v>43</v>
      </c>
      <c r="W1711" t="s">
        <v>6169</v>
      </c>
      <c r="X1711">
        <v>1.53</v>
      </c>
      <c r="Y1711" t="s">
        <v>4754</v>
      </c>
      <c r="Z1711" t="s">
        <v>805</v>
      </c>
      <c r="AA1711" t="s">
        <v>862</v>
      </c>
      <c r="AB1711">
        <v>2.73</v>
      </c>
      <c r="AC1711" t="s">
        <v>1082</v>
      </c>
      <c r="AD1711">
        <v>56.1</v>
      </c>
      <c r="AE1711" t="s">
        <v>1444</v>
      </c>
      <c r="AF1711">
        <v>0.65</v>
      </c>
      <c r="AG1711">
        <v>0</v>
      </c>
      <c r="AH1711">
        <v>0</v>
      </c>
      <c r="AI1711" s="4">
        <v>40987</v>
      </c>
    </row>
    <row r="1712" spans="1:35">
      <c r="A1712">
        <v>1711</v>
      </c>
      <c r="B1712" t="str">
        <f>"300235"</f>
        <v>300235</v>
      </c>
      <c r="C1712" t="s">
        <v>9119</v>
      </c>
      <c r="D1712" s="4">
        <v>43190</v>
      </c>
      <c r="E1712" t="s">
        <v>290</v>
      </c>
      <c r="F1712" t="s">
        <v>1475</v>
      </c>
      <c r="G1712">
        <v>7360</v>
      </c>
      <c r="H1712">
        <v>0.05</v>
      </c>
      <c r="I1712">
        <v>3.52</v>
      </c>
      <c r="J1712">
        <v>1.53</v>
      </c>
      <c r="K1712" t="s">
        <v>9120</v>
      </c>
      <c r="L1712">
        <v>16.04</v>
      </c>
      <c r="M1712" t="s">
        <v>9121</v>
      </c>
      <c r="N1712" t="s">
        <v>3109</v>
      </c>
      <c r="O1712" t="s">
        <v>9122</v>
      </c>
      <c r="P1712" t="s">
        <v>9123</v>
      </c>
      <c r="Q1712">
        <v>20.78</v>
      </c>
      <c r="R1712" t="s">
        <v>209</v>
      </c>
      <c r="S1712">
        <v>0.73</v>
      </c>
      <c r="T1712">
        <v>61.3</v>
      </c>
      <c r="U1712" t="s">
        <v>3490</v>
      </c>
      <c r="V1712" t="s">
        <v>1563</v>
      </c>
      <c r="W1712" t="s">
        <v>3580</v>
      </c>
      <c r="X1712">
        <v>1.53</v>
      </c>
      <c r="Y1712" t="s">
        <v>9124</v>
      </c>
      <c r="Z1712" t="s">
        <v>7311</v>
      </c>
      <c r="AA1712" t="s">
        <v>5006</v>
      </c>
      <c r="AB1712">
        <v>2.92</v>
      </c>
      <c r="AC1712" t="s">
        <v>2429</v>
      </c>
      <c r="AD1712">
        <v>94.33</v>
      </c>
      <c r="AE1712" t="s">
        <v>478</v>
      </c>
      <c r="AF1712">
        <v>1.68</v>
      </c>
      <c r="AG1712">
        <v>0</v>
      </c>
      <c r="AH1712">
        <v>0</v>
      </c>
      <c r="AI1712" s="4">
        <v>40723</v>
      </c>
    </row>
    <row r="1713" spans="1:35">
      <c r="A1713">
        <v>1712</v>
      </c>
      <c r="B1713" t="str">
        <f>"002897"</f>
        <v>002897</v>
      </c>
      <c r="C1713" t="s">
        <v>9125</v>
      </c>
      <c r="D1713" s="4">
        <v>43190</v>
      </c>
      <c r="E1713" t="s">
        <v>368</v>
      </c>
      <c r="F1713" t="s">
        <v>9126</v>
      </c>
      <c r="G1713">
        <v>1259</v>
      </c>
      <c r="H1713">
        <v>0.1</v>
      </c>
      <c r="I1713">
        <v>6.22</v>
      </c>
      <c r="J1713">
        <v>1.53</v>
      </c>
      <c r="K1713" t="s">
        <v>2774</v>
      </c>
      <c r="L1713">
        <v>9.35</v>
      </c>
      <c r="M1713" t="s">
        <v>9127</v>
      </c>
      <c r="N1713" t="s">
        <v>3811</v>
      </c>
      <c r="O1713" t="s">
        <v>9128</v>
      </c>
      <c r="P1713" t="s">
        <v>6988</v>
      </c>
      <c r="Q1713">
        <v>-25.2</v>
      </c>
      <c r="R1713" t="s">
        <v>498</v>
      </c>
      <c r="S1713">
        <v>2.0499999999999998</v>
      </c>
      <c r="T1713">
        <v>24.11</v>
      </c>
      <c r="U1713" t="s">
        <v>584</v>
      </c>
      <c r="V1713" t="s">
        <v>392</v>
      </c>
      <c r="W1713" t="s">
        <v>2102</v>
      </c>
      <c r="X1713">
        <v>1.53</v>
      </c>
      <c r="Y1713" t="s">
        <v>1378</v>
      </c>
      <c r="Z1713" t="s">
        <v>2041</v>
      </c>
      <c r="AA1713" t="s">
        <v>6214</v>
      </c>
      <c r="AB1713">
        <v>3.61</v>
      </c>
      <c r="AC1713" t="s">
        <v>147</v>
      </c>
      <c r="AD1713">
        <v>76.209999999999994</v>
      </c>
      <c r="AE1713" t="s">
        <v>2056</v>
      </c>
      <c r="AF1713">
        <v>3.01</v>
      </c>
      <c r="AG1713">
        <v>0</v>
      </c>
      <c r="AH1713">
        <v>0</v>
      </c>
      <c r="AI1713" s="4">
        <v>42985</v>
      </c>
    </row>
    <row r="1714" spans="1:35">
      <c r="A1714">
        <v>1713</v>
      </c>
      <c r="B1714" t="str">
        <f>"002341"</f>
        <v>002341</v>
      </c>
      <c r="C1714" t="s">
        <v>9129</v>
      </c>
      <c r="D1714" s="4">
        <v>43190</v>
      </c>
      <c r="E1714" t="s">
        <v>147</v>
      </c>
      <c r="F1714" t="s">
        <v>792</v>
      </c>
      <c r="G1714" t="s">
        <v>1639</v>
      </c>
      <c r="H1714">
        <v>0.05</v>
      </c>
      <c r="I1714">
        <v>4</v>
      </c>
      <c r="J1714">
        <v>1.53</v>
      </c>
      <c r="K1714" t="s">
        <v>44</v>
      </c>
      <c r="L1714">
        <v>48.11</v>
      </c>
      <c r="M1714" t="s">
        <v>9130</v>
      </c>
      <c r="N1714" t="s">
        <v>9131</v>
      </c>
      <c r="O1714" t="s">
        <v>9132</v>
      </c>
      <c r="P1714" t="s">
        <v>9133</v>
      </c>
      <c r="Q1714">
        <v>125.13</v>
      </c>
      <c r="R1714" t="s">
        <v>1358</v>
      </c>
      <c r="S1714">
        <v>0.43</v>
      </c>
      <c r="T1714">
        <v>29.4</v>
      </c>
      <c r="U1714" t="s">
        <v>1196</v>
      </c>
      <c r="V1714" t="s">
        <v>1285</v>
      </c>
      <c r="W1714" t="s">
        <v>840</v>
      </c>
      <c r="X1714">
        <v>1.53</v>
      </c>
      <c r="Y1714" t="s">
        <v>693</v>
      </c>
      <c r="Z1714" t="s">
        <v>2753</v>
      </c>
      <c r="AA1714" t="s">
        <v>407</v>
      </c>
      <c r="AB1714">
        <v>3.23</v>
      </c>
      <c r="AC1714" t="s">
        <v>1219</v>
      </c>
      <c r="AD1714">
        <v>51.05</v>
      </c>
      <c r="AE1714" t="s">
        <v>1039</v>
      </c>
      <c r="AF1714">
        <v>2.64</v>
      </c>
      <c r="AG1714">
        <v>0</v>
      </c>
      <c r="AH1714">
        <v>0</v>
      </c>
      <c r="AI1714" s="4">
        <v>40200</v>
      </c>
    </row>
    <row r="1715" spans="1:35">
      <c r="A1715">
        <v>1714</v>
      </c>
      <c r="B1715" t="str">
        <f>"000563"</f>
        <v>000563</v>
      </c>
      <c r="C1715" t="s">
        <v>9134</v>
      </c>
      <c r="D1715" s="4">
        <v>43190</v>
      </c>
      <c r="E1715" t="s">
        <v>2071</v>
      </c>
      <c r="F1715" t="s">
        <v>2941</v>
      </c>
      <c r="G1715" t="s">
        <v>5898</v>
      </c>
      <c r="H1715">
        <v>0.04</v>
      </c>
      <c r="I1715">
        <v>2.58</v>
      </c>
      <c r="J1715">
        <v>1.53</v>
      </c>
      <c r="K1715" t="s">
        <v>798</v>
      </c>
      <c r="L1715">
        <v>11.85</v>
      </c>
      <c r="M1715" t="s">
        <v>552</v>
      </c>
      <c r="N1715" t="s">
        <v>2848</v>
      </c>
      <c r="O1715" t="s">
        <v>552</v>
      </c>
      <c r="P1715" t="s">
        <v>209</v>
      </c>
      <c r="Q1715">
        <v>3.52</v>
      </c>
      <c r="R1715" t="s">
        <v>980</v>
      </c>
      <c r="S1715">
        <v>0.57999999999999996</v>
      </c>
      <c r="T1715">
        <v>0</v>
      </c>
      <c r="U1715" t="s">
        <v>4718</v>
      </c>
      <c r="V1715" t="s">
        <v>691</v>
      </c>
      <c r="W1715" t="s">
        <v>9135</v>
      </c>
      <c r="X1715">
        <v>1.53</v>
      </c>
      <c r="Y1715" t="s">
        <v>538</v>
      </c>
      <c r="Z1715" t="s">
        <v>624</v>
      </c>
      <c r="AA1715" t="s">
        <v>9136</v>
      </c>
      <c r="AB1715">
        <v>1.21</v>
      </c>
      <c r="AC1715" t="s">
        <v>795</v>
      </c>
      <c r="AD1715">
        <v>85.16</v>
      </c>
      <c r="AE1715" t="s">
        <v>725</v>
      </c>
      <c r="AF1715">
        <v>0.89</v>
      </c>
      <c r="AG1715">
        <v>0</v>
      </c>
      <c r="AH1715">
        <v>0</v>
      </c>
      <c r="AI1715" s="4">
        <v>34344</v>
      </c>
    </row>
    <row r="1716" spans="1:35">
      <c r="A1716">
        <v>1715</v>
      </c>
      <c r="B1716" t="str">
        <f>"603477"</f>
        <v>603477</v>
      </c>
      <c r="C1716" t="s">
        <v>9137</v>
      </c>
      <c r="D1716" s="4">
        <v>43190</v>
      </c>
      <c r="E1716" t="s">
        <v>94</v>
      </c>
      <c r="F1716" t="s">
        <v>4561</v>
      </c>
      <c r="G1716">
        <v>2324</v>
      </c>
      <c r="H1716">
        <v>0.05</v>
      </c>
      <c r="I1716">
        <v>3.37</v>
      </c>
      <c r="J1716">
        <v>1.52</v>
      </c>
      <c r="K1716" t="s">
        <v>2603</v>
      </c>
      <c r="L1716">
        <v>3.02</v>
      </c>
      <c r="M1716" t="s">
        <v>4764</v>
      </c>
      <c r="N1716">
        <v>0</v>
      </c>
      <c r="O1716" t="s">
        <v>1508</v>
      </c>
      <c r="P1716" t="s">
        <v>3041</v>
      </c>
      <c r="Q1716">
        <v>10.15</v>
      </c>
      <c r="R1716" t="s">
        <v>1839</v>
      </c>
      <c r="S1716">
        <v>0.75</v>
      </c>
      <c r="T1716">
        <v>18.07</v>
      </c>
      <c r="U1716" t="s">
        <v>1082</v>
      </c>
      <c r="V1716" t="s">
        <v>1917</v>
      </c>
      <c r="W1716" t="s">
        <v>711</v>
      </c>
      <c r="X1716">
        <v>1.52</v>
      </c>
      <c r="Y1716" t="s">
        <v>3067</v>
      </c>
      <c r="Z1716" t="s">
        <v>153</v>
      </c>
      <c r="AA1716" t="s">
        <v>2091</v>
      </c>
      <c r="AB1716">
        <v>4.3499999999999996</v>
      </c>
      <c r="AC1716" t="s">
        <v>358</v>
      </c>
      <c r="AD1716">
        <v>63.52</v>
      </c>
      <c r="AE1716" t="s">
        <v>3197</v>
      </c>
      <c r="AF1716">
        <v>1.56</v>
      </c>
      <c r="AG1716">
        <v>0</v>
      </c>
      <c r="AH1716">
        <v>0</v>
      </c>
      <c r="AI1716" s="4">
        <v>43087</v>
      </c>
    </row>
    <row r="1717" spans="1:35">
      <c r="A1717">
        <v>1716</v>
      </c>
      <c r="B1717" t="str">
        <f>"603041"</f>
        <v>603041</v>
      </c>
      <c r="C1717" t="s">
        <v>9138</v>
      </c>
      <c r="D1717" s="4">
        <v>43190</v>
      </c>
      <c r="E1717" t="s">
        <v>2307</v>
      </c>
      <c r="F1717" t="s">
        <v>9139</v>
      </c>
      <c r="G1717">
        <v>4106</v>
      </c>
      <c r="H1717">
        <v>0.11</v>
      </c>
      <c r="I1717">
        <v>7.03</v>
      </c>
      <c r="J1717">
        <v>1.52</v>
      </c>
      <c r="K1717" t="s">
        <v>9008</v>
      </c>
      <c r="L1717">
        <v>-4.28</v>
      </c>
      <c r="M1717" t="s">
        <v>1508</v>
      </c>
      <c r="N1717" t="s">
        <v>9140</v>
      </c>
      <c r="O1717" t="s">
        <v>1508</v>
      </c>
      <c r="P1717" t="s">
        <v>8657</v>
      </c>
      <c r="Q1717">
        <v>-37.840000000000003</v>
      </c>
      <c r="R1717" t="s">
        <v>1666</v>
      </c>
      <c r="S1717">
        <v>2.52</v>
      </c>
      <c r="T1717">
        <v>27.46</v>
      </c>
      <c r="U1717" t="s">
        <v>2192</v>
      </c>
      <c r="V1717" t="s">
        <v>1241</v>
      </c>
      <c r="W1717" t="s">
        <v>993</v>
      </c>
      <c r="X1717">
        <v>1.52</v>
      </c>
      <c r="Y1717" t="s">
        <v>4334</v>
      </c>
      <c r="Z1717" t="s">
        <v>9141</v>
      </c>
      <c r="AA1717" t="s">
        <v>8301</v>
      </c>
      <c r="AB1717">
        <v>2.35</v>
      </c>
      <c r="AC1717" t="s">
        <v>615</v>
      </c>
      <c r="AD1717">
        <v>90.43</v>
      </c>
      <c r="AE1717" t="s">
        <v>186</v>
      </c>
      <c r="AF1717">
        <v>3.15</v>
      </c>
      <c r="AG1717">
        <v>0</v>
      </c>
      <c r="AH1717">
        <v>0</v>
      </c>
      <c r="AI1717" s="4">
        <v>42824</v>
      </c>
    </row>
    <row r="1718" spans="1:35">
      <c r="A1718">
        <v>1717</v>
      </c>
      <c r="B1718" t="str">
        <f>"601996"</f>
        <v>601996</v>
      </c>
      <c r="C1718" t="s">
        <v>9142</v>
      </c>
      <c r="D1718" s="4">
        <v>43190</v>
      </c>
      <c r="E1718" t="s">
        <v>5494</v>
      </c>
      <c r="F1718" t="s">
        <v>6154</v>
      </c>
      <c r="G1718" t="s">
        <v>4099</v>
      </c>
      <c r="H1718">
        <v>0.03</v>
      </c>
      <c r="I1718">
        <v>1.93</v>
      </c>
      <c r="J1718">
        <v>1.52</v>
      </c>
      <c r="K1718" t="s">
        <v>1699</v>
      </c>
      <c r="L1718">
        <v>12.16</v>
      </c>
      <c r="M1718" t="s">
        <v>7257</v>
      </c>
      <c r="N1718">
        <v>0</v>
      </c>
      <c r="O1718" t="s">
        <v>9143</v>
      </c>
      <c r="P1718" t="s">
        <v>9144</v>
      </c>
      <c r="Q1718">
        <v>28.46</v>
      </c>
      <c r="R1718" t="s">
        <v>4008</v>
      </c>
      <c r="S1718">
        <v>0.56999999999999995</v>
      </c>
      <c r="T1718">
        <v>20.399999999999999</v>
      </c>
      <c r="U1718" t="s">
        <v>1687</v>
      </c>
      <c r="V1718" t="s">
        <v>147</v>
      </c>
      <c r="W1718" t="s">
        <v>1618</v>
      </c>
      <c r="X1718">
        <v>1.52</v>
      </c>
      <c r="Y1718" t="s">
        <v>2111</v>
      </c>
      <c r="Z1718" t="s">
        <v>1797</v>
      </c>
      <c r="AA1718" t="s">
        <v>1417</v>
      </c>
      <c r="AB1718">
        <v>1.8</v>
      </c>
      <c r="AC1718" t="s">
        <v>389</v>
      </c>
      <c r="AD1718">
        <v>77.349999999999994</v>
      </c>
      <c r="AE1718" t="s">
        <v>145</v>
      </c>
      <c r="AF1718">
        <v>0.32</v>
      </c>
      <c r="AG1718">
        <v>0</v>
      </c>
      <c r="AH1718">
        <v>0</v>
      </c>
      <c r="AI1718" s="4">
        <v>40815</v>
      </c>
    </row>
    <row r="1719" spans="1:35">
      <c r="A1719">
        <v>1718</v>
      </c>
      <c r="B1719" t="str">
        <f>"300055"</f>
        <v>300055</v>
      </c>
      <c r="C1719" t="s">
        <v>9145</v>
      </c>
      <c r="D1719" s="4">
        <v>43190</v>
      </c>
      <c r="E1719" t="s">
        <v>906</v>
      </c>
      <c r="F1719" t="s">
        <v>906</v>
      </c>
      <c r="G1719" t="s">
        <v>4665</v>
      </c>
      <c r="H1719">
        <v>0.1</v>
      </c>
      <c r="I1719">
        <v>6.79</v>
      </c>
      <c r="J1719">
        <v>1.52</v>
      </c>
      <c r="K1719" t="s">
        <v>1664</v>
      </c>
      <c r="L1719">
        <v>-28.56</v>
      </c>
      <c r="M1719" t="s">
        <v>533</v>
      </c>
      <c r="N1719" t="s">
        <v>1598</v>
      </c>
      <c r="O1719" t="s">
        <v>1119</v>
      </c>
      <c r="P1719" t="s">
        <v>9146</v>
      </c>
      <c r="Q1719">
        <v>-12.91</v>
      </c>
      <c r="R1719" t="s">
        <v>1307</v>
      </c>
      <c r="S1719">
        <v>1.52</v>
      </c>
      <c r="T1719">
        <v>37.26</v>
      </c>
      <c r="U1719" t="s">
        <v>3824</v>
      </c>
      <c r="V1719" t="s">
        <v>1225</v>
      </c>
      <c r="W1719" t="s">
        <v>776</v>
      </c>
      <c r="X1719">
        <v>1.52</v>
      </c>
      <c r="Y1719" t="s">
        <v>303</v>
      </c>
      <c r="Z1719" t="s">
        <v>263</v>
      </c>
      <c r="AA1719" t="s">
        <v>1074</v>
      </c>
      <c r="AB1719">
        <v>1.58</v>
      </c>
      <c r="AC1719" t="s">
        <v>8005</v>
      </c>
      <c r="AD1719">
        <v>75.97</v>
      </c>
      <c r="AE1719" t="s">
        <v>940</v>
      </c>
      <c r="AF1719">
        <v>4.18</v>
      </c>
      <c r="AG1719">
        <v>0</v>
      </c>
      <c r="AH1719">
        <v>0</v>
      </c>
      <c r="AI1719" s="4">
        <v>40235</v>
      </c>
    </row>
    <row r="1720" spans="1:35">
      <c r="A1720">
        <v>1719</v>
      </c>
      <c r="B1720" t="str">
        <f>"002812"</f>
        <v>002812</v>
      </c>
      <c r="C1720" t="s">
        <v>9147</v>
      </c>
      <c r="D1720" s="4">
        <v>43190</v>
      </c>
      <c r="E1720" t="s">
        <v>2774</v>
      </c>
      <c r="F1720" t="s">
        <v>322</v>
      </c>
      <c r="G1720">
        <v>9066</v>
      </c>
      <c r="H1720">
        <v>0.09</v>
      </c>
      <c r="I1720">
        <v>5.05</v>
      </c>
      <c r="J1720">
        <v>1.52</v>
      </c>
      <c r="K1720" t="s">
        <v>1489</v>
      </c>
      <c r="L1720">
        <v>0.08</v>
      </c>
      <c r="M1720" t="s">
        <v>9148</v>
      </c>
      <c r="N1720" t="s">
        <v>7719</v>
      </c>
      <c r="O1720" t="s">
        <v>9149</v>
      </c>
      <c r="P1720" t="s">
        <v>9150</v>
      </c>
      <c r="Q1720">
        <v>7.64</v>
      </c>
      <c r="R1720" t="s">
        <v>301</v>
      </c>
      <c r="S1720">
        <v>0.62</v>
      </c>
      <c r="T1720">
        <v>23.57</v>
      </c>
      <c r="U1720" t="s">
        <v>1843</v>
      </c>
      <c r="V1720" t="s">
        <v>263</v>
      </c>
      <c r="W1720" t="s">
        <v>542</v>
      </c>
      <c r="X1720">
        <v>1.52</v>
      </c>
      <c r="Y1720" t="s">
        <v>44</v>
      </c>
      <c r="Z1720" t="s">
        <v>442</v>
      </c>
      <c r="AA1720" t="s">
        <v>2386</v>
      </c>
      <c r="AB1720">
        <v>8.83</v>
      </c>
      <c r="AC1720" t="s">
        <v>391</v>
      </c>
      <c r="AD1720">
        <v>75.040000000000006</v>
      </c>
      <c r="AE1720" t="s">
        <v>407</v>
      </c>
      <c r="AF1720">
        <v>3.34</v>
      </c>
      <c r="AG1720">
        <v>0</v>
      </c>
      <c r="AH1720">
        <v>0</v>
      </c>
      <c r="AI1720" s="4">
        <v>42627</v>
      </c>
    </row>
    <row r="1721" spans="1:35">
      <c r="A1721">
        <v>1720</v>
      </c>
      <c r="B1721" t="str">
        <f>"002029"</f>
        <v>002029</v>
      </c>
      <c r="C1721" t="s">
        <v>9151</v>
      </c>
      <c r="D1721" s="4">
        <v>43190</v>
      </c>
      <c r="E1721" t="s">
        <v>2358</v>
      </c>
      <c r="F1721" t="s">
        <v>496</v>
      </c>
      <c r="G1721" t="s">
        <v>5319</v>
      </c>
      <c r="H1721">
        <v>0.11</v>
      </c>
      <c r="I1721">
        <v>7.25</v>
      </c>
      <c r="J1721">
        <v>1.52</v>
      </c>
      <c r="K1721" t="s">
        <v>2073</v>
      </c>
      <c r="L1721">
        <v>13.9</v>
      </c>
      <c r="M1721" t="s">
        <v>355</v>
      </c>
      <c r="N1721" t="s">
        <v>7505</v>
      </c>
      <c r="O1721" t="s">
        <v>355</v>
      </c>
      <c r="P1721" t="s">
        <v>9152</v>
      </c>
      <c r="Q1721">
        <v>18.45</v>
      </c>
      <c r="R1721" t="s">
        <v>243</v>
      </c>
      <c r="S1721">
        <v>2.87</v>
      </c>
      <c r="T1721">
        <v>34.229999999999997</v>
      </c>
      <c r="U1721" t="s">
        <v>2641</v>
      </c>
      <c r="V1721" t="s">
        <v>2639</v>
      </c>
      <c r="W1721" t="s">
        <v>1383</v>
      </c>
      <c r="X1721">
        <v>1.52</v>
      </c>
      <c r="Y1721" t="s">
        <v>2941</v>
      </c>
      <c r="Z1721" t="s">
        <v>1313</v>
      </c>
      <c r="AA1721" t="s">
        <v>9153</v>
      </c>
      <c r="AB1721">
        <v>1.1299999999999999</v>
      </c>
      <c r="AC1721" t="s">
        <v>2691</v>
      </c>
      <c r="AD1721">
        <v>65.41</v>
      </c>
      <c r="AE1721" t="s">
        <v>187</v>
      </c>
      <c r="AF1721">
        <v>2.4900000000000002</v>
      </c>
      <c r="AG1721">
        <v>0</v>
      </c>
      <c r="AH1721">
        <v>0</v>
      </c>
      <c r="AI1721" s="4">
        <v>38205</v>
      </c>
    </row>
    <row r="1722" spans="1:35">
      <c r="A1722">
        <v>1721</v>
      </c>
      <c r="B1722" t="str">
        <f>"603917"</f>
        <v>603917</v>
      </c>
      <c r="C1722" t="s">
        <v>9154</v>
      </c>
      <c r="D1722" s="4">
        <v>43190</v>
      </c>
      <c r="E1722" t="s">
        <v>382</v>
      </c>
      <c r="F1722" t="s">
        <v>9155</v>
      </c>
      <c r="G1722">
        <v>1927</v>
      </c>
      <c r="H1722">
        <v>0.08</v>
      </c>
      <c r="I1722">
        <v>5.27</v>
      </c>
      <c r="J1722">
        <v>1.51</v>
      </c>
      <c r="K1722" t="s">
        <v>1475</v>
      </c>
      <c r="L1722">
        <v>20.55</v>
      </c>
      <c r="M1722" t="s">
        <v>4643</v>
      </c>
      <c r="N1722" t="s">
        <v>9156</v>
      </c>
      <c r="O1722" t="s">
        <v>529</v>
      </c>
      <c r="P1722" t="s">
        <v>7743</v>
      </c>
      <c r="Q1722">
        <v>41.94</v>
      </c>
      <c r="R1722" t="s">
        <v>3482</v>
      </c>
      <c r="S1722">
        <v>2.08</v>
      </c>
      <c r="T1722">
        <v>31.59</v>
      </c>
      <c r="U1722" t="s">
        <v>354</v>
      </c>
      <c r="V1722" t="s">
        <v>1041</v>
      </c>
      <c r="W1722" t="s">
        <v>474</v>
      </c>
      <c r="X1722">
        <v>1.51</v>
      </c>
      <c r="Y1722" t="s">
        <v>205</v>
      </c>
      <c r="Z1722" t="s">
        <v>975</v>
      </c>
      <c r="AA1722" t="s">
        <v>9157</v>
      </c>
      <c r="AB1722">
        <v>2.79</v>
      </c>
      <c r="AC1722" t="s">
        <v>1462</v>
      </c>
      <c r="AD1722">
        <v>74.16</v>
      </c>
      <c r="AE1722" t="s">
        <v>681</v>
      </c>
      <c r="AF1722">
        <v>1.85</v>
      </c>
      <c r="AG1722">
        <v>0</v>
      </c>
      <c r="AH1722">
        <v>0</v>
      </c>
      <c r="AI1722" s="4">
        <v>43073</v>
      </c>
    </row>
    <row r="1723" spans="1:35">
      <c r="A1723">
        <v>1722</v>
      </c>
      <c r="B1723" t="str">
        <f>"603696"</f>
        <v>603696</v>
      </c>
      <c r="C1723" t="s">
        <v>9158</v>
      </c>
      <c r="D1723" s="4">
        <v>43190</v>
      </c>
      <c r="E1723" t="s">
        <v>290</v>
      </c>
      <c r="F1723" t="s">
        <v>9159</v>
      </c>
      <c r="G1723">
        <v>5790</v>
      </c>
      <c r="H1723">
        <v>7.0000000000000007E-2</v>
      </c>
      <c r="I1723">
        <v>4.25</v>
      </c>
      <c r="J1723">
        <v>1.51</v>
      </c>
      <c r="K1723" t="s">
        <v>6565</v>
      </c>
      <c r="L1723">
        <v>22.87</v>
      </c>
      <c r="M1723" t="s">
        <v>9160</v>
      </c>
      <c r="N1723" t="s">
        <v>6854</v>
      </c>
      <c r="O1723" t="s">
        <v>9160</v>
      </c>
      <c r="P1723" t="s">
        <v>9161</v>
      </c>
      <c r="Q1723">
        <v>10.06</v>
      </c>
      <c r="R1723" t="s">
        <v>258</v>
      </c>
      <c r="S1723">
        <v>1.43</v>
      </c>
      <c r="T1723">
        <v>31.33</v>
      </c>
      <c r="U1723" t="s">
        <v>3741</v>
      </c>
      <c r="V1723" t="s">
        <v>1037</v>
      </c>
      <c r="W1723" t="s">
        <v>9162</v>
      </c>
      <c r="X1723">
        <v>1.51</v>
      </c>
      <c r="Y1723" t="s">
        <v>9163</v>
      </c>
      <c r="Z1723" t="s">
        <v>9163</v>
      </c>
      <c r="AA1723">
        <v>0</v>
      </c>
      <c r="AB1723">
        <v>5.38</v>
      </c>
      <c r="AC1723" t="s">
        <v>2637</v>
      </c>
      <c r="AD1723">
        <v>95.72</v>
      </c>
      <c r="AE1723" t="s">
        <v>1797</v>
      </c>
      <c r="AF1723">
        <v>1.64</v>
      </c>
      <c r="AG1723">
        <v>0</v>
      </c>
      <c r="AH1723">
        <v>0</v>
      </c>
      <c r="AI1723" s="4">
        <v>42347</v>
      </c>
    </row>
    <row r="1724" spans="1:35">
      <c r="A1724">
        <v>1723</v>
      </c>
      <c r="B1724" t="str">
        <f>"603656"</f>
        <v>603656</v>
      </c>
      <c r="C1724" t="s">
        <v>9164</v>
      </c>
      <c r="D1724" s="4">
        <v>43190</v>
      </c>
      <c r="E1724" t="s">
        <v>2424</v>
      </c>
      <c r="F1724" t="s">
        <v>9165</v>
      </c>
      <c r="G1724">
        <v>4684</v>
      </c>
      <c r="H1724">
        <v>0.08</v>
      </c>
      <c r="I1724">
        <v>5.47</v>
      </c>
      <c r="J1724">
        <v>1.51</v>
      </c>
      <c r="K1724" t="s">
        <v>9166</v>
      </c>
      <c r="L1724">
        <v>17.89</v>
      </c>
      <c r="M1724" t="s">
        <v>1497</v>
      </c>
      <c r="N1724" t="s">
        <v>3751</v>
      </c>
      <c r="O1724" t="s">
        <v>4972</v>
      </c>
      <c r="P1724" t="s">
        <v>3855</v>
      </c>
      <c r="Q1724">
        <v>1.52</v>
      </c>
      <c r="R1724" t="s">
        <v>1797</v>
      </c>
      <c r="S1724">
        <v>1.99</v>
      </c>
      <c r="T1724">
        <v>51.66</v>
      </c>
      <c r="U1724" t="s">
        <v>687</v>
      </c>
      <c r="V1724" t="s">
        <v>3549</v>
      </c>
      <c r="W1724" t="s">
        <v>804</v>
      </c>
      <c r="X1724">
        <v>1.51</v>
      </c>
      <c r="Y1724" t="s">
        <v>9167</v>
      </c>
      <c r="Z1724" t="s">
        <v>9168</v>
      </c>
      <c r="AA1724" t="s">
        <v>3970</v>
      </c>
      <c r="AB1724">
        <v>2.95</v>
      </c>
      <c r="AC1724" t="s">
        <v>5930</v>
      </c>
      <c r="AD1724">
        <v>90.34</v>
      </c>
      <c r="AE1724" t="s">
        <v>2268</v>
      </c>
      <c r="AF1724">
        <v>2.19</v>
      </c>
      <c r="AG1724">
        <v>0</v>
      </c>
      <c r="AH1724">
        <v>0</v>
      </c>
      <c r="AI1724" s="4">
        <v>42815</v>
      </c>
    </row>
    <row r="1725" spans="1:35">
      <c r="A1725">
        <v>1724</v>
      </c>
      <c r="B1725" t="str">
        <f>"603123"</f>
        <v>603123</v>
      </c>
      <c r="C1725" t="s">
        <v>9169</v>
      </c>
      <c r="D1725" s="4">
        <v>43190</v>
      </c>
      <c r="E1725" t="s">
        <v>1037</v>
      </c>
      <c r="F1725" t="s">
        <v>1037</v>
      </c>
      <c r="G1725" t="s">
        <v>6944</v>
      </c>
      <c r="H1725">
        <v>0.09</v>
      </c>
      <c r="I1725">
        <v>5.72</v>
      </c>
      <c r="J1725">
        <v>1.51</v>
      </c>
      <c r="K1725" t="s">
        <v>176</v>
      </c>
      <c r="L1725">
        <v>1.43</v>
      </c>
      <c r="M1725" t="s">
        <v>9170</v>
      </c>
      <c r="N1725" t="s">
        <v>4489</v>
      </c>
      <c r="O1725" t="s">
        <v>9171</v>
      </c>
      <c r="P1725" t="s">
        <v>9172</v>
      </c>
      <c r="Q1725">
        <v>20.74</v>
      </c>
      <c r="R1725" t="s">
        <v>190</v>
      </c>
      <c r="S1725">
        <v>1.1299999999999999</v>
      </c>
      <c r="T1725">
        <v>19.54</v>
      </c>
      <c r="U1725" t="s">
        <v>1061</v>
      </c>
      <c r="V1725" t="s">
        <v>119</v>
      </c>
      <c r="W1725" t="s">
        <v>389</v>
      </c>
      <c r="X1725">
        <v>1.51</v>
      </c>
      <c r="Y1725" t="s">
        <v>119</v>
      </c>
      <c r="Z1725" t="s">
        <v>162</v>
      </c>
      <c r="AA1725" t="s">
        <v>1972</v>
      </c>
      <c r="AB1725">
        <v>1.02</v>
      </c>
      <c r="AC1725" t="s">
        <v>1515</v>
      </c>
      <c r="AD1725">
        <v>60.5</v>
      </c>
      <c r="AE1725" t="s">
        <v>867</v>
      </c>
      <c r="AF1725">
        <v>3.31</v>
      </c>
      <c r="AG1725">
        <v>0</v>
      </c>
      <c r="AH1725">
        <v>0</v>
      </c>
      <c r="AI1725" s="4">
        <v>41032</v>
      </c>
    </row>
    <row r="1726" spans="1:35">
      <c r="A1726">
        <v>1725</v>
      </c>
      <c r="B1726" t="str">
        <f>"600626"</f>
        <v>600626</v>
      </c>
      <c r="C1726" t="s">
        <v>9173</v>
      </c>
      <c r="D1726" s="4">
        <v>43190</v>
      </c>
      <c r="E1726" t="s">
        <v>523</v>
      </c>
      <c r="F1726" t="s">
        <v>523</v>
      </c>
      <c r="G1726" t="s">
        <v>2478</v>
      </c>
      <c r="H1726">
        <v>0.05</v>
      </c>
      <c r="I1726">
        <v>3.51</v>
      </c>
      <c r="J1726">
        <v>1.51</v>
      </c>
      <c r="K1726" t="s">
        <v>1545</v>
      </c>
      <c r="L1726">
        <v>90.7</v>
      </c>
      <c r="M1726" t="s">
        <v>9174</v>
      </c>
      <c r="N1726" t="s">
        <v>5223</v>
      </c>
      <c r="O1726" t="s">
        <v>8723</v>
      </c>
      <c r="P1726" t="s">
        <v>9175</v>
      </c>
      <c r="Q1726">
        <v>-1.51</v>
      </c>
      <c r="R1726" t="s">
        <v>407</v>
      </c>
      <c r="S1726">
        <v>1.48</v>
      </c>
      <c r="T1726">
        <v>9.83</v>
      </c>
      <c r="U1726" t="s">
        <v>3472</v>
      </c>
      <c r="V1726" t="s">
        <v>2860</v>
      </c>
      <c r="W1726" t="s">
        <v>2515</v>
      </c>
      <c r="X1726">
        <v>1.51</v>
      </c>
      <c r="Y1726" t="s">
        <v>9176</v>
      </c>
      <c r="Z1726" t="s">
        <v>235</v>
      </c>
      <c r="AA1726" t="s">
        <v>816</v>
      </c>
      <c r="AB1726">
        <v>1.37</v>
      </c>
      <c r="AC1726" t="s">
        <v>1294</v>
      </c>
      <c r="AD1726">
        <v>23.3</v>
      </c>
      <c r="AE1726" t="s">
        <v>64</v>
      </c>
      <c r="AF1726">
        <v>0.23</v>
      </c>
      <c r="AG1726">
        <v>0</v>
      </c>
      <c r="AH1726">
        <v>0</v>
      </c>
      <c r="AI1726" s="4">
        <v>33976</v>
      </c>
    </row>
    <row r="1727" spans="1:35">
      <c r="A1727">
        <v>1726</v>
      </c>
      <c r="B1727" t="str">
        <f>"300627"</f>
        <v>300627</v>
      </c>
      <c r="C1727" t="s">
        <v>9177</v>
      </c>
      <c r="D1727" s="4">
        <v>43190</v>
      </c>
      <c r="E1727" t="s">
        <v>2142</v>
      </c>
      <c r="F1727" t="s">
        <v>651</v>
      </c>
      <c r="G1727">
        <v>3067</v>
      </c>
      <c r="H1727">
        <v>0.05</v>
      </c>
      <c r="I1727">
        <v>3.08</v>
      </c>
      <c r="J1727">
        <v>1.51</v>
      </c>
      <c r="K1727" t="s">
        <v>863</v>
      </c>
      <c r="L1727">
        <v>55.35</v>
      </c>
      <c r="M1727" t="s">
        <v>3126</v>
      </c>
      <c r="N1727" t="s">
        <v>61</v>
      </c>
      <c r="O1727" t="s">
        <v>9178</v>
      </c>
      <c r="P1727" t="s">
        <v>4315</v>
      </c>
      <c r="Q1727">
        <v>26.76</v>
      </c>
      <c r="R1727" t="s">
        <v>134</v>
      </c>
      <c r="S1727">
        <v>0.91</v>
      </c>
      <c r="T1727">
        <v>55.68</v>
      </c>
      <c r="U1727" t="s">
        <v>354</v>
      </c>
      <c r="V1727" t="s">
        <v>978</v>
      </c>
      <c r="W1727" t="s">
        <v>5094</v>
      </c>
      <c r="X1727">
        <v>1.51</v>
      </c>
      <c r="Y1727" t="s">
        <v>499</v>
      </c>
      <c r="Z1727" t="s">
        <v>205</v>
      </c>
      <c r="AA1727" t="s">
        <v>9179</v>
      </c>
      <c r="AB1727">
        <v>6.46</v>
      </c>
      <c r="AC1727" t="s">
        <v>2621</v>
      </c>
      <c r="AD1727">
        <v>69.41</v>
      </c>
      <c r="AE1727" t="s">
        <v>2563</v>
      </c>
      <c r="AF1727">
        <v>1.53</v>
      </c>
      <c r="AG1727">
        <v>0</v>
      </c>
      <c r="AH1727">
        <v>0</v>
      </c>
      <c r="AI1727" s="4">
        <v>42815</v>
      </c>
    </row>
    <row r="1728" spans="1:35">
      <c r="A1728">
        <v>1727</v>
      </c>
      <c r="B1728" t="str">
        <f>"002876"</f>
        <v>002876</v>
      </c>
      <c r="C1728" t="s">
        <v>9180</v>
      </c>
      <c r="D1728" s="4">
        <v>43190</v>
      </c>
      <c r="E1728" t="s">
        <v>2575</v>
      </c>
      <c r="F1728" t="s">
        <v>4018</v>
      </c>
      <c r="G1728">
        <v>2856</v>
      </c>
      <c r="H1728">
        <v>0.17</v>
      </c>
      <c r="I1728">
        <v>10.84</v>
      </c>
      <c r="J1728">
        <v>1.51</v>
      </c>
      <c r="K1728" t="s">
        <v>1203</v>
      </c>
      <c r="L1728">
        <v>-4.72</v>
      </c>
      <c r="M1728" t="s">
        <v>9181</v>
      </c>
      <c r="N1728">
        <v>0</v>
      </c>
      <c r="O1728" t="s">
        <v>6108</v>
      </c>
      <c r="P1728" t="s">
        <v>6252</v>
      </c>
      <c r="Q1728">
        <v>-34.81</v>
      </c>
      <c r="R1728" t="s">
        <v>267</v>
      </c>
      <c r="S1728">
        <v>4.68</v>
      </c>
      <c r="T1728">
        <v>22.44</v>
      </c>
      <c r="U1728" t="s">
        <v>983</v>
      </c>
      <c r="V1728" t="s">
        <v>699</v>
      </c>
      <c r="W1728" t="s">
        <v>1461</v>
      </c>
      <c r="X1728">
        <v>1.51</v>
      </c>
      <c r="Y1728" t="s">
        <v>741</v>
      </c>
      <c r="Z1728" t="s">
        <v>858</v>
      </c>
      <c r="AA1728" t="s">
        <v>452</v>
      </c>
      <c r="AB1728">
        <v>4.46</v>
      </c>
      <c r="AC1728" t="s">
        <v>1587</v>
      </c>
      <c r="AD1728">
        <v>56.12</v>
      </c>
      <c r="AE1728" t="s">
        <v>160</v>
      </c>
      <c r="AF1728">
        <v>4.58</v>
      </c>
      <c r="AG1728">
        <v>0</v>
      </c>
      <c r="AH1728">
        <v>0</v>
      </c>
      <c r="AI1728" s="4">
        <v>42880</v>
      </c>
    </row>
    <row r="1729" spans="1:35">
      <c r="A1729">
        <v>1728</v>
      </c>
      <c r="B1729" t="str">
        <f>"002295"</f>
        <v>002295</v>
      </c>
      <c r="C1729" t="s">
        <v>9182</v>
      </c>
      <c r="D1729" s="4">
        <v>43190</v>
      </c>
      <c r="E1729" t="s">
        <v>1905</v>
      </c>
      <c r="F1729" t="s">
        <v>4614</v>
      </c>
      <c r="G1729" t="s">
        <v>5347</v>
      </c>
      <c r="H1729">
        <v>7.0000000000000007E-2</v>
      </c>
      <c r="I1729">
        <v>4.43</v>
      </c>
      <c r="J1729">
        <v>1.51</v>
      </c>
      <c r="K1729" t="s">
        <v>926</v>
      </c>
      <c r="L1729">
        <v>24.38</v>
      </c>
      <c r="M1729" t="s">
        <v>9183</v>
      </c>
      <c r="N1729" t="s">
        <v>168</v>
      </c>
      <c r="O1729" t="s">
        <v>9184</v>
      </c>
      <c r="P1729" t="s">
        <v>7657</v>
      </c>
      <c r="Q1729">
        <v>25.41</v>
      </c>
      <c r="R1729" t="s">
        <v>726</v>
      </c>
      <c r="S1729">
        <v>0.88</v>
      </c>
      <c r="T1729">
        <v>4.4400000000000004</v>
      </c>
      <c r="U1729" t="s">
        <v>119</v>
      </c>
      <c r="V1729" t="s">
        <v>115</v>
      </c>
      <c r="W1729" t="s">
        <v>1203</v>
      </c>
      <c r="X1729">
        <v>1.51</v>
      </c>
      <c r="Y1729" t="s">
        <v>2035</v>
      </c>
      <c r="Z1729" t="s">
        <v>2139</v>
      </c>
      <c r="AA1729" t="s">
        <v>2374</v>
      </c>
      <c r="AB1729">
        <v>1.47</v>
      </c>
      <c r="AC1729" t="s">
        <v>973</v>
      </c>
      <c r="AD1729">
        <v>57.98</v>
      </c>
      <c r="AE1729" t="s">
        <v>661</v>
      </c>
      <c r="AF1729">
        <v>2.4700000000000002</v>
      </c>
      <c r="AG1729">
        <v>0</v>
      </c>
      <c r="AH1729">
        <v>0</v>
      </c>
      <c r="AI1729" s="4">
        <v>40085</v>
      </c>
    </row>
    <row r="1730" spans="1:35">
      <c r="A1730">
        <v>1729</v>
      </c>
      <c r="B1730" t="str">
        <f>"002185"</f>
        <v>002185</v>
      </c>
      <c r="C1730" t="s">
        <v>9185</v>
      </c>
      <c r="D1730" s="4">
        <v>43190</v>
      </c>
      <c r="E1730" t="s">
        <v>514</v>
      </c>
      <c r="F1730" t="s">
        <v>514</v>
      </c>
      <c r="G1730" t="s">
        <v>1422</v>
      </c>
      <c r="H1730">
        <v>0.04</v>
      </c>
      <c r="I1730">
        <v>2.5299999999999998</v>
      </c>
      <c r="J1730">
        <v>1.51</v>
      </c>
      <c r="K1730" t="s">
        <v>1752</v>
      </c>
      <c r="L1730">
        <v>29.76</v>
      </c>
      <c r="M1730" t="s">
        <v>443</v>
      </c>
      <c r="N1730" t="s">
        <v>4410</v>
      </c>
      <c r="O1730" t="s">
        <v>443</v>
      </c>
      <c r="P1730" t="s">
        <v>9186</v>
      </c>
      <c r="Q1730">
        <v>-28.98</v>
      </c>
      <c r="R1730" t="s">
        <v>1284</v>
      </c>
      <c r="S1730">
        <v>0.91</v>
      </c>
      <c r="T1730">
        <v>12.97</v>
      </c>
      <c r="U1730" t="s">
        <v>5152</v>
      </c>
      <c r="V1730" t="s">
        <v>2498</v>
      </c>
      <c r="W1730" t="s">
        <v>1738</v>
      </c>
      <c r="X1730">
        <v>1.51</v>
      </c>
      <c r="Y1730" t="s">
        <v>464</v>
      </c>
      <c r="Z1730" t="s">
        <v>725</v>
      </c>
      <c r="AA1730" t="s">
        <v>226</v>
      </c>
      <c r="AB1730">
        <v>2.27</v>
      </c>
      <c r="AC1730" t="s">
        <v>3377</v>
      </c>
      <c r="AD1730">
        <v>56</v>
      </c>
      <c r="AE1730" t="s">
        <v>835</v>
      </c>
      <c r="AF1730">
        <v>0.53</v>
      </c>
      <c r="AG1730">
        <v>0</v>
      </c>
      <c r="AH1730">
        <v>0</v>
      </c>
      <c r="AI1730" s="4">
        <v>39406</v>
      </c>
    </row>
    <row r="1731" spans="1:35">
      <c r="A1731">
        <v>1730</v>
      </c>
      <c r="B1731" t="str">
        <f>"000782"</f>
        <v>000782</v>
      </c>
      <c r="C1731" t="s">
        <v>9187</v>
      </c>
      <c r="D1731" s="4">
        <v>43190</v>
      </c>
      <c r="E1731" t="s">
        <v>769</v>
      </c>
      <c r="F1731" t="s">
        <v>4044</v>
      </c>
      <c r="G1731" t="s">
        <v>1228</v>
      </c>
      <c r="H1731">
        <v>0.03</v>
      </c>
      <c r="I1731">
        <v>2.2999999999999998</v>
      </c>
      <c r="J1731">
        <v>1.51</v>
      </c>
      <c r="K1731" t="s">
        <v>102</v>
      </c>
      <c r="L1731">
        <v>-1.53</v>
      </c>
      <c r="M1731" t="s">
        <v>9188</v>
      </c>
      <c r="N1731">
        <v>0</v>
      </c>
      <c r="O1731" t="s">
        <v>9189</v>
      </c>
      <c r="P1731" t="s">
        <v>4676</v>
      </c>
      <c r="Q1731">
        <v>-43.09</v>
      </c>
      <c r="R1731" t="s">
        <v>9190</v>
      </c>
      <c r="S1731">
        <v>-0.03</v>
      </c>
      <c r="T1731">
        <v>10.47</v>
      </c>
      <c r="U1731" t="s">
        <v>1661</v>
      </c>
      <c r="V1731" t="s">
        <v>983</v>
      </c>
      <c r="W1731" t="s">
        <v>648</v>
      </c>
      <c r="X1731">
        <v>1.51</v>
      </c>
      <c r="Y1731" t="s">
        <v>624</v>
      </c>
      <c r="Z1731" t="s">
        <v>192</v>
      </c>
      <c r="AA1731" t="s">
        <v>1004</v>
      </c>
      <c r="AB1731">
        <v>2.54</v>
      </c>
      <c r="AC1731" t="s">
        <v>264</v>
      </c>
      <c r="AD1731">
        <v>45.81</v>
      </c>
      <c r="AE1731" t="s">
        <v>448</v>
      </c>
      <c r="AF1731">
        <v>1.21</v>
      </c>
      <c r="AG1731">
        <v>0</v>
      </c>
      <c r="AH1731">
        <v>0</v>
      </c>
      <c r="AI1731" s="4">
        <v>35600</v>
      </c>
    </row>
    <row r="1732" spans="1:35">
      <c r="A1732">
        <v>1731</v>
      </c>
      <c r="B1732" t="str">
        <f>"000566"</f>
        <v>000566</v>
      </c>
      <c r="C1732" t="s">
        <v>9191</v>
      </c>
      <c r="D1732" s="4">
        <v>43190</v>
      </c>
      <c r="E1732" t="s">
        <v>924</v>
      </c>
      <c r="F1732" t="s">
        <v>602</v>
      </c>
      <c r="G1732" t="s">
        <v>9192</v>
      </c>
      <c r="H1732">
        <v>0.05</v>
      </c>
      <c r="I1732">
        <v>3.62</v>
      </c>
      <c r="J1732">
        <v>1.51</v>
      </c>
      <c r="K1732" t="s">
        <v>190</v>
      </c>
      <c r="L1732">
        <v>61.68</v>
      </c>
      <c r="M1732" t="s">
        <v>9193</v>
      </c>
      <c r="N1732" t="s">
        <v>9194</v>
      </c>
      <c r="O1732" t="s">
        <v>3916</v>
      </c>
      <c r="P1732" t="s">
        <v>2873</v>
      </c>
      <c r="Q1732">
        <v>9.3800000000000008</v>
      </c>
      <c r="R1732" t="s">
        <v>1730</v>
      </c>
      <c r="S1732">
        <v>0.5</v>
      </c>
      <c r="T1732">
        <v>53.6</v>
      </c>
      <c r="U1732" t="s">
        <v>525</v>
      </c>
      <c r="V1732" t="s">
        <v>4186</v>
      </c>
      <c r="W1732" t="s">
        <v>602</v>
      </c>
      <c r="X1732">
        <v>1.51</v>
      </c>
      <c r="Y1732" t="s">
        <v>3159</v>
      </c>
      <c r="Z1732" t="s">
        <v>1252</v>
      </c>
      <c r="AA1732" t="s">
        <v>706</v>
      </c>
      <c r="AB1732">
        <v>3.56</v>
      </c>
      <c r="AC1732" t="s">
        <v>886</v>
      </c>
      <c r="AD1732">
        <v>46.23</v>
      </c>
      <c r="AE1732" t="s">
        <v>1219</v>
      </c>
      <c r="AF1732">
        <v>2.52</v>
      </c>
      <c r="AG1732">
        <v>0</v>
      </c>
      <c r="AH1732">
        <v>0</v>
      </c>
      <c r="AI1732" s="4">
        <v>34479</v>
      </c>
    </row>
    <row r="1733" spans="1:35">
      <c r="A1733">
        <v>1732</v>
      </c>
      <c r="B1733" t="str">
        <f>"600418"</f>
        <v>600418</v>
      </c>
      <c r="C1733" t="s">
        <v>9195</v>
      </c>
      <c r="D1733" s="4">
        <v>43190</v>
      </c>
      <c r="E1733" t="s">
        <v>308</v>
      </c>
      <c r="F1733" t="s">
        <v>308</v>
      </c>
      <c r="G1733" t="s">
        <v>1381</v>
      </c>
      <c r="H1733">
        <v>0.11</v>
      </c>
      <c r="I1733">
        <v>7.44</v>
      </c>
      <c r="J1733">
        <v>1.5</v>
      </c>
      <c r="K1733" t="s">
        <v>1929</v>
      </c>
      <c r="L1733">
        <v>-6.08</v>
      </c>
      <c r="M1733" t="s">
        <v>505</v>
      </c>
      <c r="N1733" t="s">
        <v>9196</v>
      </c>
      <c r="O1733" t="s">
        <v>382</v>
      </c>
      <c r="P1733" t="s">
        <v>193</v>
      </c>
      <c r="Q1733">
        <v>-23.46</v>
      </c>
      <c r="R1733" t="s">
        <v>111</v>
      </c>
      <c r="S1733">
        <v>2.71</v>
      </c>
      <c r="T1733">
        <v>10</v>
      </c>
      <c r="U1733" t="s">
        <v>9197</v>
      </c>
      <c r="V1733" t="s">
        <v>2798</v>
      </c>
      <c r="W1733" t="s">
        <v>311</v>
      </c>
      <c r="X1733">
        <v>1.5</v>
      </c>
      <c r="Y1733" t="s">
        <v>5632</v>
      </c>
      <c r="Z1733" t="s">
        <v>9198</v>
      </c>
      <c r="AA1733" t="s">
        <v>5648</v>
      </c>
      <c r="AB1733">
        <v>0.89</v>
      </c>
      <c r="AC1733" t="s">
        <v>398</v>
      </c>
      <c r="AD1733">
        <v>27.21</v>
      </c>
      <c r="AE1733" t="s">
        <v>1388</v>
      </c>
      <c r="AF1733">
        <v>2.81</v>
      </c>
      <c r="AG1733">
        <v>0</v>
      </c>
      <c r="AH1733">
        <v>0</v>
      </c>
      <c r="AI1733" s="4">
        <v>37127</v>
      </c>
    </row>
    <row r="1734" spans="1:35">
      <c r="A1734">
        <v>1733</v>
      </c>
      <c r="B1734" t="str">
        <f>"300526"</f>
        <v>300526</v>
      </c>
      <c r="C1734" t="s">
        <v>9199</v>
      </c>
      <c r="D1734" s="4">
        <v>43190</v>
      </c>
      <c r="E1734" t="s">
        <v>368</v>
      </c>
      <c r="F1734" t="s">
        <v>9200</v>
      </c>
      <c r="G1734">
        <v>3389</v>
      </c>
      <c r="H1734">
        <v>0.05</v>
      </c>
      <c r="I1734">
        <v>3.1</v>
      </c>
      <c r="J1734">
        <v>1.5</v>
      </c>
      <c r="K1734" t="s">
        <v>197</v>
      </c>
      <c r="L1734">
        <v>16.77</v>
      </c>
      <c r="M1734" t="s">
        <v>4836</v>
      </c>
      <c r="N1734">
        <v>0</v>
      </c>
      <c r="O1734" t="s">
        <v>9201</v>
      </c>
      <c r="P1734" t="s">
        <v>6835</v>
      </c>
      <c r="Q1734">
        <v>-13.06</v>
      </c>
      <c r="R1734" t="s">
        <v>219</v>
      </c>
      <c r="S1734">
        <v>1.43</v>
      </c>
      <c r="T1734">
        <v>32.24</v>
      </c>
      <c r="U1734" t="s">
        <v>2930</v>
      </c>
      <c r="V1734" t="s">
        <v>217</v>
      </c>
      <c r="W1734" t="s">
        <v>5309</v>
      </c>
      <c r="X1734">
        <v>1.5</v>
      </c>
      <c r="Y1734" t="s">
        <v>1594</v>
      </c>
      <c r="Z1734" t="s">
        <v>1594</v>
      </c>
      <c r="AA1734">
        <v>0</v>
      </c>
      <c r="AB1734">
        <v>4.29</v>
      </c>
      <c r="AC1734" t="s">
        <v>943</v>
      </c>
      <c r="AD1734">
        <v>60.65</v>
      </c>
      <c r="AE1734" t="s">
        <v>71</v>
      </c>
      <c r="AF1734">
        <v>0.63</v>
      </c>
      <c r="AG1734">
        <v>0</v>
      </c>
      <c r="AH1734">
        <v>0</v>
      </c>
      <c r="AI1734" s="4">
        <v>42584</v>
      </c>
    </row>
    <row r="1735" spans="1:35">
      <c r="A1735">
        <v>1734</v>
      </c>
      <c r="B1735" t="str">
        <f>"300382"</f>
        <v>300382</v>
      </c>
      <c r="C1735" t="s">
        <v>9202</v>
      </c>
      <c r="D1735" s="4">
        <v>43190</v>
      </c>
      <c r="E1735" t="s">
        <v>1121</v>
      </c>
      <c r="F1735" t="s">
        <v>3259</v>
      </c>
      <c r="G1735" t="s">
        <v>5898</v>
      </c>
      <c r="H1735">
        <v>0.03</v>
      </c>
      <c r="I1735">
        <v>1.63</v>
      </c>
      <c r="J1735">
        <v>1.5</v>
      </c>
      <c r="K1735" t="s">
        <v>86</v>
      </c>
      <c r="L1735">
        <v>153.57</v>
      </c>
      <c r="M1735" t="s">
        <v>154</v>
      </c>
      <c r="N1735" t="s">
        <v>9203</v>
      </c>
      <c r="O1735" t="s">
        <v>9204</v>
      </c>
      <c r="P1735" t="s">
        <v>4845</v>
      </c>
      <c r="Q1735">
        <v>24.72</v>
      </c>
      <c r="R1735" t="s">
        <v>330</v>
      </c>
      <c r="S1735">
        <v>0.34</v>
      </c>
      <c r="T1735">
        <v>41.99</v>
      </c>
      <c r="U1735" t="s">
        <v>161</v>
      </c>
      <c r="V1735" t="s">
        <v>602</v>
      </c>
      <c r="W1735" t="s">
        <v>217</v>
      </c>
      <c r="X1735">
        <v>1.5</v>
      </c>
      <c r="Y1735" t="s">
        <v>52</v>
      </c>
      <c r="Z1735" t="s">
        <v>89</v>
      </c>
      <c r="AA1735" t="s">
        <v>870</v>
      </c>
      <c r="AB1735">
        <v>4.1100000000000003</v>
      </c>
      <c r="AC1735" t="s">
        <v>699</v>
      </c>
      <c r="AD1735">
        <v>74.89</v>
      </c>
      <c r="AE1735" t="s">
        <v>976</v>
      </c>
      <c r="AF1735">
        <v>0.15</v>
      </c>
      <c r="AG1735">
        <v>0</v>
      </c>
      <c r="AH1735">
        <v>0</v>
      </c>
      <c r="AI1735" s="4">
        <v>41668</v>
      </c>
    </row>
    <row r="1736" spans="1:35">
      <c r="A1736">
        <v>1735</v>
      </c>
      <c r="B1736" t="str">
        <f>"300150"</f>
        <v>300150</v>
      </c>
      <c r="C1736" t="s">
        <v>9205</v>
      </c>
      <c r="D1736" s="4">
        <v>43190</v>
      </c>
      <c r="E1736" t="s">
        <v>6809</v>
      </c>
      <c r="F1736" t="s">
        <v>3321</v>
      </c>
      <c r="G1736" t="s">
        <v>1862</v>
      </c>
      <c r="H1736">
        <v>0.05</v>
      </c>
      <c r="I1736">
        <v>3.3</v>
      </c>
      <c r="J1736">
        <v>1.5</v>
      </c>
      <c r="K1736" t="s">
        <v>9206</v>
      </c>
      <c r="L1736">
        <v>92.42</v>
      </c>
      <c r="M1736" t="s">
        <v>4635</v>
      </c>
      <c r="N1736" t="s">
        <v>9207</v>
      </c>
      <c r="O1736" t="s">
        <v>9208</v>
      </c>
      <c r="P1736" t="s">
        <v>9209</v>
      </c>
      <c r="Q1736">
        <v>237.73</v>
      </c>
      <c r="R1736" t="s">
        <v>258</v>
      </c>
      <c r="S1736">
        <v>0.34</v>
      </c>
      <c r="T1736">
        <v>45.95</v>
      </c>
      <c r="U1736" t="s">
        <v>1213</v>
      </c>
      <c r="V1736" t="s">
        <v>584</v>
      </c>
      <c r="W1736" t="s">
        <v>9210</v>
      </c>
      <c r="X1736">
        <v>1.5</v>
      </c>
      <c r="Y1736" t="s">
        <v>138</v>
      </c>
      <c r="Z1736" t="s">
        <v>138</v>
      </c>
      <c r="AA1736">
        <v>0</v>
      </c>
      <c r="AB1736">
        <v>1.35</v>
      </c>
      <c r="AC1736" t="s">
        <v>119</v>
      </c>
      <c r="AD1736">
        <v>82.49</v>
      </c>
      <c r="AE1736" t="s">
        <v>699</v>
      </c>
      <c r="AF1736">
        <v>1.85</v>
      </c>
      <c r="AG1736">
        <v>0</v>
      </c>
      <c r="AH1736">
        <v>0</v>
      </c>
      <c r="AI1736" s="4">
        <v>40534</v>
      </c>
    </row>
    <row r="1737" spans="1:35">
      <c r="A1737">
        <v>1736</v>
      </c>
      <c r="B1737" t="str">
        <f>"002766"</f>
        <v>002766</v>
      </c>
      <c r="C1737" t="s">
        <v>9211</v>
      </c>
      <c r="D1737" s="4">
        <v>43190</v>
      </c>
      <c r="E1737" t="s">
        <v>662</v>
      </c>
      <c r="F1737" t="s">
        <v>3535</v>
      </c>
      <c r="G1737">
        <v>5966</v>
      </c>
      <c r="H1737">
        <v>7.0000000000000007E-2</v>
      </c>
      <c r="I1737">
        <v>4.47</v>
      </c>
      <c r="J1737">
        <v>1.5</v>
      </c>
      <c r="K1737" t="s">
        <v>184</v>
      </c>
      <c r="L1737">
        <v>63.92</v>
      </c>
      <c r="M1737" t="s">
        <v>9212</v>
      </c>
      <c r="N1737" t="s">
        <v>9213</v>
      </c>
      <c r="O1737" t="s">
        <v>9214</v>
      </c>
      <c r="P1737" t="s">
        <v>9215</v>
      </c>
      <c r="Q1737">
        <v>35.799999999999997</v>
      </c>
      <c r="R1737" t="s">
        <v>1959</v>
      </c>
      <c r="S1737">
        <v>1.2</v>
      </c>
      <c r="T1737">
        <v>32.49</v>
      </c>
      <c r="U1737" t="s">
        <v>4697</v>
      </c>
      <c r="V1737" t="s">
        <v>514</v>
      </c>
      <c r="W1737" t="s">
        <v>2608</v>
      </c>
      <c r="X1737">
        <v>1.5</v>
      </c>
      <c r="Y1737" t="s">
        <v>584</v>
      </c>
      <c r="Z1737" t="s">
        <v>2836</v>
      </c>
      <c r="AA1737" t="s">
        <v>1243</v>
      </c>
      <c r="AB1737">
        <v>2.95</v>
      </c>
      <c r="AC1737" t="s">
        <v>308</v>
      </c>
      <c r="AD1737">
        <v>56.09</v>
      </c>
      <c r="AE1737" t="s">
        <v>3185</v>
      </c>
      <c r="AF1737">
        <v>2.16</v>
      </c>
      <c r="AG1737">
        <v>0</v>
      </c>
      <c r="AH1737">
        <v>0</v>
      </c>
      <c r="AI1737" s="4">
        <v>42166</v>
      </c>
    </row>
    <row r="1738" spans="1:35">
      <c r="A1738">
        <v>1737</v>
      </c>
      <c r="B1738" t="str">
        <f>"002544"</f>
        <v>002544</v>
      </c>
      <c r="C1738" t="s">
        <v>9216</v>
      </c>
      <c r="D1738" s="4">
        <v>43190</v>
      </c>
      <c r="E1738" t="s">
        <v>2490</v>
      </c>
      <c r="F1738" t="s">
        <v>2255</v>
      </c>
      <c r="G1738" t="s">
        <v>268</v>
      </c>
      <c r="H1738">
        <v>0.06</v>
      </c>
      <c r="I1738">
        <v>3.75</v>
      </c>
      <c r="J1738">
        <v>1.5</v>
      </c>
      <c r="K1738" t="s">
        <v>721</v>
      </c>
      <c r="L1738">
        <v>3.02</v>
      </c>
      <c r="M1738" t="s">
        <v>9217</v>
      </c>
      <c r="N1738" t="s">
        <v>9218</v>
      </c>
      <c r="O1738" t="s">
        <v>4039</v>
      </c>
      <c r="P1738" t="s">
        <v>9219</v>
      </c>
      <c r="Q1738">
        <v>2.91</v>
      </c>
      <c r="R1738" t="s">
        <v>1722</v>
      </c>
      <c r="S1738">
        <v>1.49</v>
      </c>
      <c r="T1738">
        <v>17.72</v>
      </c>
      <c r="U1738" t="s">
        <v>3316</v>
      </c>
      <c r="V1738" t="s">
        <v>765</v>
      </c>
      <c r="W1738" t="s">
        <v>1480</v>
      </c>
      <c r="X1738">
        <v>1.5</v>
      </c>
      <c r="Y1738" t="s">
        <v>2239</v>
      </c>
      <c r="Z1738" t="s">
        <v>940</v>
      </c>
      <c r="AA1738" t="s">
        <v>174</v>
      </c>
      <c r="AB1738">
        <v>3.29</v>
      </c>
      <c r="AC1738" t="s">
        <v>420</v>
      </c>
      <c r="AD1738">
        <v>33.68</v>
      </c>
      <c r="AE1738" t="s">
        <v>1491</v>
      </c>
      <c r="AF1738">
        <v>1.1100000000000001</v>
      </c>
      <c r="AG1738">
        <v>0</v>
      </c>
      <c r="AH1738">
        <v>0</v>
      </c>
      <c r="AI1738" s="4">
        <v>40571</v>
      </c>
    </row>
    <row r="1739" spans="1:35">
      <c r="A1739">
        <v>1738</v>
      </c>
      <c r="B1739" t="str">
        <f>"000606"</f>
        <v>000606</v>
      </c>
      <c r="C1739" t="s">
        <v>9220</v>
      </c>
      <c r="D1739" s="4">
        <v>43190</v>
      </c>
      <c r="E1739" t="s">
        <v>871</v>
      </c>
      <c r="F1739" t="s">
        <v>1695</v>
      </c>
      <c r="G1739" t="s">
        <v>4988</v>
      </c>
      <c r="H1739">
        <v>0.05</v>
      </c>
      <c r="I1739">
        <v>3.66</v>
      </c>
      <c r="J1739">
        <v>1.5</v>
      </c>
      <c r="K1739" t="s">
        <v>609</v>
      </c>
      <c r="L1739">
        <v>80.94</v>
      </c>
      <c r="M1739" t="s">
        <v>9221</v>
      </c>
      <c r="N1739" t="s">
        <v>6584</v>
      </c>
      <c r="O1739" t="s">
        <v>9222</v>
      </c>
      <c r="P1739" t="s">
        <v>9223</v>
      </c>
      <c r="Q1739">
        <v>248</v>
      </c>
      <c r="R1739" t="s">
        <v>9224</v>
      </c>
      <c r="S1739">
        <v>-0.13</v>
      </c>
      <c r="T1739">
        <v>31.26</v>
      </c>
      <c r="U1739" t="s">
        <v>2833</v>
      </c>
      <c r="V1739" t="s">
        <v>1837</v>
      </c>
      <c r="W1739" t="s">
        <v>9225</v>
      </c>
      <c r="X1739">
        <v>1.5</v>
      </c>
      <c r="Y1739" t="s">
        <v>63</v>
      </c>
      <c r="Z1739" t="s">
        <v>346</v>
      </c>
      <c r="AA1739" t="s">
        <v>977</v>
      </c>
      <c r="AB1739">
        <v>1.86</v>
      </c>
      <c r="AC1739" t="s">
        <v>700</v>
      </c>
      <c r="AD1739">
        <v>77.17</v>
      </c>
      <c r="AE1739" t="s">
        <v>576</v>
      </c>
      <c r="AF1739">
        <v>2.76</v>
      </c>
      <c r="AG1739">
        <v>0</v>
      </c>
      <c r="AH1739">
        <v>0</v>
      </c>
      <c r="AI1739" s="4">
        <v>35342</v>
      </c>
    </row>
    <row r="1740" spans="1:35">
      <c r="A1740">
        <v>1739</v>
      </c>
      <c r="B1740" t="str">
        <f>"601788"</f>
        <v>601788</v>
      </c>
      <c r="C1740" t="s">
        <v>9226</v>
      </c>
      <c r="D1740" s="4">
        <v>43190</v>
      </c>
      <c r="E1740" t="s">
        <v>3288</v>
      </c>
      <c r="F1740" t="s">
        <v>447</v>
      </c>
      <c r="G1740" t="s">
        <v>9227</v>
      </c>
      <c r="H1740">
        <v>0.16</v>
      </c>
      <c r="I1740">
        <v>10.73</v>
      </c>
      <c r="J1740">
        <v>1.49</v>
      </c>
      <c r="K1740" t="s">
        <v>242</v>
      </c>
      <c r="L1740">
        <v>20.85</v>
      </c>
      <c r="M1740" t="s">
        <v>978</v>
      </c>
      <c r="N1740" t="s">
        <v>9228</v>
      </c>
      <c r="O1740" t="s">
        <v>978</v>
      </c>
      <c r="P1740" t="s">
        <v>3716</v>
      </c>
      <c r="Q1740">
        <v>24.56</v>
      </c>
      <c r="R1740" t="s">
        <v>1089</v>
      </c>
      <c r="S1740">
        <v>2.61</v>
      </c>
      <c r="T1740">
        <v>0</v>
      </c>
      <c r="U1740" t="s">
        <v>9229</v>
      </c>
      <c r="V1740">
        <v>0</v>
      </c>
      <c r="W1740" t="s">
        <v>1477</v>
      </c>
      <c r="X1740">
        <v>1.49</v>
      </c>
      <c r="Y1740" t="s">
        <v>9230</v>
      </c>
      <c r="Z1740">
        <v>0</v>
      </c>
      <c r="AA1740">
        <v>0</v>
      </c>
      <c r="AB1740">
        <v>0.99</v>
      </c>
      <c r="AC1740" t="s">
        <v>2047</v>
      </c>
      <c r="AD1740">
        <v>24.24</v>
      </c>
      <c r="AE1740" t="s">
        <v>2270</v>
      </c>
      <c r="AF1740">
        <v>5.12</v>
      </c>
      <c r="AG1740">
        <v>0</v>
      </c>
      <c r="AH1740" t="s">
        <v>5195</v>
      </c>
      <c r="AI1740" s="4">
        <v>40043</v>
      </c>
    </row>
    <row r="1741" spans="1:35">
      <c r="A1741">
        <v>1740</v>
      </c>
      <c r="B1741" t="str">
        <f>"600903"</f>
        <v>600903</v>
      </c>
      <c r="C1741" t="s">
        <v>9231</v>
      </c>
      <c r="D1741" s="4">
        <v>43190</v>
      </c>
      <c r="E1741" t="s">
        <v>1756</v>
      </c>
      <c r="F1741" t="s">
        <v>209</v>
      </c>
      <c r="G1741">
        <v>1198</v>
      </c>
      <c r="H1741">
        <v>0.04</v>
      </c>
      <c r="I1741">
        <v>2.98</v>
      </c>
      <c r="J1741">
        <v>1.49</v>
      </c>
      <c r="K1741" t="s">
        <v>2512</v>
      </c>
      <c r="L1741">
        <v>42.05</v>
      </c>
      <c r="M1741" t="s">
        <v>3150</v>
      </c>
      <c r="N1741" t="s">
        <v>9232</v>
      </c>
      <c r="O1741" t="s">
        <v>9089</v>
      </c>
      <c r="P1741" t="s">
        <v>7885</v>
      </c>
      <c r="Q1741">
        <v>46.51</v>
      </c>
      <c r="R1741" t="s">
        <v>1733</v>
      </c>
      <c r="S1741">
        <v>0.31</v>
      </c>
      <c r="T1741">
        <v>17.739999999999998</v>
      </c>
      <c r="U1741" t="s">
        <v>1821</v>
      </c>
      <c r="V1741" t="s">
        <v>646</v>
      </c>
      <c r="W1741" t="s">
        <v>305</v>
      </c>
      <c r="X1741">
        <v>1.49</v>
      </c>
      <c r="Y1741" t="s">
        <v>777</v>
      </c>
      <c r="Z1741" t="s">
        <v>1391</v>
      </c>
      <c r="AA1741" t="s">
        <v>759</v>
      </c>
      <c r="AB1741">
        <v>7.42</v>
      </c>
      <c r="AC1741" t="s">
        <v>306</v>
      </c>
      <c r="AD1741">
        <v>31.29</v>
      </c>
      <c r="AE1741" t="s">
        <v>1076</v>
      </c>
      <c r="AF1741">
        <v>0.63</v>
      </c>
      <c r="AG1741">
        <v>0</v>
      </c>
      <c r="AH1741">
        <v>0</v>
      </c>
      <c r="AI1741" s="4">
        <v>43046</v>
      </c>
    </row>
    <row r="1742" spans="1:35">
      <c r="A1742">
        <v>1741</v>
      </c>
      <c r="B1742" t="str">
        <f>"300276"</f>
        <v>300276</v>
      </c>
      <c r="C1742" t="s">
        <v>9233</v>
      </c>
      <c r="D1742" s="4">
        <v>43190</v>
      </c>
      <c r="E1742" t="s">
        <v>1438</v>
      </c>
      <c r="F1742" t="s">
        <v>293</v>
      </c>
      <c r="G1742">
        <v>5555</v>
      </c>
      <c r="H1742">
        <v>0.06</v>
      </c>
      <c r="I1742">
        <v>6.05</v>
      </c>
      <c r="J1742">
        <v>1.49</v>
      </c>
      <c r="K1742" t="s">
        <v>958</v>
      </c>
      <c r="L1742">
        <v>264.83999999999997</v>
      </c>
      <c r="M1742" t="s">
        <v>5805</v>
      </c>
      <c r="N1742" t="s">
        <v>9234</v>
      </c>
      <c r="O1742" t="s">
        <v>9235</v>
      </c>
      <c r="P1742" t="s">
        <v>1980</v>
      </c>
      <c r="Q1742">
        <v>1096.6199999999999</v>
      </c>
      <c r="R1742" t="s">
        <v>726</v>
      </c>
      <c r="S1742">
        <v>0.47</v>
      </c>
      <c r="T1742">
        <v>27.33</v>
      </c>
      <c r="U1742" t="s">
        <v>553</v>
      </c>
      <c r="V1742" t="s">
        <v>1843</v>
      </c>
      <c r="W1742" t="s">
        <v>594</v>
      </c>
      <c r="X1742">
        <v>1.49</v>
      </c>
      <c r="Y1742" t="s">
        <v>1449</v>
      </c>
      <c r="Z1742" t="s">
        <v>1875</v>
      </c>
      <c r="AA1742" t="s">
        <v>9236</v>
      </c>
      <c r="AB1742">
        <v>1.89</v>
      </c>
      <c r="AC1742" t="s">
        <v>440</v>
      </c>
      <c r="AD1742">
        <v>51.08</v>
      </c>
      <c r="AE1742" t="s">
        <v>1244</v>
      </c>
      <c r="AF1742">
        <v>4.53</v>
      </c>
      <c r="AG1742">
        <v>0</v>
      </c>
      <c r="AH1742">
        <v>0</v>
      </c>
      <c r="AI1742" s="4">
        <v>40862</v>
      </c>
    </row>
    <row r="1743" spans="1:35">
      <c r="A1743">
        <v>1742</v>
      </c>
      <c r="B1743" t="str">
        <f>"300148"</f>
        <v>300148</v>
      </c>
      <c r="C1743" t="s">
        <v>9237</v>
      </c>
      <c r="D1743" s="4">
        <v>43190</v>
      </c>
      <c r="E1743" t="s">
        <v>4041</v>
      </c>
      <c r="F1743" t="s">
        <v>869</v>
      </c>
      <c r="G1743" t="s">
        <v>1838</v>
      </c>
      <c r="H1743">
        <v>7.0000000000000007E-2</v>
      </c>
      <c r="I1743">
        <v>5</v>
      </c>
      <c r="J1743">
        <v>1.49</v>
      </c>
      <c r="K1743" t="s">
        <v>337</v>
      </c>
      <c r="L1743">
        <v>-1.18</v>
      </c>
      <c r="M1743" t="s">
        <v>7432</v>
      </c>
      <c r="N1743" t="s">
        <v>5091</v>
      </c>
      <c r="O1743" t="s">
        <v>7255</v>
      </c>
      <c r="P1743" t="s">
        <v>3529</v>
      </c>
      <c r="Q1743">
        <v>-0.11</v>
      </c>
      <c r="R1743" t="s">
        <v>741</v>
      </c>
      <c r="S1743">
        <v>0.82</v>
      </c>
      <c r="T1743">
        <v>55.57</v>
      </c>
      <c r="U1743" t="s">
        <v>2092</v>
      </c>
      <c r="V1743" t="s">
        <v>1384</v>
      </c>
      <c r="W1743" t="s">
        <v>9238</v>
      </c>
      <c r="X1743">
        <v>1.49</v>
      </c>
      <c r="Y1743" t="s">
        <v>2625</v>
      </c>
      <c r="Z1743" t="s">
        <v>1476</v>
      </c>
      <c r="AA1743" t="s">
        <v>9239</v>
      </c>
      <c r="AB1743">
        <v>0.84</v>
      </c>
      <c r="AC1743" t="s">
        <v>1312</v>
      </c>
      <c r="AD1743">
        <v>88.48</v>
      </c>
      <c r="AE1743" t="s">
        <v>589</v>
      </c>
      <c r="AF1743">
        <v>3.43</v>
      </c>
      <c r="AG1743">
        <v>0</v>
      </c>
      <c r="AH1743">
        <v>0</v>
      </c>
      <c r="AI1743" s="4">
        <v>40527</v>
      </c>
    </row>
    <row r="1744" spans="1:35">
      <c r="A1744">
        <v>1743</v>
      </c>
      <c r="B1744" t="str">
        <f>"300143"</f>
        <v>300143</v>
      </c>
      <c r="C1744" t="s">
        <v>9240</v>
      </c>
      <c r="D1744" s="4">
        <v>43190</v>
      </c>
      <c r="E1744" t="s">
        <v>592</v>
      </c>
      <c r="F1744" t="s">
        <v>2387</v>
      </c>
      <c r="G1744" t="s">
        <v>1381</v>
      </c>
      <c r="H1744">
        <v>7.0000000000000007E-2</v>
      </c>
      <c r="I1744">
        <v>4.41</v>
      </c>
      <c r="J1744">
        <v>1.49</v>
      </c>
      <c r="K1744" t="s">
        <v>326</v>
      </c>
      <c r="L1744">
        <v>268.33999999999997</v>
      </c>
      <c r="M1744" t="s">
        <v>9241</v>
      </c>
      <c r="N1744" t="s">
        <v>9242</v>
      </c>
      <c r="O1744" t="s">
        <v>5138</v>
      </c>
      <c r="P1744" t="s">
        <v>9243</v>
      </c>
      <c r="Q1744">
        <v>-30.15</v>
      </c>
      <c r="R1744" t="s">
        <v>9244</v>
      </c>
      <c r="S1744">
        <v>-0.25</v>
      </c>
      <c r="T1744">
        <v>57.64</v>
      </c>
      <c r="U1744" t="s">
        <v>2100</v>
      </c>
      <c r="V1744" t="s">
        <v>90</v>
      </c>
      <c r="W1744" t="s">
        <v>45</v>
      </c>
      <c r="X1744">
        <v>1.49</v>
      </c>
      <c r="Y1744" t="s">
        <v>618</v>
      </c>
      <c r="Z1744" t="s">
        <v>698</v>
      </c>
      <c r="AA1744" t="s">
        <v>9245</v>
      </c>
      <c r="AB1744">
        <v>2.85</v>
      </c>
      <c r="AC1744" t="s">
        <v>1213</v>
      </c>
      <c r="AD1744">
        <v>90</v>
      </c>
      <c r="AE1744" t="s">
        <v>865</v>
      </c>
      <c r="AF1744">
        <v>3.71</v>
      </c>
      <c r="AG1744">
        <v>0</v>
      </c>
      <c r="AH1744">
        <v>0</v>
      </c>
      <c r="AI1744" s="4">
        <v>40521</v>
      </c>
    </row>
    <row r="1745" spans="1:35">
      <c r="A1745">
        <v>1744</v>
      </c>
      <c r="B1745" t="str">
        <f>"300079"</f>
        <v>300079</v>
      </c>
      <c r="C1745" t="s">
        <v>9246</v>
      </c>
      <c r="D1745" s="4">
        <v>43190</v>
      </c>
      <c r="E1745" t="s">
        <v>162</v>
      </c>
      <c r="F1745" t="s">
        <v>264</v>
      </c>
      <c r="G1745" t="s">
        <v>1105</v>
      </c>
      <c r="H1745">
        <v>0.04</v>
      </c>
      <c r="I1745">
        <v>2.5299999999999998</v>
      </c>
      <c r="J1745">
        <v>1.49</v>
      </c>
      <c r="K1745" t="s">
        <v>3011</v>
      </c>
      <c r="L1745">
        <v>2.74</v>
      </c>
      <c r="M1745" t="s">
        <v>9247</v>
      </c>
      <c r="N1745">
        <v>0</v>
      </c>
      <c r="O1745" t="s">
        <v>7146</v>
      </c>
      <c r="P1745" t="s">
        <v>9248</v>
      </c>
      <c r="Q1745">
        <v>7.53</v>
      </c>
      <c r="R1745" t="s">
        <v>1214</v>
      </c>
      <c r="S1745">
        <v>0.94</v>
      </c>
      <c r="T1745">
        <v>52.02</v>
      </c>
      <c r="U1745" t="s">
        <v>1032</v>
      </c>
      <c r="V1745" t="s">
        <v>502</v>
      </c>
      <c r="W1745" t="s">
        <v>735</v>
      </c>
      <c r="X1745">
        <v>1.49</v>
      </c>
      <c r="Y1745" t="s">
        <v>515</v>
      </c>
      <c r="Z1745" t="s">
        <v>3741</v>
      </c>
      <c r="AA1745" t="s">
        <v>5581</v>
      </c>
      <c r="AB1745">
        <v>1.36</v>
      </c>
      <c r="AC1745" t="s">
        <v>305</v>
      </c>
      <c r="AD1745">
        <v>81.92</v>
      </c>
      <c r="AE1745" t="s">
        <v>1837</v>
      </c>
      <c r="AF1745">
        <v>0.55000000000000004</v>
      </c>
      <c r="AG1745">
        <v>0</v>
      </c>
      <c r="AH1745">
        <v>0</v>
      </c>
      <c r="AI1745" s="4">
        <v>40298</v>
      </c>
    </row>
    <row r="1746" spans="1:35">
      <c r="A1746">
        <v>1745</v>
      </c>
      <c r="B1746" t="str">
        <f>"300034"</f>
        <v>300034</v>
      </c>
      <c r="C1746" t="s">
        <v>9249</v>
      </c>
      <c r="D1746" s="4">
        <v>43190</v>
      </c>
      <c r="E1746" t="s">
        <v>662</v>
      </c>
      <c r="F1746" t="s">
        <v>202</v>
      </c>
      <c r="G1746" t="s">
        <v>630</v>
      </c>
      <c r="H1746">
        <v>0.05</v>
      </c>
      <c r="I1746">
        <v>3.18</v>
      </c>
      <c r="J1746">
        <v>1.49</v>
      </c>
      <c r="K1746" t="s">
        <v>319</v>
      </c>
      <c r="L1746">
        <v>5.27</v>
      </c>
      <c r="M1746" t="s">
        <v>6766</v>
      </c>
      <c r="N1746" t="s">
        <v>9250</v>
      </c>
      <c r="O1746" t="s">
        <v>6766</v>
      </c>
      <c r="P1746" t="s">
        <v>5144</v>
      </c>
      <c r="Q1746">
        <v>5.67</v>
      </c>
      <c r="R1746" t="s">
        <v>2681</v>
      </c>
      <c r="S1746">
        <v>1.1599999999999999</v>
      </c>
      <c r="T1746">
        <v>24.64</v>
      </c>
      <c r="U1746" t="s">
        <v>1343</v>
      </c>
      <c r="V1746" t="s">
        <v>192</v>
      </c>
      <c r="W1746" t="s">
        <v>1706</v>
      </c>
      <c r="X1746">
        <v>1.49</v>
      </c>
      <c r="Y1746" t="s">
        <v>204</v>
      </c>
      <c r="Z1746" t="s">
        <v>1666</v>
      </c>
      <c r="AA1746" t="s">
        <v>4727</v>
      </c>
      <c r="AB1746">
        <v>2.76</v>
      </c>
      <c r="AC1746" t="s">
        <v>971</v>
      </c>
      <c r="AD1746">
        <v>78.25</v>
      </c>
      <c r="AE1746" t="s">
        <v>597</v>
      </c>
      <c r="AF1746">
        <v>0.82</v>
      </c>
      <c r="AG1746">
        <v>0</v>
      </c>
      <c r="AH1746">
        <v>0</v>
      </c>
      <c r="AI1746" s="4">
        <v>40172</v>
      </c>
    </row>
    <row r="1747" spans="1:35">
      <c r="A1747">
        <v>1746</v>
      </c>
      <c r="B1747" t="str">
        <f>"002675"</f>
        <v>002675</v>
      </c>
      <c r="C1747" t="s">
        <v>9251</v>
      </c>
      <c r="D1747" s="4">
        <v>43190</v>
      </c>
      <c r="E1747" t="s">
        <v>2790</v>
      </c>
      <c r="F1747" t="s">
        <v>2056</v>
      </c>
      <c r="G1747" t="s">
        <v>2572</v>
      </c>
      <c r="H1747">
        <v>0.06</v>
      </c>
      <c r="I1747">
        <v>4.82</v>
      </c>
      <c r="J1747">
        <v>1.49</v>
      </c>
      <c r="K1747" t="s">
        <v>150</v>
      </c>
      <c r="L1747">
        <v>26.33</v>
      </c>
      <c r="M1747" t="s">
        <v>9252</v>
      </c>
      <c r="N1747" t="s">
        <v>6086</v>
      </c>
      <c r="O1747" t="s">
        <v>9253</v>
      </c>
      <c r="P1747" t="s">
        <v>9254</v>
      </c>
      <c r="Q1747">
        <v>38.93</v>
      </c>
      <c r="R1747" t="s">
        <v>6120</v>
      </c>
      <c r="S1747">
        <v>0.83</v>
      </c>
      <c r="T1747">
        <v>50.75</v>
      </c>
      <c r="U1747" t="s">
        <v>2961</v>
      </c>
      <c r="V1747" t="s">
        <v>2753</v>
      </c>
      <c r="W1747" t="s">
        <v>1714</v>
      </c>
      <c r="X1747">
        <v>1.49</v>
      </c>
      <c r="Y1747" t="s">
        <v>418</v>
      </c>
      <c r="Z1747" t="s">
        <v>162</v>
      </c>
      <c r="AA1747" t="s">
        <v>2647</v>
      </c>
      <c r="AB1747">
        <v>1.98</v>
      </c>
      <c r="AC1747" t="s">
        <v>238</v>
      </c>
      <c r="AD1747">
        <v>54.74</v>
      </c>
      <c r="AE1747" t="s">
        <v>584</v>
      </c>
      <c r="AF1747">
        <v>2.85</v>
      </c>
      <c r="AG1747">
        <v>0</v>
      </c>
      <c r="AH1747">
        <v>0</v>
      </c>
      <c r="AI1747" s="4">
        <v>41054</v>
      </c>
    </row>
    <row r="1748" spans="1:35">
      <c r="A1748">
        <v>1747</v>
      </c>
      <c r="B1748" t="str">
        <f>"002164"</f>
        <v>002164</v>
      </c>
      <c r="C1748" t="s">
        <v>9255</v>
      </c>
      <c r="D1748" s="4">
        <v>43190</v>
      </c>
      <c r="E1748" t="s">
        <v>2853</v>
      </c>
      <c r="F1748" t="s">
        <v>1235</v>
      </c>
      <c r="G1748" t="s">
        <v>2589</v>
      </c>
      <c r="H1748">
        <v>7.0000000000000007E-2</v>
      </c>
      <c r="I1748">
        <v>4.95</v>
      </c>
      <c r="J1748">
        <v>1.49</v>
      </c>
      <c r="K1748" t="s">
        <v>3164</v>
      </c>
      <c r="L1748">
        <v>4717.76</v>
      </c>
      <c r="M1748" t="s">
        <v>9256</v>
      </c>
      <c r="N1748" t="s">
        <v>9257</v>
      </c>
      <c r="O1748" t="s">
        <v>6801</v>
      </c>
      <c r="P1748" t="s">
        <v>1915</v>
      </c>
      <c r="Q1748">
        <v>1143.3</v>
      </c>
      <c r="R1748" t="s">
        <v>2751</v>
      </c>
      <c r="S1748">
        <v>0.53</v>
      </c>
      <c r="T1748">
        <v>2.5</v>
      </c>
      <c r="U1748" t="s">
        <v>1885</v>
      </c>
      <c r="V1748" t="s">
        <v>1929</v>
      </c>
      <c r="W1748" t="s">
        <v>3900</v>
      </c>
      <c r="X1748">
        <v>1.49</v>
      </c>
      <c r="Y1748" t="s">
        <v>1465</v>
      </c>
      <c r="Z1748" t="s">
        <v>590</v>
      </c>
      <c r="AA1748" t="s">
        <v>2156</v>
      </c>
      <c r="AB1748">
        <v>1.07</v>
      </c>
      <c r="AC1748" t="s">
        <v>2901</v>
      </c>
      <c r="AD1748">
        <v>22.22</v>
      </c>
      <c r="AE1748" t="s">
        <v>244</v>
      </c>
      <c r="AF1748">
        <v>3.36</v>
      </c>
      <c r="AG1748">
        <v>0</v>
      </c>
      <c r="AH1748">
        <v>0</v>
      </c>
      <c r="AI1748" s="4">
        <v>39317</v>
      </c>
    </row>
    <row r="1749" spans="1:35">
      <c r="A1749">
        <v>1748</v>
      </c>
      <c r="B1749" t="str">
        <f>"000524"</f>
        <v>000524</v>
      </c>
      <c r="C1749" t="s">
        <v>9258</v>
      </c>
      <c r="D1749" s="4">
        <v>43190</v>
      </c>
      <c r="E1749" t="s">
        <v>563</v>
      </c>
      <c r="F1749" t="s">
        <v>1511</v>
      </c>
      <c r="G1749" t="s">
        <v>103</v>
      </c>
      <c r="H1749">
        <v>0.06</v>
      </c>
      <c r="I1749">
        <v>3.86</v>
      </c>
      <c r="J1749">
        <v>1.49</v>
      </c>
      <c r="K1749" t="s">
        <v>847</v>
      </c>
      <c r="L1749">
        <v>10.199999999999999</v>
      </c>
      <c r="M1749" t="s">
        <v>9259</v>
      </c>
      <c r="N1749" t="s">
        <v>9260</v>
      </c>
      <c r="O1749" t="s">
        <v>5999</v>
      </c>
      <c r="P1749" t="s">
        <v>6220</v>
      </c>
      <c r="Q1749">
        <v>12.72</v>
      </c>
      <c r="R1749" t="s">
        <v>364</v>
      </c>
      <c r="S1749">
        <v>0.71</v>
      </c>
      <c r="T1749">
        <v>15.96</v>
      </c>
      <c r="U1749" t="s">
        <v>2267</v>
      </c>
      <c r="V1749" t="s">
        <v>162</v>
      </c>
      <c r="W1749" t="s">
        <v>2392</v>
      </c>
      <c r="X1749">
        <v>1.49</v>
      </c>
      <c r="Y1749" t="s">
        <v>867</v>
      </c>
      <c r="Z1749" t="s">
        <v>1082</v>
      </c>
      <c r="AA1749" t="s">
        <v>364</v>
      </c>
      <c r="AB1749">
        <v>2.27</v>
      </c>
      <c r="AC1749" t="s">
        <v>1504</v>
      </c>
      <c r="AD1749">
        <v>59.28</v>
      </c>
      <c r="AE1749" t="s">
        <v>264</v>
      </c>
      <c r="AF1749">
        <v>1.81</v>
      </c>
      <c r="AG1749">
        <v>0</v>
      </c>
      <c r="AH1749">
        <v>0</v>
      </c>
      <c r="AI1749" s="4">
        <v>34291</v>
      </c>
    </row>
    <row r="1750" spans="1:35">
      <c r="A1750">
        <v>1749</v>
      </c>
      <c r="B1750" t="str">
        <f>"000407"</f>
        <v>000407</v>
      </c>
      <c r="C1750" t="s">
        <v>9261</v>
      </c>
      <c r="D1750" s="4">
        <v>43190</v>
      </c>
      <c r="E1750" t="s">
        <v>4194</v>
      </c>
      <c r="F1750" t="s">
        <v>3234</v>
      </c>
      <c r="G1750" t="s">
        <v>5531</v>
      </c>
      <c r="H1750">
        <v>0.04</v>
      </c>
      <c r="I1750">
        <v>2.5099999999999998</v>
      </c>
      <c r="J1750">
        <v>1.49</v>
      </c>
      <c r="K1750" t="s">
        <v>919</v>
      </c>
      <c r="L1750">
        <v>36.15</v>
      </c>
      <c r="M1750" t="s">
        <v>9262</v>
      </c>
      <c r="N1750" t="s">
        <v>5972</v>
      </c>
      <c r="O1750" t="s">
        <v>9263</v>
      </c>
      <c r="P1750" t="s">
        <v>6000</v>
      </c>
      <c r="Q1750">
        <v>36.1</v>
      </c>
      <c r="R1750" t="s">
        <v>1077</v>
      </c>
      <c r="S1750">
        <v>0.21</v>
      </c>
      <c r="T1750">
        <v>17.2</v>
      </c>
      <c r="U1750" t="s">
        <v>3877</v>
      </c>
      <c r="V1750" t="s">
        <v>308</v>
      </c>
      <c r="W1750" t="s">
        <v>192</v>
      </c>
      <c r="X1750">
        <v>1.49</v>
      </c>
      <c r="Y1750" t="s">
        <v>423</v>
      </c>
      <c r="Z1750" t="s">
        <v>2523</v>
      </c>
      <c r="AA1750" t="s">
        <v>2468</v>
      </c>
      <c r="AB1750">
        <v>1.78</v>
      </c>
      <c r="AC1750" t="s">
        <v>1390</v>
      </c>
      <c r="AD1750">
        <v>37.58</v>
      </c>
      <c r="AE1750" t="s">
        <v>1496</v>
      </c>
      <c r="AF1750">
        <v>1.1499999999999999</v>
      </c>
      <c r="AG1750">
        <v>0</v>
      </c>
      <c r="AH1750">
        <v>0</v>
      </c>
      <c r="AI1750" s="4">
        <v>35249</v>
      </c>
    </row>
    <row r="1751" spans="1:35">
      <c r="A1751">
        <v>1750</v>
      </c>
      <c r="B1751" t="str">
        <f>"000156"</f>
        <v>000156</v>
      </c>
      <c r="C1751" t="s">
        <v>9264</v>
      </c>
      <c r="D1751" s="4">
        <v>43190</v>
      </c>
      <c r="E1751" t="s">
        <v>162</v>
      </c>
      <c r="F1751" t="s">
        <v>926</v>
      </c>
      <c r="G1751" t="s">
        <v>6572</v>
      </c>
      <c r="H1751">
        <v>0.11</v>
      </c>
      <c r="I1751">
        <v>7.34</v>
      </c>
      <c r="J1751">
        <v>1.49</v>
      </c>
      <c r="K1751" t="s">
        <v>63</v>
      </c>
      <c r="L1751">
        <v>7.91</v>
      </c>
      <c r="M1751" t="s">
        <v>863</v>
      </c>
      <c r="N1751" t="s">
        <v>4387</v>
      </c>
      <c r="O1751" t="s">
        <v>610</v>
      </c>
      <c r="P1751" t="s">
        <v>863</v>
      </c>
      <c r="Q1751">
        <v>4.12</v>
      </c>
      <c r="R1751" t="s">
        <v>1687</v>
      </c>
      <c r="S1751">
        <v>1.72</v>
      </c>
      <c r="T1751">
        <v>41.32</v>
      </c>
      <c r="U1751" t="s">
        <v>929</v>
      </c>
      <c r="V1751" t="s">
        <v>8418</v>
      </c>
      <c r="W1751" t="s">
        <v>2100</v>
      </c>
      <c r="X1751">
        <v>1.49</v>
      </c>
      <c r="Y1751" t="s">
        <v>948</v>
      </c>
      <c r="Z1751" t="s">
        <v>2280</v>
      </c>
      <c r="AA1751" t="s">
        <v>971</v>
      </c>
      <c r="AB1751">
        <v>1.55</v>
      </c>
      <c r="AC1751" t="s">
        <v>525</v>
      </c>
      <c r="AD1751">
        <v>73.040000000000006</v>
      </c>
      <c r="AE1751" t="s">
        <v>5199</v>
      </c>
      <c r="AF1751">
        <v>4.34</v>
      </c>
      <c r="AG1751">
        <v>0</v>
      </c>
      <c r="AH1751">
        <v>0</v>
      </c>
      <c r="AI1751" s="4">
        <v>36775</v>
      </c>
    </row>
    <row r="1752" spans="1:35">
      <c r="A1752">
        <v>1751</v>
      </c>
      <c r="B1752" t="str">
        <f>"603855"</f>
        <v>603855</v>
      </c>
      <c r="C1752" t="s">
        <v>9265</v>
      </c>
      <c r="D1752" s="4">
        <v>43190</v>
      </c>
      <c r="E1752" t="s">
        <v>977</v>
      </c>
      <c r="F1752" t="s">
        <v>1853</v>
      </c>
      <c r="G1752">
        <v>3075</v>
      </c>
      <c r="H1752">
        <v>0.06</v>
      </c>
      <c r="I1752">
        <v>4.3499999999999996</v>
      </c>
      <c r="J1752">
        <v>1.48</v>
      </c>
      <c r="K1752" t="s">
        <v>1184</v>
      </c>
      <c r="L1752">
        <v>60.76</v>
      </c>
      <c r="M1752" t="s">
        <v>3007</v>
      </c>
      <c r="N1752" t="s">
        <v>6382</v>
      </c>
      <c r="O1752" t="s">
        <v>9266</v>
      </c>
      <c r="P1752" t="s">
        <v>9267</v>
      </c>
      <c r="Q1752">
        <v>134.06</v>
      </c>
      <c r="R1752" t="s">
        <v>1918</v>
      </c>
      <c r="S1752">
        <v>1.07</v>
      </c>
      <c r="T1752">
        <v>51.16</v>
      </c>
      <c r="U1752" t="s">
        <v>243</v>
      </c>
      <c r="V1752" t="s">
        <v>646</v>
      </c>
      <c r="W1752" t="s">
        <v>234</v>
      </c>
      <c r="X1752">
        <v>1.48</v>
      </c>
      <c r="Y1752" t="s">
        <v>3193</v>
      </c>
      <c r="Z1752" t="s">
        <v>3193</v>
      </c>
      <c r="AA1752">
        <v>0</v>
      </c>
      <c r="AB1752">
        <v>2.1</v>
      </c>
      <c r="AC1752" t="s">
        <v>161</v>
      </c>
      <c r="AD1752">
        <v>64.25</v>
      </c>
      <c r="AE1752" t="s">
        <v>4552</v>
      </c>
      <c r="AF1752">
        <v>2.0299999999999998</v>
      </c>
      <c r="AG1752">
        <v>0</v>
      </c>
      <c r="AH1752">
        <v>0</v>
      </c>
      <c r="AI1752" s="4">
        <v>42879</v>
      </c>
    </row>
    <row r="1753" spans="1:35">
      <c r="A1753">
        <v>1752</v>
      </c>
      <c r="B1753" t="str">
        <f>"603385"</f>
        <v>603385</v>
      </c>
      <c r="C1753" t="s">
        <v>9268</v>
      </c>
      <c r="D1753" s="4">
        <v>43190</v>
      </c>
      <c r="E1753" t="s">
        <v>3726</v>
      </c>
      <c r="F1753" t="s">
        <v>828</v>
      </c>
      <c r="G1753">
        <v>2773</v>
      </c>
      <c r="H1753">
        <v>0.12</v>
      </c>
      <c r="I1753">
        <v>8</v>
      </c>
      <c r="J1753">
        <v>1.48</v>
      </c>
      <c r="K1753" t="s">
        <v>846</v>
      </c>
      <c r="L1753">
        <v>14.23</v>
      </c>
      <c r="M1753" t="s">
        <v>9269</v>
      </c>
      <c r="N1753" t="s">
        <v>3253</v>
      </c>
      <c r="O1753" t="s">
        <v>9270</v>
      </c>
      <c r="P1753" t="s">
        <v>9271</v>
      </c>
      <c r="Q1753">
        <v>11.85</v>
      </c>
      <c r="R1753" t="s">
        <v>1062</v>
      </c>
      <c r="S1753">
        <v>4.16</v>
      </c>
      <c r="T1753">
        <v>25.89</v>
      </c>
      <c r="U1753" t="s">
        <v>763</v>
      </c>
      <c r="V1753" t="s">
        <v>565</v>
      </c>
      <c r="W1753" t="s">
        <v>978</v>
      </c>
      <c r="X1753">
        <v>1.48</v>
      </c>
      <c r="Y1753" t="s">
        <v>8311</v>
      </c>
      <c r="Z1753" t="s">
        <v>3632</v>
      </c>
      <c r="AA1753" t="s">
        <v>2034</v>
      </c>
      <c r="AB1753">
        <v>1.41</v>
      </c>
      <c r="AC1753" t="s">
        <v>1161</v>
      </c>
      <c r="AD1753">
        <v>74.28</v>
      </c>
      <c r="AE1753" t="s">
        <v>1094</v>
      </c>
      <c r="AF1753">
        <v>2.4900000000000002</v>
      </c>
      <c r="AG1753">
        <v>0</v>
      </c>
      <c r="AH1753">
        <v>0</v>
      </c>
      <c r="AI1753" s="4">
        <v>42830</v>
      </c>
    </row>
    <row r="1754" spans="1:35">
      <c r="A1754">
        <v>1753</v>
      </c>
      <c r="B1754" t="str">
        <f>"600210"</f>
        <v>600210</v>
      </c>
      <c r="C1754" t="s">
        <v>9272</v>
      </c>
      <c r="D1754" s="4">
        <v>43190</v>
      </c>
      <c r="E1754" t="s">
        <v>908</v>
      </c>
      <c r="F1754" t="s">
        <v>908</v>
      </c>
      <c r="G1754" t="s">
        <v>892</v>
      </c>
      <c r="H1754">
        <v>0.04</v>
      </c>
      <c r="I1754">
        <v>2.85</v>
      </c>
      <c r="J1754">
        <v>1.48</v>
      </c>
      <c r="K1754" t="s">
        <v>2568</v>
      </c>
      <c r="L1754">
        <v>2.27</v>
      </c>
      <c r="M1754" t="s">
        <v>5110</v>
      </c>
      <c r="N1754" t="s">
        <v>9273</v>
      </c>
      <c r="O1754" t="s">
        <v>9274</v>
      </c>
      <c r="P1754" t="s">
        <v>9275</v>
      </c>
      <c r="Q1754">
        <v>-85.98</v>
      </c>
      <c r="R1754" t="s">
        <v>702</v>
      </c>
      <c r="S1754">
        <v>1.27</v>
      </c>
      <c r="T1754">
        <v>18.059999999999999</v>
      </c>
      <c r="U1754" t="s">
        <v>716</v>
      </c>
      <c r="V1754" t="s">
        <v>952</v>
      </c>
      <c r="W1754" t="s">
        <v>1404</v>
      </c>
      <c r="X1754">
        <v>1.48</v>
      </c>
      <c r="Y1754" t="s">
        <v>110</v>
      </c>
      <c r="Z1754" t="s">
        <v>5850</v>
      </c>
      <c r="AA1754" t="s">
        <v>78</v>
      </c>
      <c r="AB1754">
        <v>1.23</v>
      </c>
      <c r="AC1754" t="s">
        <v>1170</v>
      </c>
      <c r="AD1754">
        <v>42.42</v>
      </c>
      <c r="AE1754" t="s">
        <v>5614</v>
      </c>
      <c r="AF1754">
        <v>0.24</v>
      </c>
      <c r="AG1754">
        <v>0</v>
      </c>
      <c r="AH1754">
        <v>0</v>
      </c>
      <c r="AI1754" s="4">
        <v>36396</v>
      </c>
    </row>
    <row r="1755" spans="1:35">
      <c r="A1755">
        <v>1754</v>
      </c>
      <c r="B1755" t="str">
        <f>"300417"</f>
        <v>300417</v>
      </c>
      <c r="C1755" t="s">
        <v>9276</v>
      </c>
      <c r="D1755" s="4">
        <v>43190</v>
      </c>
      <c r="E1755" t="s">
        <v>9277</v>
      </c>
      <c r="F1755" t="s">
        <v>9278</v>
      </c>
      <c r="G1755">
        <v>3048</v>
      </c>
      <c r="H1755">
        <v>7.0000000000000007E-2</v>
      </c>
      <c r="I1755">
        <v>4.63</v>
      </c>
      <c r="J1755">
        <v>1.48</v>
      </c>
      <c r="K1755" t="s">
        <v>9279</v>
      </c>
      <c r="L1755">
        <v>-16.670000000000002</v>
      </c>
      <c r="M1755" t="s">
        <v>2418</v>
      </c>
      <c r="N1755" t="s">
        <v>7929</v>
      </c>
      <c r="O1755" t="s">
        <v>9280</v>
      </c>
      <c r="P1755" t="s">
        <v>4791</v>
      </c>
      <c r="Q1755">
        <v>8.25</v>
      </c>
      <c r="R1755" t="s">
        <v>1077</v>
      </c>
      <c r="S1755">
        <v>1.99</v>
      </c>
      <c r="T1755">
        <v>46.29</v>
      </c>
      <c r="U1755" t="s">
        <v>1040</v>
      </c>
      <c r="V1755" t="s">
        <v>1184</v>
      </c>
      <c r="W1755" t="s">
        <v>6328</v>
      </c>
      <c r="X1755">
        <v>1.48</v>
      </c>
      <c r="Y1755" t="s">
        <v>7087</v>
      </c>
      <c r="Z1755" t="s">
        <v>7087</v>
      </c>
      <c r="AA1755">
        <v>0</v>
      </c>
      <c r="AB1755">
        <v>3.76</v>
      </c>
      <c r="AC1755" t="s">
        <v>133</v>
      </c>
      <c r="AD1755">
        <v>93.11</v>
      </c>
      <c r="AE1755" t="s">
        <v>280</v>
      </c>
      <c r="AF1755">
        <v>1.47</v>
      </c>
      <c r="AG1755">
        <v>0</v>
      </c>
      <c r="AH1755">
        <v>0</v>
      </c>
      <c r="AI1755" s="4">
        <v>42027</v>
      </c>
    </row>
    <row r="1756" spans="1:35">
      <c r="A1756">
        <v>1755</v>
      </c>
      <c r="B1756" t="str">
        <f>"300200"</f>
        <v>300200</v>
      </c>
      <c r="C1756" t="s">
        <v>9281</v>
      </c>
      <c r="D1756" s="4">
        <v>43190</v>
      </c>
      <c r="E1756" t="s">
        <v>492</v>
      </c>
      <c r="F1756" t="s">
        <v>975</v>
      </c>
      <c r="G1756" t="s">
        <v>1639</v>
      </c>
      <c r="H1756">
        <v>0.08</v>
      </c>
      <c r="I1756">
        <v>5.67</v>
      </c>
      <c r="J1756">
        <v>1.48</v>
      </c>
      <c r="K1756" t="s">
        <v>126</v>
      </c>
      <c r="L1756">
        <v>75.23</v>
      </c>
      <c r="M1756" t="s">
        <v>9282</v>
      </c>
      <c r="N1756" t="s">
        <v>9283</v>
      </c>
      <c r="O1756" t="s">
        <v>8411</v>
      </c>
      <c r="P1756" t="s">
        <v>5046</v>
      </c>
      <c r="Q1756">
        <v>369.23</v>
      </c>
      <c r="R1756" t="s">
        <v>84</v>
      </c>
      <c r="S1756">
        <v>0.54</v>
      </c>
      <c r="T1756">
        <v>27.01</v>
      </c>
      <c r="U1756" t="s">
        <v>867</v>
      </c>
      <c r="V1756" t="s">
        <v>2010</v>
      </c>
      <c r="W1756" t="s">
        <v>594</v>
      </c>
      <c r="X1756">
        <v>1.48</v>
      </c>
      <c r="Y1756" t="s">
        <v>1995</v>
      </c>
      <c r="Z1756" t="s">
        <v>998</v>
      </c>
      <c r="AA1756" t="s">
        <v>4280</v>
      </c>
      <c r="AB1756">
        <v>1.35</v>
      </c>
      <c r="AC1756" t="s">
        <v>141</v>
      </c>
      <c r="AD1756">
        <v>84.91</v>
      </c>
      <c r="AE1756" t="s">
        <v>919</v>
      </c>
      <c r="AF1756">
        <v>4</v>
      </c>
      <c r="AG1756">
        <v>0</v>
      </c>
      <c r="AH1756">
        <v>0</v>
      </c>
      <c r="AI1756" s="4">
        <v>40640</v>
      </c>
    </row>
    <row r="1757" spans="1:35">
      <c r="A1757">
        <v>1756</v>
      </c>
      <c r="B1757" t="str">
        <f>"002822"</f>
        <v>002822</v>
      </c>
      <c r="C1757" t="s">
        <v>9284</v>
      </c>
      <c r="D1757" s="4">
        <v>43190</v>
      </c>
      <c r="E1757" t="s">
        <v>494</v>
      </c>
      <c r="F1757" t="s">
        <v>1152</v>
      </c>
      <c r="G1757">
        <v>5991</v>
      </c>
      <c r="H1757">
        <v>0.05</v>
      </c>
      <c r="I1757">
        <v>3.44</v>
      </c>
      <c r="J1757">
        <v>1.48</v>
      </c>
      <c r="K1757" t="s">
        <v>2908</v>
      </c>
      <c r="L1757">
        <v>32.76</v>
      </c>
      <c r="M1757" t="s">
        <v>7301</v>
      </c>
      <c r="N1757" t="s">
        <v>7289</v>
      </c>
      <c r="O1757" t="s">
        <v>7301</v>
      </c>
      <c r="P1757" t="s">
        <v>9285</v>
      </c>
      <c r="Q1757">
        <v>37.08</v>
      </c>
      <c r="R1757" t="s">
        <v>3859</v>
      </c>
      <c r="S1757">
        <v>1.2</v>
      </c>
      <c r="T1757">
        <v>14.56</v>
      </c>
      <c r="U1757" t="s">
        <v>2197</v>
      </c>
      <c r="V1757" t="s">
        <v>3160</v>
      </c>
      <c r="W1757" t="s">
        <v>382</v>
      </c>
      <c r="X1757">
        <v>1.48</v>
      </c>
      <c r="Y1757" t="s">
        <v>565</v>
      </c>
      <c r="Z1757" t="s">
        <v>449</v>
      </c>
      <c r="AA1757" t="s">
        <v>1119</v>
      </c>
      <c r="AB1757">
        <v>1.7</v>
      </c>
      <c r="AC1757" t="s">
        <v>3356</v>
      </c>
      <c r="AD1757">
        <v>47.85</v>
      </c>
      <c r="AE1757" t="s">
        <v>2110</v>
      </c>
      <c r="AF1757">
        <v>1.1000000000000001</v>
      </c>
      <c r="AG1757">
        <v>0</v>
      </c>
      <c r="AH1757">
        <v>0</v>
      </c>
      <c r="AI1757" s="4">
        <v>42703</v>
      </c>
    </row>
    <row r="1758" spans="1:35">
      <c r="A1758">
        <v>1757</v>
      </c>
      <c r="B1758" t="str">
        <f>"002649"</f>
        <v>002649</v>
      </c>
      <c r="C1758" t="s">
        <v>9286</v>
      </c>
      <c r="D1758" s="4">
        <v>43190</v>
      </c>
      <c r="E1758" t="s">
        <v>666</v>
      </c>
      <c r="F1758" t="s">
        <v>2811</v>
      </c>
      <c r="G1758">
        <v>9354</v>
      </c>
      <c r="H1758">
        <v>0.06</v>
      </c>
      <c r="I1758">
        <v>3.97</v>
      </c>
      <c r="J1758">
        <v>1.48</v>
      </c>
      <c r="K1758" t="s">
        <v>5084</v>
      </c>
      <c r="L1758">
        <v>19.47</v>
      </c>
      <c r="M1758" t="s">
        <v>9287</v>
      </c>
      <c r="N1758" t="s">
        <v>5098</v>
      </c>
      <c r="O1758" t="s">
        <v>8652</v>
      </c>
      <c r="P1758" t="s">
        <v>9288</v>
      </c>
      <c r="Q1758">
        <v>4.9000000000000004</v>
      </c>
      <c r="R1758" t="s">
        <v>4397</v>
      </c>
      <c r="S1758">
        <v>1.43</v>
      </c>
      <c r="T1758">
        <v>25.26</v>
      </c>
      <c r="U1758" t="s">
        <v>1252</v>
      </c>
      <c r="V1758" t="s">
        <v>775</v>
      </c>
      <c r="W1758" t="s">
        <v>509</v>
      </c>
      <c r="X1758">
        <v>1.48</v>
      </c>
      <c r="Y1758" t="s">
        <v>358</v>
      </c>
      <c r="Z1758" t="s">
        <v>1778</v>
      </c>
      <c r="AA1758" t="s">
        <v>6566</v>
      </c>
      <c r="AB1758">
        <v>2.16</v>
      </c>
      <c r="AC1758" t="s">
        <v>514</v>
      </c>
      <c r="AD1758">
        <v>72.48</v>
      </c>
      <c r="AE1758" t="s">
        <v>1587</v>
      </c>
      <c r="AF1758">
        <v>1.69</v>
      </c>
      <c r="AG1758">
        <v>0</v>
      </c>
      <c r="AH1758">
        <v>0</v>
      </c>
      <c r="AI1758" s="4">
        <v>40914</v>
      </c>
    </row>
    <row r="1759" spans="1:35">
      <c r="A1759">
        <v>1758</v>
      </c>
      <c r="B1759" t="str">
        <f>"603901"</f>
        <v>603901</v>
      </c>
      <c r="C1759" t="s">
        <v>9289</v>
      </c>
      <c r="D1759" s="4">
        <v>43190</v>
      </c>
      <c r="E1759" t="s">
        <v>150</v>
      </c>
      <c r="F1759" t="s">
        <v>37</v>
      </c>
      <c r="G1759">
        <v>5910</v>
      </c>
      <c r="H1759">
        <v>0.04</v>
      </c>
      <c r="I1759">
        <v>2.35</v>
      </c>
      <c r="J1759">
        <v>1.47</v>
      </c>
      <c r="K1759" t="s">
        <v>1206</v>
      </c>
      <c r="L1759">
        <v>21.56</v>
      </c>
      <c r="M1759" t="s">
        <v>9290</v>
      </c>
      <c r="N1759">
        <v>0</v>
      </c>
      <c r="O1759" t="s">
        <v>8434</v>
      </c>
      <c r="P1759" t="s">
        <v>5119</v>
      </c>
      <c r="Q1759">
        <v>-18.14</v>
      </c>
      <c r="R1759" t="s">
        <v>314</v>
      </c>
      <c r="S1759">
        <v>0.84</v>
      </c>
      <c r="T1759">
        <v>32.28</v>
      </c>
      <c r="U1759" t="s">
        <v>276</v>
      </c>
      <c r="V1759" t="s">
        <v>298</v>
      </c>
      <c r="W1759" t="s">
        <v>1402</v>
      </c>
      <c r="X1759">
        <v>1.47</v>
      </c>
      <c r="Y1759" t="s">
        <v>350</v>
      </c>
      <c r="Z1759" t="s">
        <v>192</v>
      </c>
      <c r="AA1759" t="s">
        <v>1077</v>
      </c>
      <c r="AB1759">
        <v>3.39</v>
      </c>
      <c r="AC1759" t="s">
        <v>5494</v>
      </c>
      <c r="AD1759">
        <v>41.25</v>
      </c>
      <c r="AE1759" t="s">
        <v>319</v>
      </c>
      <c r="AF1759">
        <v>0.4</v>
      </c>
      <c r="AG1759">
        <v>0</v>
      </c>
      <c r="AH1759">
        <v>0</v>
      </c>
      <c r="AI1759" s="4">
        <v>42153</v>
      </c>
    </row>
    <row r="1760" spans="1:35">
      <c r="A1760">
        <v>1759</v>
      </c>
      <c r="B1760" t="str">
        <f>"601878"</f>
        <v>601878</v>
      </c>
      <c r="C1760" t="s">
        <v>9291</v>
      </c>
      <c r="D1760" s="4">
        <v>43190</v>
      </c>
      <c r="E1760" t="s">
        <v>1488</v>
      </c>
      <c r="F1760" t="s">
        <v>976</v>
      </c>
      <c r="G1760">
        <v>3668</v>
      </c>
      <c r="H1760">
        <v>0.06</v>
      </c>
      <c r="I1760">
        <v>4.1100000000000003</v>
      </c>
      <c r="J1760">
        <v>1.47</v>
      </c>
      <c r="K1760" t="s">
        <v>1644</v>
      </c>
      <c r="L1760">
        <v>-19.940000000000001</v>
      </c>
      <c r="M1760" t="s">
        <v>828</v>
      </c>
      <c r="N1760" t="s">
        <v>1724</v>
      </c>
      <c r="O1760" t="s">
        <v>122</v>
      </c>
      <c r="P1760" t="s">
        <v>293</v>
      </c>
      <c r="Q1760">
        <v>-24.22</v>
      </c>
      <c r="R1760" t="s">
        <v>408</v>
      </c>
      <c r="S1760">
        <v>1.27</v>
      </c>
      <c r="T1760">
        <v>0</v>
      </c>
      <c r="U1760" t="s">
        <v>9292</v>
      </c>
      <c r="V1760">
        <v>0</v>
      </c>
      <c r="W1760" t="s">
        <v>1676</v>
      </c>
      <c r="X1760">
        <v>1.47</v>
      </c>
      <c r="Y1760" t="s">
        <v>2314</v>
      </c>
      <c r="Z1760">
        <v>0</v>
      </c>
      <c r="AA1760">
        <v>0</v>
      </c>
      <c r="AB1760">
        <v>2.19</v>
      </c>
      <c r="AC1760" t="s">
        <v>246</v>
      </c>
      <c r="AD1760">
        <v>25.69</v>
      </c>
      <c r="AE1760" t="s">
        <v>1258</v>
      </c>
      <c r="AF1760">
        <v>1.19</v>
      </c>
      <c r="AG1760">
        <v>0</v>
      </c>
      <c r="AH1760">
        <v>0</v>
      </c>
      <c r="AI1760" s="4">
        <v>42912</v>
      </c>
    </row>
    <row r="1761" spans="1:35">
      <c r="A1761">
        <v>1760</v>
      </c>
      <c r="B1761" t="str">
        <f>"600983"</f>
        <v>600983</v>
      </c>
      <c r="C1761" t="s">
        <v>9293</v>
      </c>
      <c r="D1761" s="4">
        <v>43190</v>
      </c>
      <c r="E1761" t="s">
        <v>871</v>
      </c>
      <c r="F1761" t="s">
        <v>1799</v>
      </c>
      <c r="G1761" t="s">
        <v>5500</v>
      </c>
      <c r="H1761">
        <v>0.08</v>
      </c>
      <c r="I1761">
        <v>5.15</v>
      </c>
      <c r="J1761">
        <v>1.47</v>
      </c>
      <c r="K1761" t="s">
        <v>115</v>
      </c>
      <c r="L1761">
        <v>-11.68</v>
      </c>
      <c r="M1761" t="s">
        <v>9294</v>
      </c>
      <c r="N1761" t="s">
        <v>9295</v>
      </c>
      <c r="O1761" t="s">
        <v>9296</v>
      </c>
      <c r="P1761" t="s">
        <v>4148</v>
      </c>
      <c r="Q1761">
        <v>-33.94</v>
      </c>
      <c r="R1761" t="s">
        <v>1190</v>
      </c>
      <c r="S1761">
        <v>2.1800000000000002</v>
      </c>
      <c r="T1761">
        <v>24</v>
      </c>
      <c r="U1761" t="s">
        <v>9297</v>
      </c>
      <c r="V1761" t="s">
        <v>2881</v>
      </c>
      <c r="W1761" t="s">
        <v>548</v>
      </c>
      <c r="X1761">
        <v>1.47</v>
      </c>
      <c r="Y1761" t="s">
        <v>1742</v>
      </c>
      <c r="Z1761" t="s">
        <v>1859</v>
      </c>
      <c r="AA1761" t="s">
        <v>9298</v>
      </c>
      <c r="AB1761">
        <v>1.29</v>
      </c>
      <c r="AC1761" t="s">
        <v>1581</v>
      </c>
      <c r="AD1761">
        <v>49.59</v>
      </c>
      <c r="AE1761" t="s">
        <v>548</v>
      </c>
      <c r="AF1761">
        <v>1.62</v>
      </c>
      <c r="AG1761">
        <v>0</v>
      </c>
      <c r="AH1761">
        <v>0</v>
      </c>
      <c r="AI1761" s="4">
        <v>38195</v>
      </c>
    </row>
    <row r="1762" spans="1:35">
      <c r="A1762">
        <v>1761</v>
      </c>
      <c r="B1762" t="str">
        <f>"600837"</f>
        <v>600837</v>
      </c>
      <c r="C1762" t="s">
        <v>9299</v>
      </c>
      <c r="D1762" s="4">
        <v>43190</v>
      </c>
      <c r="E1762" t="s">
        <v>689</v>
      </c>
      <c r="F1762" t="s">
        <v>9300</v>
      </c>
      <c r="G1762" t="s">
        <v>9301</v>
      </c>
      <c r="H1762">
        <v>0.15</v>
      </c>
      <c r="I1762">
        <v>10.35</v>
      </c>
      <c r="J1762">
        <v>1.47</v>
      </c>
      <c r="K1762" t="s">
        <v>2272</v>
      </c>
      <c r="L1762">
        <v>-11.45</v>
      </c>
      <c r="M1762" t="s">
        <v>316</v>
      </c>
      <c r="N1762" t="s">
        <v>924</v>
      </c>
      <c r="O1762" t="s">
        <v>370</v>
      </c>
      <c r="P1762" t="s">
        <v>79</v>
      </c>
      <c r="Q1762">
        <v>-22.68</v>
      </c>
      <c r="R1762" t="s">
        <v>3606</v>
      </c>
      <c r="S1762">
        <v>2.81</v>
      </c>
      <c r="T1762">
        <v>0</v>
      </c>
      <c r="U1762" t="s">
        <v>9302</v>
      </c>
      <c r="V1762">
        <v>0</v>
      </c>
      <c r="W1762" t="s">
        <v>583</v>
      </c>
      <c r="X1762">
        <v>1.47</v>
      </c>
      <c r="Y1762" t="s">
        <v>9303</v>
      </c>
      <c r="Z1762">
        <v>0</v>
      </c>
      <c r="AA1762">
        <v>0</v>
      </c>
      <c r="AB1762">
        <v>0.9</v>
      </c>
      <c r="AC1762" t="s">
        <v>9304</v>
      </c>
      <c r="AD1762">
        <v>20.79</v>
      </c>
      <c r="AE1762" t="s">
        <v>9305</v>
      </c>
      <c r="AF1762">
        <v>4.9000000000000004</v>
      </c>
      <c r="AG1762">
        <v>0</v>
      </c>
      <c r="AH1762" t="s">
        <v>817</v>
      </c>
      <c r="AI1762" s="4">
        <v>34389</v>
      </c>
    </row>
    <row r="1763" spans="1:35">
      <c r="A1763">
        <v>1762</v>
      </c>
      <c r="B1763" t="str">
        <f>"600717"</f>
        <v>600717</v>
      </c>
      <c r="C1763" t="s">
        <v>9306</v>
      </c>
      <c r="D1763" s="4">
        <v>43190</v>
      </c>
      <c r="E1763" t="s">
        <v>1190</v>
      </c>
      <c r="F1763" t="s">
        <v>1190</v>
      </c>
      <c r="G1763" t="s">
        <v>1440</v>
      </c>
      <c r="H1763">
        <v>0.14000000000000001</v>
      </c>
      <c r="I1763">
        <v>9.2799999999999994</v>
      </c>
      <c r="J1763">
        <v>1.47</v>
      </c>
      <c r="K1763" t="s">
        <v>2523</v>
      </c>
      <c r="L1763">
        <v>-20.66</v>
      </c>
      <c r="M1763" t="s">
        <v>1483</v>
      </c>
      <c r="N1763" t="s">
        <v>977</v>
      </c>
      <c r="O1763" t="s">
        <v>1615</v>
      </c>
      <c r="P1763" t="s">
        <v>4614</v>
      </c>
      <c r="Q1763">
        <v>-12.92</v>
      </c>
      <c r="R1763" t="s">
        <v>1331</v>
      </c>
      <c r="S1763">
        <v>5.21</v>
      </c>
      <c r="T1763">
        <v>19.02</v>
      </c>
      <c r="U1763" t="s">
        <v>7012</v>
      </c>
      <c r="V1763" t="s">
        <v>1132</v>
      </c>
      <c r="W1763" t="s">
        <v>929</v>
      </c>
      <c r="X1763">
        <v>1.47</v>
      </c>
      <c r="Y1763" t="s">
        <v>1741</v>
      </c>
      <c r="Z1763" t="s">
        <v>5856</v>
      </c>
      <c r="AA1763" t="s">
        <v>2419</v>
      </c>
      <c r="AB1763">
        <v>0.83</v>
      </c>
      <c r="AC1763" t="s">
        <v>310</v>
      </c>
      <c r="AD1763">
        <v>44.08</v>
      </c>
      <c r="AE1763" t="s">
        <v>2941</v>
      </c>
      <c r="AF1763">
        <v>1.71</v>
      </c>
      <c r="AG1763">
        <v>0</v>
      </c>
      <c r="AH1763">
        <v>0</v>
      </c>
      <c r="AI1763" s="4">
        <v>35230</v>
      </c>
    </row>
    <row r="1764" spans="1:35">
      <c r="A1764">
        <v>1763</v>
      </c>
      <c r="B1764" t="str">
        <f>"300537"</f>
        <v>300537</v>
      </c>
      <c r="C1764" t="s">
        <v>9307</v>
      </c>
      <c r="D1764" s="4">
        <v>43190</v>
      </c>
      <c r="E1764" t="s">
        <v>95</v>
      </c>
      <c r="F1764" t="s">
        <v>9308</v>
      </c>
      <c r="G1764">
        <v>5860</v>
      </c>
      <c r="H1764">
        <v>0.09</v>
      </c>
      <c r="I1764">
        <v>6.47</v>
      </c>
      <c r="J1764">
        <v>1.47</v>
      </c>
      <c r="K1764" t="s">
        <v>711</v>
      </c>
      <c r="L1764">
        <v>129.19</v>
      </c>
      <c r="M1764" t="s">
        <v>7587</v>
      </c>
      <c r="N1764">
        <v>0</v>
      </c>
      <c r="O1764" t="s">
        <v>9309</v>
      </c>
      <c r="P1764" t="s">
        <v>6899</v>
      </c>
      <c r="Q1764">
        <v>116.51</v>
      </c>
      <c r="R1764" t="s">
        <v>293</v>
      </c>
      <c r="S1764">
        <v>1.03</v>
      </c>
      <c r="T1764">
        <v>40.770000000000003</v>
      </c>
      <c r="U1764" t="s">
        <v>1792</v>
      </c>
      <c r="V1764" t="s">
        <v>4760</v>
      </c>
      <c r="W1764" t="s">
        <v>1202</v>
      </c>
      <c r="X1764">
        <v>1.47</v>
      </c>
      <c r="Y1764" t="s">
        <v>3441</v>
      </c>
      <c r="Z1764" t="s">
        <v>1609</v>
      </c>
      <c r="AA1764" t="s">
        <v>9310</v>
      </c>
      <c r="AB1764">
        <v>2.12</v>
      </c>
      <c r="AC1764" t="s">
        <v>300</v>
      </c>
      <c r="AD1764">
        <v>79.78</v>
      </c>
      <c r="AE1764" t="s">
        <v>4796</v>
      </c>
      <c r="AF1764">
        <v>4.3</v>
      </c>
      <c r="AG1764">
        <v>0</v>
      </c>
      <c r="AH1764">
        <v>0</v>
      </c>
      <c r="AI1764" s="4">
        <v>42612</v>
      </c>
    </row>
    <row r="1765" spans="1:35">
      <c r="A1765">
        <v>1764</v>
      </c>
      <c r="B1765" t="str">
        <f>"300410"</f>
        <v>300410</v>
      </c>
      <c r="C1765" t="s">
        <v>9311</v>
      </c>
      <c r="D1765" s="4">
        <v>43190</v>
      </c>
      <c r="E1765" t="s">
        <v>1860</v>
      </c>
      <c r="F1765" t="s">
        <v>748</v>
      </c>
      <c r="G1765" t="s">
        <v>1381</v>
      </c>
      <c r="H1765">
        <v>0.15</v>
      </c>
      <c r="I1765">
        <v>10.32</v>
      </c>
      <c r="J1765">
        <v>1.47</v>
      </c>
      <c r="K1765" t="s">
        <v>998</v>
      </c>
      <c r="L1765">
        <v>43.65</v>
      </c>
      <c r="M1765" t="s">
        <v>9312</v>
      </c>
      <c r="N1765">
        <v>0</v>
      </c>
      <c r="O1765" t="s">
        <v>9313</v>
      </c>
      <c r="P1765" t="s">
        <v>482</v>
      </c>
      <c r="Q1765">
        <v>38.54</v>
      </c>
      <c r="R1765" t="s">
        <v>2112</v>
      </c>
      <c r="S1765">
        <v>2.2400000000000002</v>
      </c>
      <c r="T1765">
        <v>37.82</v>
      </c>
      <c r="U1765" t="s">
        <v>1546</v>
      </c>
      <c r="V1765" t="s">
        <v>759</v>
      </c>
      <c r="W1765" t="s">
        <v>863</v>
      </c>
      <c r="X1765">
        <v>1.47</v>
      </c>
      <c r="Y1765" t="s">
        <v>1173</v>
      </c>
      <c r="Z1765" t="s">
        <v>539</v>
      </c>
      <c r="AA1765" t="s">
        <v>9314</v>
      </c>
      <c r="AB1765">
        <v>2.1800000000000002</v>
      </c>
      <c r="AC1765" t="s">
        <v>1920</v>
      </c>
      <c r="AD1765">
        <v>70.63</v>
      </c>
      <c r="AE1765" t="s">
        <v>538</v>
      </c>
      <c r="AF1765">
        <v>7.09</v>
      </c>
      <c r="AG1765">
        <v>0</v>
      </c>
      <c r="AH1765">
        <v>0</v>
      </c>
      <c r="AI1765" s="4">
        <v>42004</v>
      </c>
    </row>
    <row r="1766" spans="1:35">
      <c r="A1766">
        <v>1765</v>
      </c>
      <c r="B1766" t="str">
        <f>"002892"</f>
        <v>002892</v>
      </c>
      <c r="C1766" t="s">
        <v>9315</v>
      </c>
      <c r="D1766" s="4">
        <v>43190</v>
      </c>
      <c r="E1766" t="s">
        <v>6772</v>
      </c>
      <c r="F1766" t="s">
        <v>7054</v>
      </c>
      <c r="G1766">
        <v>1353</v>
      </c>
      <c r="H1766">
        <v>0.1</v>
      </c>
      <c r="I1766">
        <v>6.75</v>
      </c>
      <c r="J1766">
        <v>1.47</v>
      </c>
      <c r="K1766" t="s">
        <v>1974</v>
      </c>
      <c r="L1766">
        <v>14.32</v>
      </c>
      <c r="M1766" t="s">
        <v>9087</v>
      </c>
      <c r="N1766" t="s">
        <v>6445</v>
      </c>
      <c r="O1766" t="s">
        <v>9316</v>
      </c>
      <c r="P1766" t="s">
        <v>7701</v>
      </c>
      <c r="Q1766">
        <v>-34.39</v>
      </c>
      <c r="R1766" t="s">
        <v>280</v>
      </c>
      <c r="S1766">
        <v>1.3</v>
      </c>
      <c r="T1766">
        <v>19.34</v>
      </c>
      <c r="U1766" t="s">
        <v>1238</v>
      </c>
      <c r="V1766" t="s">
        <v>442</v>
      </c>
      <c r="W1766" t="s">
        <v>319</v>
      </c>
      <c r="X1766">
        <v>1.47</v>
      </c>
      <c r="Y1766" t="s">
        <v>198</v>
      </c>
      <c r="Z1766" t="s">
        <v>533</v>
      </c>
      <c r="AA1766" t="s">
        <v>6965</v>
      </c>
      <c r="AB1766">
        <v>4.1900000000000004</v>
      </c>
      <c r="AC1766" t="s">
        <v>2450</v>
      </c>
      <c r="AD1766">
        <v>84.5</v>
      </c>
      <c r="AE1766" t="s">
        <v>314</v>
      </c>
      <c r="AF1766">
        <v>4.26</v>
      </c>
      <c r="AG1766">
        <v>0</v>
      </c>
      <c r="AH1766">
        <v>0</v>
      </c>
      <c r="AI1766" s="4">
        <v>42964</v>
      </c>
    </row>
    <row r="1767" spans="1:35">
      <c r="A1767">
        <v>1766</v>
      </c>
      <c r="B1767" t="str">
        <f>"002890"</f>
        <v>002890</v>
      </c>
      <c r="C1767" t="s">
        <v>9317</v>
      </c>
      <c r="D1767" s="4">
        <v>43190</v>
      </c>
      <c r="E1767" t="s">
        <v>4349</v>
      </c>
      <c r="F1767" t="s">
        <v>9318</v>
      </c>
      <c r="G1767">
        <v>2077</v>
      </c>
      <c r="H1767">
        <v>0.11</v>
      </c>
      <c r="I1767">
        <v>7.69</v>
      </c>
      <c r="J1767">
        <v>1.47</v>
      </c>
      <c r="K1767" t="s">
        <v>7043</v>
      </c>
      <c r="L1767">
        <v>-25.5</v>
      </c>
      <c r="M1767" t="s">
        <v>1975</v>
      </c>
      <c r="N1767" t="s">
        <v>7289</v>
      </c>
      <c r="O1767" t="s">
        <v>9319</v>
      </c>
      <c r="P1767" t="s">
        <v>8604</v>
      </c>
      <c r="Q1767">
        <v>-46.95</v>
      </c>
      <c r="R1767" t="s">
        <v>862</v>
      </c>
      <c r="S1767">
        <v>3.16</v>
      </c>
      <c r="T1767">
        <v>19.63</v>
      </c>
      <c r="U1767" t="s">
        <v>1567</v>
      </c>
      <c r="V1767" t="s">
        <v>1059</v>
      </c>
      <c r="W1767" t="s">
        <v>745</v>
      </c>
      <c r="X1767">
        <v>1.47</v>
      </c>
      <c r="Y1767" t="s">
        <v>209</v>
      </c>
      <c r="Z1767" t="s">
        <v>642</v>
      </c>
      <c r="AA1767" t="s">
        <v>3221</v>
      </c>
      <c r="AB1767">
        <v>3.64</v>
      </c>
      <c r="AC1767" t="s">
        <v>647</v>
      </c>
      <c r="AD1767">
        <v>80.819999999999993</v>
      </c>
      <c r="AE1767" t="s">
        <v>844</v>
      </c>
      <c r="AF1767">
        <v>3.08</v>
      </c>
      <c r="AG1767">
        <v>0</v>
      </c>
      <c r="AH1767">
        <v>0</v>
      </c>
      <c r="AI1767" s="4">
        <v>42949</v>
      </c>
    </row>
    <row r="1768" spans="1:35">
      <c r="A1768">
        <v>1767</v>
      </c>
      <c r="B1768" t="str">
        <f>"002811"</f>
        <v>002811</v>
      </c>
      <c r="C1768" t="s">
        <v>9320</v>
      </c>
      <c r="D1768" s="4">
        <v>43190</v>
      </c>
      <c r="E1768" t="s">
        <v>1839</v>
      </c>
      <c r="F1768" t="s">
        <v>6617</v>
      </c>
      <c r="G1768">
        <v>2159</v>
      </c>
      <c r="H1768">
        <v>0.11</v>
      </c>
      <c r="I1768">
        <v>7.36</v>
      </c>
      <c r="J1768">
        <v>1.47</v>
      </c>
      <c r="K1768" t="s">
        <v>645</v>
      </c>
      <c r="L1768">
        <v>21.51</v>
      </c>
      <c r="M1768" t="s">
        <v>9321</v>
      </c>
      <c r="N1768" t="s">
        <v>9322</v>
      </c>
      <c r="O1768" t="s">
        <v>7518</v>
      </c>
      <c r="P1768" t="s">
        <v>146</v>
      </c>
      <c r="Q1768">
        <v>16.350000000000001</v>
      </c>
      <c r="R1768" t="s">
        <v>381</v>
      </c>
      <c r="S1768">
        <v>2.59</v>
      </c>
      <c r="T1768">
        <v>15.77</v>
      </c>
      <c r="U1768" t="s">
        <v>2542</v>
      </c>
      <c r="V1768" t="s">
        <v>712</v>
      </c>
      <c r="W1768" t="s">
        <v>7102</v>
      </c>
      <c r="X1768">
        <v>1.47</v>
      </c>
      <c r="Y1768" t="s">
        <v>982</v>
      </c>
      <c r="Z1768" t="s">
        <v>1033</v>
      </c>
      <c r="AA1768" t="s">
        <v>5099</v>
      </c>
      <c r="AB1768">
        <v>2.1800000000000002</v>
      </c>
      <c r="AC1768" t="s">
        <v>1307</v>
      </c>
      <c r="AD1768">
        <v>52.04</v>
      </c>
      <c r="AE1768" t="s">
        <v>792</v>
      </c>
      <c r="AF1768">
        <v>3.43</v>
      </c>
      <c r="AG1768">
        <v>0</v>
      </c>
      <c r="AH1768">
        <v>0</v>
      </c>
      <c r="AI1768" s="4">
        <v>42621</v>
      </c>
    </row>
    <row r="1769" spans="1:35">
      <c r="A1769">
        <v>1768</v>
      </c>
      <c r="B1769" t="str">
        <f>"002635"</f>
        <v>002635</v>
      </c>
      <c r="C1769" t="s">
        <v>9323</v>
      </c>
      <c r="D1769" s="4">
        <v>43190</v>
      </c>
      <c r="E1769" t="s">
        <v>2913</v>
      </c>
      <c r="F1769" t="s">
        <v>824</v>
      </c>
      <c r="G1769">
        <v>6686</v>
      </c>
      <c r="H1769">
        <v>0.14000000000000001</v>
      </c>
      <c r="I1769">
        <v>9.4</v>
      </c>
      <c r="J1769">
        <v>1.47</v>
      </c>
      <c r="K1769" t="s">
        <v>2996</v>
      </c>
      <c r="L1769">
        <v>44.1</v>
      </c>
      <c r="M1769" t="s">
        <v>1365</v>
      </c>
      <c r="N1769" t="s">
        <v>9136</v>
      </c>
      <c r="O1769" t="s">
        <v>86</v>
      </c>
      <c r="P1769" t="s">
        <v>1119</v>
      </c>
      <c r="Q1769">
        <v>15.6</v>
      </c>
      <c r="R1769" t="s">
        <v>624</v>
      </c>
      <c r="S1769">
        <v>1.78</v>
      </c>
      <c r="T1769">
        <v>34.630000000000003</v>
      </c>
      <c r="U1769" t="s">
        <v>4136</v>
      </c>
      <c r="V1769" t="s">
        <v>236</v>
      </c>
      <c r="W1769" t="s">
        <v>50</v>
      </c>
      <c r="X1769">
        <v>1.47</v>
      </c>
      <c r="Y1769" t="s">
        <v>115</v>
      </c>
      <c r="Z1769" t="s">
        <v>847</v>
      </c>
      <c r="AA1769" t="s">
        <v>9324</v>
      </c>
      <c r="AB1769">
        <v>1.87</v>
      </c>
      <c r="AC1769" t="s">
        <v>4013</v>
      </c>
      <c r="AD1769">
        <v>80.56</v>
      </c>
      <c r="AE1769" t="s">
        <v>1925</v>
      </c>
      <c r="AF1769">
        <v>6.5</v>
      </c>
      <c r="AG1769">
        <v>0</v>
      </c>
      <c r="AH1769">
        <v>0</v>
      </c>
      <c r="AI1769" s="4">
        <v>40872</v>
      </c>
    </row>
    <row r="1770" spans="1:35">
      <c r="A1770">
        <v>1769</v>
      </c>
      <c r="B1770" t="str">
        <f>"002615"</f>
        <v>002615</v>
      </c>
      <c r="C1770" t="s">
        <v>9325</v>
      </c>
      <c r="D1770" s="4">
        <v>43190</v>
      </c>
      <c r="E1770" t="s">
        <v>623</v>
      </c>
      <c r="F1770" t="s">
        <v>1999</v>
      </c>
      <c r="G1770">
        <v>9217</v>
      </c>
      <c r="H1770">
        <v>0.03</v>
      </c>
      <c r="I1770">
        <v>1.8</v>
      </c>
      <c r="J1770">
        <v>1.47</v>
      </c>
      <c r="K1770" t="s">
        <v>2590</v>
      </c>
      <c r="L1770">
        <v>2.78</v>
      </c>
      <c r="M1770" t="s">
        <v>9326</v>
      </c>
      <c r="N1770" t="s">
        <v>9327</v>
      </c>
      <c r="O1770" t="s">
        <v>9328</v>
      </c>
      <c r="P1770" t="s">
        <v>6303</v>
      </c>
      <c r="Q1770">
        <v>-66.91</v>
      </c>
      <c r="R1770" t="s">
        <v>342</v>
      </c>
      <c r="S1770">
        <v>0.54</v>
      </c>
      <c r="T1770">
        <v>28.59</v>
      </c>
      <c r="U1770" t="s">
        <v>115</v>
      </c>
      <c r="V1770" t="s">
        <v>1162</v>
      </c>
      <c r="W1770" t="s">
        <v>1121</v>
      </c>
      <c r="X1770">
        <v>1.47</v>
      </c>
      <c r="Y1770" t="s">
        <v>2683</v>
      </c>
      <c r="Z1770" t="s">
        <v>1408</v>
      </c>
      <c r="AA1770" t="s">
        <v>293</v>
      </c>
      <c r="AB1770">
        <v>3.38</v>
      </c>
      <c r="AC1770" t="s">
        <v>544</v>
      </c>
      <c r="AD1770">
        <v>48.6</v>
      </c>
      <c r="AE1770" t="s">
        <v>4271</v>
      </c>
      <c r="AF1770">
        <v>0.09</v>
      </c>
      <c r="AG1770">
        <v>0</v>
      </c>
      <c r="AH1770">
        <v>0</v>
      </c>
      <c r="AI1770" s="4">
        <v>40795</v>
      </c>
    </row>
    <row r="1771" spans="1:35">
      <c r="A1771">
        <v>1770</v>
      </c>
      <c r="B1771" t="str">
        <f>"002579"</f>
        <v>002579</v>
      </c>
      <c r="C1771" t="s">
        <v>9329</v>
      </c>
      <c r="D1771" s="4">
        <v>43190</v>
      </c>
      <c r="E1771" t="s">
        <v>2224</v>
      </c>
      <c r="F1771" t="s">
        <v>2807</v>
      </c>
      <c r="G1771" t="s">
        <v>2554</v>
      </c>
      <c r="H1771">
        <v>0.05</v>
      </c>
      <c r="I1771">
        <v>2.69</v>
      </c>
      <c r="J1771">
        <v>1.47</v>
      </c>
      <c r="K1771" t="s">
        <v>1206</v>
      </c>
      <c r="L1771">
        <v>22.46</v>
      </c>
      <c r="M1771" t="s">
        <v>5901</v>
      </c>
      <c r="N1771" t="s">
        <v>9330</v>
      </c>
      <c r="O1771" t="s">
        <v>5901</v>
      </c>
      <c r="P1771" t="s">
        <v>9331</v>
      </c>
      <c r="Q1771">
        <v>361.32</v>
      </c>
      <c r="R1771" t="s">
        <v>1210</v>
      </c>
      <c r="S1771">
        <v>0.61</v>
      </c>
      <c r="T1771">
        <v>21.87</v>
      </c>
      <c r="U1771" t="s">
        <v>1920</v>
      </c>
      <c r="V1771" t="s">
        <v>354</v>
      </c>
      <c r="W1771" t="s">
        <v>3603</v>
      </c>
      <c r="X1771">
        <v>1.47</v>
      </c>
      <c r="Y1771" t="s">
        <v>919</v>
      </c>
      <c r="Z1771" t="s">
        <v>3570</v>
      </c>
      <c r="AA1771" t="s">
        <v>122</v>
      </c>
      <c r="AB1771">
        <v>2.94</v>
      </c>
      <c r="AC1771" t="s">
        <v>1094</v>
      </c>
      <c r="AD1771">
        <v>49.48</v>
      </c>
      <c r="AE1771" t="s">
        <v>806</v>
      </c>
      <c r="AF1771">
        <v>1.1299999999999999</v>
      </c>
      <c r="AG1771">
        <v>0</v>
      </c>
      <c r="AH1771">
        <v>0</v>
      </c>
      <c r="AI1771" s="4">
        <v>40669</v>
      </c>
    </row>
    <row r="1772" spans="1:35">
      <c r="A1772">
        <v>1771</v>
      </c>
      <c r="B1772" t="str">
        <f>"002435"</f>
        <v>002435</v>
      </c>
      <c r="C1772" t="s">
        <v>9332</v>
      </c>
      <c r="D1772" s="4">
        <v>43190</v>
      </c>
      <c r="E1772" t="s">
        <v>1575</v>
      </c>
      <c r="F1772" t="s">
        <v>2551</v>
      </c>
      <c r="G1772" t="s">
        <v>2266</v>
      </c>
      <c r="H1772">
        <v>0.09</v>
      </c>
      <c r="I1772">
        <v>6.18</v>
      </c>
      <c r="J1772">
        <v>1.47</v>
      </c>
      <c r="K1772" t="s">
        <v>1496</v>
      </c>
      <c r="L1772">
        <v>95.32</v>
      </c>
      <c r="M1772" t="s">
        <v>9333</v>
      </c>
      <c r="N1772" t="s">
        <v>9334</v>
      </c>
      <c r="O1772" t="s">
        <v>9335</v>
      </c>
      <c r="P1772" t="s">
        <v>9336</v>
      </c>
      <c r="Q1772">
        <v>17.239999999999998</v>
      </c>
      <c r="R1772" t="s">
        <v>889</v>
      </c>
      <c r="S1772">
        <v>0.56999999999999995</v>
      </c>
      <c r="T1772">
        <v>64.59</v>
      </c>
      <c r="U1772" t="s">
        <v>1195</v>
      </c>
      <c r="V1772" t="s">
        <v>612</v>
      </c>
      <c r="W1772" t="s">
        <v>895</v>
      </c>
      <c r="X1772">
        <v>1.47</v>
      </c>
      <c r="Y1772" t="s">
        <v>1214</v>
      </c>
      <c r="Z1772" t="s">
        <v>124</v>
      </c>
      <c r="AA1772" t="s">
        <v>6026</v>
      </c>
      <c r="AB1772">
        <v>1.5</v>
      </c>
      <c r="AC1772" t="s">
        <v>2167</v>
      </c>
      <c r="AD1772">
        <v>79.81</v>
      </c>
      <c r="AE1772" t="s">
        <v>2642</v>
      </c>
      <c r="AF1772">
        <v>4.58</v>
      </c>
      <c r="AG1772">
        <v>0</v>
      </c>
      <c r="AH1772">
        <v>0</v>
      </c>
      <c r="AI1772" s="4">
        <v>40347</v>
      </c>
    </row>
    <row r="1773" spans="1:35">
      <c r="A1773">
        <v>1772</v>
      </c>
      <c r="B1773" t="str">
        <f>"002172"</f>
        <v>002172</v>
      </c>
      <c r="C1773" t="s">
        <v>9337</v>
      </c>
      <c r="D1773" s="4">
        <v>43190</v>
      </c>
      <c r="E1773" t="s">
        <v>1979</v>
      </c>
      <c r="F1773" t="s">
        <v>2586</v>
      </c>
      <c r="G1773" t="s">
        <v>1862</v>
      </c>
      <c r="H1773">
        <v>0.03</v>
      </c>
      <c r="I1773">
        <v>2.44</v>
      </c>
      <c r="J1773">
        <v>1.47</v>
      </c>
      <c r="K1773" t="s">
        <v>192</v>
      </c>
      <c r="L1773">
        <v>-6.04</v>
      </c>
      <c r="M1773" t="s">
        <v>9338</v>
      </c>
      <c r="N1773">
        <v>0</v>
      </c>
      <c r="O1773" t="s">
        <v>9339</v>
      </c>
      <c r="P1773" t="s">
        <v>9340</v>
      </c>
      <c r="Q1773">
        <v>-62.82</v>
      </c>
      <c r="R1773" t="s">
        <v>9341</v>
      </c>
      <c r="S1773">
        <v>-0.09</v>
      </c>
      <c r="T1773">
        <v>8.4499999999999993</v>
      </c>
      <c r="U1773" t="s">
        <v>6368</v>
      </c>
      <c r="V1773" t="s">
        <v>2057</v>
      </c>
      <c r="W1773" t="s">
        <v>1678</v>
      </c>
      <c r="X1773">
        <v>1.47</v>
      </c>
      <c r="Y1773" t="s">
        <v>4889</v>
      </c>
      <c r="Z1773" t="s">
        <v>245</v>
      </c>
      <c r="AA1773" t="s">
        <v>920</v>
      </c>
      <c r="AB1773">
        <v>1.87</v>
      </c>
      <c r="AC1773" t="s">
        <v>391</v>
      </c>
      <c r="AD1773">
        <v>24.65</v>
      </c>
      <c r="AE1773" t="s">
        <v>1774</v>
      </c>
      <c r="AF1773">
        <v>1.49</v>
      </c>
      <c r="AG1773">
        <v>0</v>
      </c>
      <c r="AH1773">
        <v>0</v>
      </c>
      <c r="AI1773" s="4">
        <v>39346</v>
      </c>
    </row>
    <row r="1774" spans="1:35">
      <c r="A1774">
        <v>1773</v>
      </c>
      <c r="B1774" t="str">
        <f>"000937"</f>
        <v>000937</v>
      </c>
      <c r="C1774" t="s">
        <v>9342</v>
      </c>
      <c r="D1774" s="4">
        <v>43190</v>
      </c>
      <c r="E1774" t="s">
        <v>2498</v>
      </c>
      <c r="F1774" t="s">
        <v>1546</v>
      </c>
      <c r="G1774" t="s">
        <v>2097</v>
      </c>
      <c r="H1774">
        <v>0.08</v>
      </c>
      <c r="I1774">
        <v>5.59</v>
      </c>
      <c r="J1774">
        <v>1.47</v>
      </c>
      <c r="K1774" t="s">
        <v>2961</v>
      </c>
      <c r="L1774">
        <v>5.46</v>
      </c>
      <c r="M1774" t="s">
        <v>1615</v>
      </c>
      <c r="N1774" t="s">
        <v>9343</v>
      </c>
      <c r="O1774" t="s">
        <v>153</v>
      </c>
      <c r="P1774" t="s">
        <v>1184</v>
      </c>
      <c r="Q1774">
        <v>0.81</v>
      </c>
      <c r="R1774" t="s">
        <v>7628</v>
      </c>
      <c r="S1774">
        <v>2.83</v>
      </c>
      <c r="T1774">
        <v>26.61</v>
      </c>
      <c r="U1774" t="s">
        <v>9344</v>
      </c>
      <c r="V1774" t="s">
        <v>1114</v>
      </c>
      <c r="W1774" t="s">
        <v>1753</v>
      </c>
      <c r="X1774">
        <v>1.47</v>
      </c>
      <c r="Y1774" t="s">
        <v>1099</v>
      </c>
      <c r="Z1774" t="s">
        <v>929</v>
      </c>
      <c r="AA1774" t="s">
        <v>6654</v>
      </c>
      <c r="AB1774">
        <v>0.74</v>
      </c>
      <c r="AC1774" t="s">
        <v>838</v>
      </c>
      <c r="AD1774">
        <v>43.62</v>
      </c>
      <c r="AE1774" t="s">
        <v>2642</v>
      </c>
      <c r="AF1774">
        <v>1.18</v>
      </c>
      <c r="AG1774">
        <v>0</v>
      </c>
      <c r="AH1774">
        <v>0</v>
      </c>
      <c r="AI1774" s="4">
        <v>36412</v>
      </c>
    </row>
    <row r="1775" spans="1:35">
      <c r="A1775">
        <v>1774</v>
      </c>
      <c r="B1775" t="str">
        <f>"000732"</f>
        <v>000732</v>
      </c>
      <c r="C1775" t="s">
        <v>9345</v>
      </c>
      <c r="D1775" s="4">
        <v>43190</v>
      </c>
      <c r="E1775" t="s">
        <v>548</v>
      </c>
      <c r="F1775" t="s">
        <v>548</v>
      </c>
      <c r="G1775" t="s">
        <v>9346</v>
      </c>
      <c r="H1775">
        <v>0.19</v>
      </c>
      <c r="I1775">
        <v>13.46</v>
      </c>
      <c r="J1775">
        <v>1.47</v>
      </c>
      <c r="K1775" t="s">
        <v>2390</v>
      </c>
      <c r="L1775">
        <v>35.729999999999997</v>
      </c>
      <c r="M1775" t="s">
        <v>335</v>
      </c>
      <c r="N1775" t="s">
        <v>9347</v>
      </c>
      <c r="O1775" t="s">
        <v>2284</v>
      </c>
      <c r="P1775" t="s">
        <v>676</v>
      </c>
      <c r="Q1775">
        <v>3.08</v>
      </c>
      <c r="R1775" t="s">
        <v>366</v>
      </c>
      <c r="S1775">
        <v>5.6</v>
      </c>
      <c r="T1775">
        <v>27.24</v>
      </c>
      <c r="U1775" t="s">
        <v>9348</v>
      </c>
      <c r="V1775" t="s">
        <v>7177</v>
      </c>
      <c r="W1775" t="s">
        <v>2100</v>
      </c>
      <c r="X1775">
        <v>1.47</v>
      </c>
      <c r="Y1775" t="s">
        <v>9349</v>
      </c>
      <c r="Z1775" t="s">
        <v>970</v>
      </c>
      <c r="AA1775" t="s">
        <v>9350</v>
      </c>
      <c r="AB1775">
        <v>1.5</v>
      </c>
      <c r="AC1775" t="s">
        <v>1251</v>
      </c>
      <c r="AD1775">
        <v>7.38</v>
      </c>
      <c r="AE1775" t="s">
        <v>1061</v>
      </c>
      <c r="AF1775">
        <v>4.07</v>
      </c>
      <c r="AG1775">
        <v>0</v>
      </c>
      <c r="AH1775">
        <v>0</v>
      </c>
      <c r="AI1775" s="4">
        <v>35615</v>
      </c>
    </row>
    <row r="1776" spans="1:35">
      <c r="A1776">
        <v>1775</v>
      </c>
      <c r="B1776" t="str">
        <f>"000505"</f>
        <v>000505</v>
      </c>
      <c r="C1776" t="s">
        <v>9351</v>
      </c>
      <c r="D1776" s="4">
        <v>43190</v>
      </c>
      <c r="E1776" t="s">
        <v>116</v>
      </c>
      <c r="F1776" t="s">
        <v>204</v>
      </c>
      <c r="G1776">
        <v>0</v>
      </c>
      <c r="H1776">
        <v>0.05</v>
      </c>
      <c r="I1776">
        <v>3.11</v>
      </c>
      <c r="J1776">
        <v>1.47</v>
      </c>
      <c r="K1776" t="s">
        <v>516</v>
      </c>
      <c r="L1776">
        <v>20.78</v>
      </c>
      <c r="M1776" t="s">
        <v>4152</v>
      </c>
      <c r="N1776" t="s">
        <v>7045</v>
      </c>
      <c r="O1776" t="s">
        <v>9352</v>
      </c>
      <c r="P1776" t="s">
        <v>5556</v>
      </c>
      <c r="Q1776">
        <v>4.63</v>
      </c>
      <c r="R1776" t="s">
        <v>9353</v>
      </c>
      <c r="S1776">
        <v>-0.39</v>
      </c>
      <c r="T1776">
        <v>7.35</v>
      </c>
      <c r="U1776" t="s">
        <v>888</v>
      </c>
      <c r="V1776" t="s">
        <v>1601</v>
      </c>
      <c r="W1776" t="s">
        <v>1307</v>
      </c>
      <c r="X1776">
        <v>1.47</v>
      </c>
      <c r="Y1776" t="s">
        <v>1380</v>
      </c>
      <c r="Z1776" t="s">
        <v>1350</v>
      </c>
      <c r="AA1776" t="s">
        <v>1457</v>
      </c>
      <c r="AB1776">
        <v>2.06</v>
      </c>
      <c r="AC1776" t="s">
        <v>514</v>
      </c>
      <c r="AD1776">
        <v>36.96</v>
      </c>
      <c r="AE1776" t="s">
        <v>983</v>
      </c>
      <c r="AF1776">
        <v>2.3199999999999998</v>
      </c>
      <c r="AG1776" t="s">
        <v>9354</v>
      </c>
      <c r="AH1776">
        <v>0</v>
      </c>
      <c r="AI1776" s="4">
        <v>33959</v>
      </c>
    </row>
    <row r="1777" spans="1:35">
      <c r="A1777">
        <v>1776</v>
      </c>
      <c r="B1777" t="str">
        <f>"000410"</f>
        <v>000410</v>
      </c>
      <c r="C1777" t="s">
        <v>9355</v>
      </c>
      <c r="D1777" s="4">
        <v>43190</v>
      </c>
      <c r="E1777" t="s">
        <v>3712</v>
      </c>
      <c r="F1777" t="s">
        <v>175</v>
      </c>
      <c r="G1777">
        <v>5392</v>
      </c>
      <c r="H1777">
        <v>0.02</v>
      </c>
      <c r="I1777">
        <v>1.1499999999999999</v>
      </c>
      <c r="J1777">
        <v>1.47</v>
      </c>
      <c r="K1777" t="s">
        <v>76</v>
      </c>
      <c r="L1777">
        <v>85.42</v>
      </c>
      <c r="M1777" t="s">
        <v>4615</v>
      </c>
      <c r="N1777" t="s">
        <v>9356</v>
      </c>
      <c r="O1777" t="s">
        <v>8535</v>
      </c>
      <c r="P1777" t="s">
        <v>7889</v>
      </c>
      <c r="Q1777">
        <v>104.79</v>
      </c>
      <c r="R1777" t="s">
        <v>4078</v>
      </c>
      <c r="S1777">
        <v>-1.78</v>
      </c>
      <c r="T1777">
        <v>25.52</v>
      </c>
      <c r="U1777" t="s">
        <v>1221</v>
      </c>
      <c r="V1777" t="s">
        <v>587</v>
      </c>
      <c r="W1777" t="s">
        <v>589</v>
      </c>
      <c r="X1777">
        <v>1.47</v>
      </c>
      <c r="Y1777" t="s">
        <v>4304</v>
      </c>
      <c r="Z1777" t="s">
        <v>3446</v>
      </c>
      <c r="AA1777" t="s">
        <v>114</v>
      </c>
      <c r="AB1777">
        <v>6.59</v>
      </c>
      <c r="AC1777" t="s">
        <v>2930</v>
      </c>
      <c r="AD1777">
        <v>4.38</v>
      </c>
      <c r="AE1777" t="s">
        <v>1214</v>
      </c>
      <c r="AF1777">
        <v>1.76</v>
      </c>
      <c r="AG1777">
        <v>0</v>
      </c>
      <c r="AH1777">
        <v>0</v>
      </c>
      <c r="AI1777" s="4">
        <v>35264</v>
      </c>
    </row>
    <row r="1778" spans="1:35">
      <c r="A1778">
        <v>1777</v>
      </c>
      <c r="B1778" t="str">
        <f>"603299"</f>
        <v>603299</v>
      </c>
      <c r="C1778" t="s">
        <v>9357</v>
      </c>
      <c r="D1778" s="4">
        <v>43190</v>
      </c>
      <c r="E1778" t="s">
        <v>1450</v>
      </c>
      <c r="F1778" t="s">
        <v>234</v>
      </c>
      <c r="G1778">
        <v>5334</v>
      </c>
      <c r="H1778">
        <v>0.06</v>
      </c>
      <c r="I1778">
        <v>3.77</v>
      </c>
      <c r="J1778">
        <v>1.46</v>
      </c>
      <c r="K1778" t="s">
        <v>504</v>
      </c>
      <c r="L1778">
        <v>9.8000000000000007</v>
      </c>
      <c r="M1778" t="s">
        <v>2972</v>
      </c>
      <c r="N1778" t="s">
        <v>9358</v>
      </c>
      <c r="O1778" t="s">
        <v>9359</v>
      </c>
      <c r="P1778" t="s">
        <v>9360</v>
      </c>
      <c r="Q1778">
        <v>8.08</v>
      </c>
      <c r="R1778" t="s">
        <v>1849</v>
      </c>
      <c r="S1778">
        <v>1.05</v>
      </c>
      <c r="T1778">
        <v>27.69</v>
      </c>
      <c r="U1778" t="s">
        <v>740</v>
      </c>
      <c r="V1778" t="s">
        <v>833</v>
      </c>
      <c r="W1778" t="s">
        <v>1504</v>
      </c>
      <c r="X1778">
        <v>1.46</v>
      </c>
      <c r="Y1778" t="s">
        <v>253</v>
      </c>
      <c r="Z1778" t="s">
        <v>1390</v>
      </c>
      <c r="AA1778" t="s">
        <v>122</v>
      </c>
      <c r="AB1778">
        <v>2.17</v>
      </c>
      <c r="AC1778" t="s">
        <v>114</v>
      </c>
      <c r="AD1778">
        <v>46.59</v>
      </c>
      <c r="AE1778" t="s">
        <v>1852</v>
      </c>
      <c r="AF1778">
        <v>1.58</v>
      </c>
      <c r="AG1778">
        <v>0</v>
      </c>
      <c r="AH1778">
        <v>0</v>
      </c>
      <c r="AI1778" s="4">
        <v>42369</v>
      </c>
    </row>
    <row r="1779" spans="1:35">
      <c r="A1779">
        <v>1778</v>
      </c>
      <c r="B1779" t="str">
        <f>"603711"</f>
        <v>603711</v>
      </c>
      <c r="C1779" t="s">
        <v>9361</v>
      </c>
      <c r="D1779" s="4">
        <v>43190</v>
      </c>
      <c r="E1779" t="s">
        <v>150</v>
      </c>
      <c r="F1779" t="s">
        <v>2417</v>
      </c>
      <c r="G1779">
        <v>1660</v>
      </c>
      <c r="H1779">
        <v>7.0000000000000007E-2</v>
      </c>
      <c r="I1779">
        <v>4.8899999999999997</v>
      </c>
      <c r="J1779">
        <v>1.46</v>
      </c>
      <c r="K1779" t="s">
        <v>1518</v>
      </c>
      <c r="L1779">
        <v>111.41</v>
      </c>
      <c r="M1779" t="s">
        <v>9362</v>
      </c>
      <c r="N1779" t="s">
        <v>9363</v>
      </c>
      <c r="O1779" t="s">
        <v>5807</v>
      </c>
      <c r="P1779" t="s">
        <v>5741</v>
      </c>
      <c r="Q1779">
        <v>35.04</v>
      </c>
      <c r="R1779" t="s">
        <v>978</v>
      </c>
      <c r="S1779">
        <v>2.57</v>
      </c>
      <c r="T1779">
        <v>35.54</v>
      </c>
      <c r="U1779" t="s">
        <v>253</v>
      </c>
      <c r="V1779" t="s">
        <v>855</v>
      </c>
      <c r="W1779" t="s">
        <v>2580</v>
      </c>
      <c r="X1779">
        <v>1.46</v>
      </c>
      <c r="Y1779" t="s">
        <v>666</v>
      </c>
      <c r="Z1779" t="s">
        <v>2792</v>
      </c>
      <c r="AA1779" t="s">
        <v>9364</v>
      </c>
      <c r="AB1779">
        <v>4.26</v>
      </c>
      <c r="AC1779" t="s">
        <v>419</v>
      </c>
      <c r="AD1779">
        <v>78.81</v>
      </c>
      <c r="AE1779" t="s">
        <v>735</v>
      </c>
      <c r="AF1779">
        <v>1.17</v>
      </c>
      <c r="AG1779">
        <v>0</v>
      </c>
      <c r="AH1779">
        <v>0</v>
      </c>
      <c r="AI1779" s="4">
        <v>43069</v>
      </c>
    </row>
    <row r="1780" spans="1:35">
      <c r="A1780">
        <v>1779</v>
      </c>
      <c r="B1780" t="str">
        <f>"600676"</f>
        <v>600676</v>
      </c>
      <c r="C1780" t="s">
        <v>9365</v>
      </c>
      <c r="D1780" s="4">
        <v>43190</v>
      </c>
      <c r="E1780" t="s">
        <v>978</v>
      </c>
      <c r="F1780" t="s">
        <v>2767</v>
      </c>
      <c r="G1780" t="s">
        <v>3438</v>
      </c>
      <c r="H1780">
        <v>0.08</v>
      </c>
      <c r="I1780">
        <v>5.55</v>
      </c>
      <c r="J1780">
        <v>1.46</v>
      </c>
      <c r="K1780" t="s">
        <v>789</v>
      </c>
      <c r="L1780">
        <v>12.52</v>
      </c>
      <c r="M1780" t="s">
        <v>280</v>
      </c>
      <c r="N1780" t="s">
        <v>9366</v>
      </c>
      <c r="O1780" t="s">
        <v>1525</v>
      </c>
      <c r="P1780" t="s">
        <v>3040</v>
      </c>
      <c r="Q1780">
        <v>-2.12</v>
      </c>
      <c r="R1780" t="s">
        <v>1752</v>
      </c>
      <c r="S1780">
        <v>1.87</v>
      </c>
      <c r="T1780">
        <v>9.1300000000000008</v>
      </c>
      <c r="U1780" t="s">
        <v>5902</v>
      </c>
      <c r="V1780" t="s">
        <v>1327</v>
      </c>
      <c r="W1780" t="s">
        <v>223</v>
      </c>
      <c r="X1780">
        <v>1.46</v>
      </c>
      <c r="Y1780" t="s">
        <v>1881</v>
      </c>
      <c r="Z1780" t="s">
        <v>789</v>
      </c>
      <c r="AA1780" t="s">
        <v>1909</v>
      </c>
      <c r="AB1780">
        <v>0.84</v>
      </c>
      <c r="AC1780" t="s">
        <v>4186</v>
      </c>
      <c r="AD1780">
        <v>64.27</v>
      </c>
      <c r="AE1780" t="s">
        <v>440</v>
      </c>
      <c r="AF1780">
        <v>2.3199999999999998</v>
      </c>
      <c r="AG1780">
        <v>0</v>
      </c>
      <c r="AH1780">
        <v>0</v>
      </c>
      <c r="AI1780" s="4">
        <v>34240</v>
      </c>
    </row>
    <row r="1781" spans="1:35">
      <c r="A1781">
        <v>1780</v>
      </c>
      <c r="B1781" t="str">
        <f>"600634"</f>
        <v>600634</v>
      </c>
      <c r="C1781" t="s">
        <v>9367</v>
      </c>
      <c r="D1781" s="4">
        <v>43190</v>
      </c>
      <c r="E1781" t="s">
        <v>2310</v>
      </c>
      <c r="F1781" t="s">
        <v>2310</v>
      </c>
      <c r="G1781">
        <v>6658</v>
      </c>
      <c r="H1781">
        <v>0.05</v>
      </c>
      <c r="I1781">
        <v>3.51</v>
      </c>
      <c r="J1781">
        <v>1.46</v>
      </c>
      <c r="K1781" t="s">
        <v>798</v>
      </c>
      <c r="L1781">
        <v>33.82</v>
      </c>
      <c r="M1781" t="s">
        <v>9368</v>
      </c>
      <c r="N1781" t="s">
        <v>779</v>
      </c>
      <c r="O1781" t="s">
        <v>9369</v>
      </c>
      <c r="P1781" t="s">
        <v>9370</v>
      </c>
      <c r="Q1781">
        <v>2.14</v>
      </c>
      <c r="R1781" t="s">
        <v>267</v>
      </c>
      <c r="S1781">
        <v>0.69</v>
      </c>
      <c r="T1781">
        <v>86.92</v>
      </c>
      <c r="U1781" t="s">
        <v>4228</v>
      </c>
      <c r="V1781" t="s">
        <v>389</v>
      </c>
      <c r="W1781" t="s">
        <v>7010</v>
      </c>
      <c r="X1781">
        <v>1.46</v>
      </c>
      <c r="Y1781" t="s">
        <v>511</v>
      </c>
      <c r="Z1781" t="s">
        <v>308</v>
      </c>
      <c r="AA1781" t="s">
        <v>576</v>
      </c>
      <c r="AB1781">
        <v>0.79</v>
      </c>
      <c r="AC1781" t="s">
        <v>418</v>
      </c>
      <c r="AD1781">
        <v>33</v>
      </c>
      <c r="AE1781" t="s">
        <v>4236</v>
      </c>
      <c r="AF1781">
        <v>1.72</v>
      </c>
      <c r="AG1781">
        <v>0</v>
      </c>
      <c r="AH1781">
        <v>0</v>
      </c>
      <c r="AI1781" s="4">
        <v>34032</v>
      </c>
    </row>
    <row r="1782" spans="1:35">
      <c r="A1782">
        <v>1781</v>
      </c>
      <c r="B1782" t="str">
        <f>"600106"</f>
        <v>600106</v>
      </c>
      <c r="C1782" t="s">
        <v>9371</v>
      </c>
      <c r="D1782" s="4">
        <v>43190</v>
      </c>
      <c r="E1782" t="s">
        <v>602</v>
      </c>
      <c r="F1782" t="s">
        <v>602</v>
      </c>
      <c r="G1782" t="s">
        <v>5991</v>
      </c>
      <c r="H1782">
        <v>0.05</v>
      </c>
      <c r="I1782">
        <v>3.19</v>
      </c>
      <c r="J1782">
        <v>1.46</v>
      </c>
      <c r="K1782" t="s">
        <v>9372</v>
      </c>
      <c r="L1782">
        <v>-0.16</v>
      </c>
      <c r="M1782" t="s">
        <v>4069</v>
      </c>
      <c r="N1782" t="s">
        <v>9373</v>
      </c>
      <c r="O1782" t="s">
        <v>4069</v>
      </c>
      <c r="P1782" t="s">
        <v>1850</v>
      </c>
      <c r="Q1782">
        <v>9</v>
      </c>
      <c r="R1782" t="s">
        <v>1062</v>
      </c>
      <c r="S1782">
        <v>1.4</v>
      </c>
      <c r="T1782">
        <v>91.18</v>
      </c>
      <c r="U1782" t="s">
        <v>2591</v>
      </c>
      <c r="V1782" t="s">
        <v>538</v>
      </c>
      <c r="W1782" t="s">
        <v>383</v>
      </c>
      <c r="X1782">
        <v>1.46</v>
      </c>
      <c r="Y1782" t="s">
        <v>2535</v>
      </c>
      <c r="Z1782" t="s">
        <v>2148</v>
      </c>
      <c r="AA1782" t="s">
        <v>306</v>
      </c>
      <c r="AB1782">
        <v>0.95</v>
      </c>
      <c r="AC1782" t="s">
        <v>1593</v>
      </c>
      <c r="AD1782">
        <v>52.75</v>
      </c>
      <c r="AE1782" t="s">
        <v>9374</v>
      </c>
      <c r="AF1782">
        <v>0.05</v>
      </c>
      <c r="AG1782">
        <v>0</v>
      </c>
      <c r="AH1782">
        <v>0</v>
      </c>
      <c r="AI1782" s="4">
        <v>35599</v>
      </c>
    </row>
    <row r="1783" spans="1:35">
      <c r="A1783">
        <v>1782</v>
      </c>
      <c r="B1783" t="str">
        <f>"300486"</f>
        <v>300486</v>
      </c>
      <c r="C1783" t="s">
        <v>9375</v>
      </c>
      <c r="D1783" s="4">
        <v>43190</v>
      </c>
      <c r="E1783" t="s">
        <v>552</v>
      </c>
      <c r="F1783" t="s">
        <v>9376</v>
      </c>
      <c r="G1783">
        <v>4853</v>
      </c>
      <c r="H1783">
        <v>0.06</v>
      </c>
      <c r="I1783">
        <v>6.58</v>
      </c>
      <c r="J1783">
        <v>1.46</v>
      </c>
      <c r="K1783" t="s">
        <v>4786</v>
      </c>
      <c r="L1783">
        <v>-38.700000000000003</v>
      </c>
      <c r="M1783" t="s">
        <v>8904</v>
      </c>
      <c r="N1783" t="s">
        <v>3486</v>
      </c>
      <c r="O1783" t="s">
        <v>4490</v>
      </c>
      <c r="P1783" t="s">
        <v>8277</v>
      </c>
      <c r="Q1783">
        <v>-34.08</v>
      </c>
      <c r="R1783" t="s">
        <v>1435</v>
      </c>
      <c r="S1783">
        <v>1.34</v>
      </c>
      <c r="T1783">
        <v>23.65</v>
      </c>
      <c r="U1783" t="s">
        <v>747</v>
      </c>
      <c r="V1783" t="s">
        <v>852</v>
      </c>
      <c r="W1783" t="s">
        <v>3297</v>
      </c>
      <c r="X1783">
        <v>1.46</v>
      </c>
      <c r="Y1783" t="s">
        <v>364</v>
      </c>
      <c r="Z1783" t="s">
        <v>123</v>
      </c>
      <c r="AA1783" t="s">
        <v>5886</v>
      </c>
      <c r="AB1783">
        <v>2.48</v>
      </c>
      <c r="AC1783" t="s">
        <v>699</v>
      </c>
      <c r="AD1783">
        <v>69.36</v>
      </c>
      <c r="AE1783" t="s">
        <v>5203</v>
      </c>
      <c r="AF1783">
        <v>4.2300000000000004</v>
      </c>
      <c r="AG1783">
        <v>0</v>
      </c>
      <c r="AH1783">
        <v>0</v>
      </c>
      <c r="AI1783" s="4">
        <v>42185</v>
      </c>
    </row>
    <row r="1784" spans="1:35">
      <c r="A1784">
        <v>1783</v>
      </c>
      <c r="B1784" t="str">
        <f>"300165"</f>
        <v>300165</v>
      </c>
      <c r="C1784" t="s">
        <v>9377</v>
      </c>
      <c r="D1784" s="4">
        <v>43190</v>
      </c>
      <c r="E1784" t="s">
        <v>2112</v>
      </c>
      <c r="F1784" t="s">
        <v>145</v>
      </c>
      <c r="G1784" t="s">
        <v>268</v>
      </c>
      <c r="H1784">
        <v>0.05</v>
      </c>
      <c r="I1784">
        <v>3.49</v>
      </c>
      <c r="J1784">
        <v>1.46</v>
      </c>
      <c r="K1784" t="s">
        <v>1011</v>
      </c>
      <c r="L1784">
        <v>82.17</v>
      </c>
      <c r="M1784" t="s">
        <v>7825</v>
      </c>
      <c r="N1784" t="s">
        <v>9378</v>
      </c>
      <c r="O1784" t="s">
        <v>6294</v>
      </c>
      <c r="P1784" t="s">
        <v>9379</v>
      </c>
      <c r="Q1784">
        <v>34.770000000000003</v>
      </c>
      <c r="R1784" t="s">
        <v>1001</v>
      </c>
      <c r="S1784">
        <v>0.69</v>
      </c>
      <c r="T1784">
        <v>43.47</v>
      </c>
      <c r="U1784" t="s">
        <v>261</v>
      </c>
      <c r="V1784" t="s">
        <v>124</v>
      </c>
      <c r="W1784" t="s">
        <v>1264</v>
      </c>
      <c r="X1784">
        <v>1.46</v>
      </c>
      <c r="Y1784" t="s">
        <v>4427</v>
      </c>
      <c r="Z1784" t="s">
        <v>442</v>
      </c>
      <c r="AA1784" t="s">
        <v>7904</v>
      </c>
      <c r="AB1784">
        <v>1.53</v>
      </c>
      <c r="AC1784" t="s">
        <v>76</v>
      </c>
      <c r="AD1784">
        <v>73.53</v>
      </c>
      <c r="AE1784" t="s">
        <v>2693</v>
      </c>
      <c r="AF1784">
        <v>1.66</v>
      </c>
      <c r="AG1784">
        <v>0</v>
      </c>
      <c r="AH1784">
        <v>0</v>
      </c>
      <c r="AI1784" s="4">
        <v>40568</v>
      </c>
    </row>
    <row r="1785" spans="1:35">
      <c r="A1785">
        <v>1784</v>
      </c>
      <c r="B1785" t="str">
        <f>"002280"</f>
        <v>002280</v>
      </c>
      <c r="C1785" t="s">
        <v>9380</v>
      </c>
      <c r="D1785" s="4">
        <v>43190</v>
      </c>
      <c r="E1785" t="s">
        <v>789</v>
      </c>
      <c r="F1785" t="s">
        <v>510</v>
      </c>
      <c r="G1785" t="s">
        <v>6659</v>
      </c>
      <c r="H1785">
        <v>0.05</v>
      </c>
      <c r="I1785">
        <v>3.14</v>
      </c>
      <c r="J1785">
        <v>1.46</v>
      </c>
      <c r="K1785" t="s">
        <v>235</v>
      </c>
      <c r="L1785">
        <v>2018.24</v>
      </c>
      <c r="M1785" t="s">
        <v>711</v>
      </c>
      <c r="N1785" t="s">
        <v>985</v>
      </c>
      <c r="O1785" t="s">
        <v>1974</v>
      </c>
      <c r="P1785" t="s">
        <v>1119</v>
      </c>
      <c r="Q1785">
        <v>46.13</v>
      </c>
      <c r="R1785" t="s">
        <v>1868</v>
      </c>
      <c r="S1785">
        <v>0.37</v>
      </c>
      <c r="T1785">
        <v>15.8</v>
      </c>
      <c r="U1785" t="s">
        <v>413</v>
      </c>
      <c r="V1785" t="s">
        <v>1418</v>
      </c>
      <c r="W1785" t="s">
        <v>1506</v>
      </c>
      <c r="X1785">
        <v>1.46</v>
      </c>
      <c r="Y1785" t="s">
        <v>4937</v>
      </c>
      <c r="Z1785" t="s">
        <v>886</v>
      </c>
      <c r="AA1785" t="s">
        <v>602</v>
      </c>
      <c r="AB1785">
        <v>1.67</v>
      </c>
      <c r="AC1785" t="s">
        <v>3826</v>
      </c>
      <c r="AD1785">
        <v>50.06</v>
      </c>
      <c r="AE1785" t="s">
        <v>2071</v>
      </c>
      <c r="AF1785">
        <v>1.42</v>
      </c>
      <c r="AG1785">
        <v>0</v>
      </c>
      <c r="AH1785">
        <v>0</v>
      </c>
      <c r="AI1785" s="4">
        <v>40046</v>
      </c>
    </row>
    <row r="1786" spans="1:35">
      <c r="A1786">
        <v>1785</v>
      </c>
      <c r="B1786" t="str">
        <f>"002271"</f>
        <v>002271</v>
      </c>
      <c r="C1786" t="s">
        <v>9381</v>
      </c>
      <c r="D1786" s="4">
        <v>43190</v>
      </c>
      <c r="E1786" t="s">
        <v>855</v>
      </c>
      <c r="F1786" t="s">
        <v>59</v>
      </c>
      <c r="G1786" t="s">
        <v>2747</v>
      </c>
      <c r="H1786">
        <v>7.0000000000000007E-2</v>
      </c>
      <c r="I1786">
        <v>4.1900000000000004</v>
      </c>
      <c r="J1786">
        <v>1.46</v>
      </c>
      <c r="K1786" t="s">
        <v>183</v>
      </c>
      <c r="L1786">
        <v>27.16</v>
      </c>
      <c r="M1786" t="s">
        <v>677</v>
      </c>
      <c r="N1786">
        <v>0</v>
      </c>
      <c r="O1786" t="s">
        <v>280</v>
      </c>
      <c r="P1786" t="s">
        <v>2965</v>
      </c>
      <c r="Q1786">
        <v>25.52</v>
      </c>
      <c r="R1786" t="s">
        <v>588</v>
      </c>
      <c r="S1786">
        <v>2.5499999999999998</v>
      </c>
      <c r="T1786">
        <v>35.950000000000003</v>
      </c>
      <c r="U1786" t="s">
        <v>719</v>
      </c>
      <c r="V1786" t="s">
        <v>7197</v>
      </c>
      <c r="W1786" t="s">
        <v>691</v>
      </c>
      <c r="X1786">
        <v>1.46</v>
      </c>
      <c r="Y1786" t="s">
        <v>530</v>
      </c>
      <c r="Z1786" t="s">
        <v>3016</v>
      </c>
      <c r="AA1786" t="s">
        <v>391</v>
      </c>
      <c r="AB1786">
        <v>7.99</v>
      </c>
      <c r="AC1786" t="s">
        <v>3826</v>
      </c>
      <c r="AD1786">
        <v>52.71</v>
      </c>
      <c r="AE1786" t="s">
        <v>691</v>
      </c>
      <c r="AF1786">
        <v>0.91</v>
      </c>
      <c r="AG1786">
        <v>0</v>
      </c>
      <c r="AH1786">
        <v>0</v>
      </c>
      <c r="AI1786" s="4">
        <v>39701</v>
      </c>
    </row>
    <row r="1787" spans="1:35">
      <c r="A1787">
        <v>1786</v>
      </c>
      <c r="B1787" t="str">
        <f>"002034"</f>
        <v>002034</v>
      </c>
      <c r="C1787" t="s">
        <v>9382</v>
      </c>
      <c r="D1787" s="4">
        <v>43190</v>
      </c>
      <c r="E1787" t="s">
        <v>2284</v>
      </c>
      <c r="F1787" t="s">
        <v>9383</v>
      </c>
      <c r="G1787">
        <v>9947</v>
      </c>
      <c r="H1787">
        <v>0.12</v>
      </c>
      <c r="I1787">
        <v>7.97</v>
      </c>
      <c r="J1787">
        <v>1.46</v>
      </c>
      <c r="K1787" t="s">
        <v>1366</v>
      </c>
      <c r="L1787">
        <v>14.01</v>
      </c>
      <c r="M1787" t="s">
        <v>8749</v>
      </c>
      <c r="N1787">
        <v>0</v>
      </c>
      <c r="O1787" t="s">
        <v>9296</v>
      </c>
      <c r="P1787" t="s">
        <v>9384</v>
      </c>
      <c r="Q1787">
        <v>1485.24</v>
      </c>
      <c r="R1787" t="s">
        <v>1330</v>
      </c>
      <c r="S1787">
        <v>1.33</v>
      </c>
      <c r="T1787">
        <v>43.83</v>
      </c>
      <c r="U1787" t="s">
        <v>111</v>
      </c>
      <c r="V1787" t="s">
        <v>924</v>
      </c>
      <c r="W1787" t="s">
        <v>405</v>
      </c>
      <c r="X1787">
        <v>1.46</v>
      </c>
      <c r="Y1787" t="s">
        <v>304</v>
      </c>
      <c r="Z1787" t="s">
        <v>1907</v>
      </c>
      <c r="AA1787" t="s">
        <v>699</v>
      </c>
      <c r="AB1787">
        <v>2.4700000000000002</v>
      </c>
      <c r="AC1787" t="s">
        <v>1391</v>
      </c>
      <c r="AD1787">
        <v>66.069999999999993</v>
      </c>
      <c r="AE1787" t="s">
        <v>253</v>
      </c>
      <c r="AF1787">
        <v>5.53</v>
      </c>
      <c r="AG1787">
        <v>0</v>
      </c>
      <c r="AH1787">
        <v>0</v>
      </c>
      <c r="AI1787" s="4">
        <v>38225</v>
      </c>
    </row>
    <row r="1788" spans="1:35">
      <c r="A1788">
        <v>1787</v>
      </c>
      <c r="B1788" t="str">
        <f>"000939"</f>
        <v>000939</v>
      </c>
      <c r="C1788" t="s">
        <v>9385</v>
      </c>
      <c r="D1788" s="4">
        <v>43008</v>
      </c>
      <c r="E1788" t="s">
        <v>230</v>
      </c>
      <c r="F1788" t="s">
        <v>1161</v>
      </c>
      <c r="G1788" t="s">
        <v>5898</v>
      </c>
      <c r="H1788">
        <v>0.04</v>
      </c>
      <c r="I1788">
        <v>3.06</v>
      </c>
      <c r="J1788">
        <v>1.46</v>
      </c>
      <c r="K1788" t="s">
        <v>1890</v>
      </c>
      <c r="L1788">
        <v>7.94</v>
      </c>
      <c r="M1788" t="s">
        <v>9386</v>
      </c>
      <c r="N1788" t="s">
        <v>9387</v>
      </c>
      <c r="O1788" t="s">
        <v>559</v>
      </c>
      <c r="P1788" t="s">
        <v>284</v>
      </c>
      <c r="Q1788">
        <v>3.52</v>
      </c>
      <c r="R1788" t="s">
        <v>420</v>
      </c>
      <c r="S1788">
        <v>0.55000000000000004</v>
      </c>
      <c r="T1788">
        <v>29.83</v>
      </c>
      <c r="U1788" t="s">
        <v>714</v>
      </c>
      <c r="V1788" t="s">
        <v>465</v>
      </c>
      <c r="W1788" t="s">
        <v>1222</v>
      </c>
      <c r="X1788">
        <v>1.46</v>
      </c>
      <c r="Y1788" t="s">
        <v>439</v>
      </c>
      <c r="Z1788" t="s">
        <v>1820</v>
      </c>
      <c r="AA1788" t="s">
        <v>814</v>
      </c>
      <c r="AB1788">
        <v>1.63</v>
      </c>
      <c r="AC1788" t="s">
        <v>1089</v>
      </c>
      <c r="AD1788">
        <v>30.17</v>
      </c>
      <c r="AE1788" t="s">
        <v>2300</v>
      </c>
      <c r="AF1788">
        <v>1.46</v>
      </c>
      <c r="AG1788">
        <v>0</v>
      </c>
      <c r="AH1788">
        <v>0</v>
      </c>
      <c r="AI1788" s="4">
        <v>36426</v>
      </c>
    </row>
    <row r="1789" spans="1:35">
      <c r="A1789">
        <v>1788</v>
      </c>
      <c r="B1789" t="str">
        <f>"000547"</f>
        <v>000547</v>
      </c>
      <c r="C1789" t="s">
        <v>9388</v>
      </c>
      <c r="D1789" s="4">
        <v>43190</v>
      </c>
      <c r="E1789" t="s">
        <v>162</v>
      </c>
      <c r="F1789" t="s">
        <v>1084</v>
      </c>
      <c r="G1789">
        <v>8005</v>
      </c>
      <c r="H1789">
        <v>0.06</v>
      </c>
      <c r="I1789">
        <v>3.83</v>
      </c>
      <c r="J1789">
        <v>1.46</v>
      </c>
      <c r="K1789" t="s">
        <v>2230</v>
      </c>
      <c r="L1789">
        <v>24.24</v>
      </c>
      <c r="M1789" t="s">
        <v>9389</v>
      </c>
      <c r="N1789">
        <v>0</v>
      </c>
      <c r="O1789" t="s">
        <v>9390</v>
      </c>
      <c r="P1789" t="s">
        <v>7351</v>
      </c>
      <c r="Q1789">
        <v>28.67</v>
      </c>
      <c r="R1789" t="s">
        <v>1094</v>
      </c>
      <c r="S1789">
        <v>0.71</v>
      </c>
      <c r="T1789">
        <v>47.3</v>
      </c>
      <c r="U1789" t="s">
        <v>2493</v>
      </c>
      <c r="V1789" t="s">
        <v>1322</v>
      </c>
      <c r="W1789" t="s">
        <v>1869</v>
      </c>
      <c r="X1789">
        <v>1.46</v>
      </c>
      <c r="Y1789" t="s">
        <v>1569</v>
      </c>
      <c r="Z1789" t="s">
        <v>1244</v>
      </c>
      <c r="AA1789" t="s">
        <v>3995</v>
      </c>
      <c r="AB1789">
        <v>1.95</v>
      </c>
      <c r="AC1789" t="s">
        <v>1735</v>
      </c>
      <c r="AD1789">
        <v>73.540000000000006</v>
      </c>
      <c r="AE1789" t="s">
        <v>2105</v>
      </c>
      <c r="AF1789">
        <v>2.98</v>
      </c>
      <c r="AG1789">
        <v>0</v>
      </c>
      <c r="AH1789">
        <v>0</v>
      </c>
      <c r="AI1789" s="4">
        <v>34303</v>
      </c>
    </row>
    <row r="1790" spans="1:35">
      <c r="A1790">
        <v>1789</v>
      </c>
      <c r="B1790" t="str">
        <f>"600614"</f>
        <v>600614</v>
      </c>
      <c r="C1790" t="s">
        <v>9391</v>
      </c>
      <c r="D1790" s="4">
        <v>43190</v>
      </c>
      <c r="E1790" t="s">
        <v>1343</v>
      </c>
      <c r="F1790" t="s">
        <v>101</v>
      </c>
      <c r="G1790">
        <v>0</v>
      </c>
      <c r="H1790">
        <v>0.04</v>
      </c>
      <c r="I1790">
        <v>2.85</v>
      </c>
      <c r="J1790">
        <v>1.46</v>
      </c>
      <c r="K1790" t="s">
        <v>860</v>
      </c>
      <c r="L1790">
        <v>-2.4300000000000002</v>
      </c>
      <c r="M1790" t="s">
        <v>9392</v>
      </c>
      <c r="N1790" t="s">
        <v>9393</v>
      </c>
      <c r="O1790" t="s">
        <v>9394</v>
      </c>
      <c r="P1790" t="s">
        <v>9395</v>
      </c>
      <c r="Q1790">
        <v>-10.1</v>
      </c>
      <c r="R1790" t="s">
        <v>3293</v>
      </c>
      <c r="S1790">
        <v>0.39</v>
      </c>
      <c r="T1790">
        <v>33.43</v>
      </c>
      <c r="U1790" t="s">
        <v>1485</v>
      </c>
      <c r="V1790" t="s">
        <v>1090</v>
      </c>
      <c r="W1790" t="s">
        <v>613</v>
      </c>
      <c r="X1790">
        <v>1.46</v>
      </c>
      <c r="Y1790" t="s">
        <v>2833</v>
      </c>
      <c r="Z1790" t="s">
        <v>1515</v>
      </c>
      <c r="AA1790" t="s">
        <v>3238</v>
      </c>
      <c r="AB1790">
        <v>2.0699999999999998</v>
      </c>
      <c r="AC1790" t="s">
        <v>573</v>
      </c>
      <c r="AD1790">
        <v>57.08</v>
      </c>
      <c r="AE1790" t="s">
        <v>402</v>
      </c>
      <c r="AF1790">
        <v>1.46</v>
      </c>
      <c r="AG1790" t="s">
        <v>1489</v>
      </c>
      <c r="AH1790">
        <v>0</v>
      </c>
      <c r="AI1790" s="4">
        <v>33844</v>
      </c>
    </row>
    <row r="1791" spans="1:35">
      <c r="A1791">
        <v>1790</v>
      </c>
      <c r="B1791" t="str">
        <f>"603069"</f>
        <v>603069</v>
      </c>
      <c r="C1791" t="s">
        <v>9396</v>
      </c>
      <c r="D1791" s="4">
        <v>43190</v>
      </c>
      <c r="E1791" t="s">
        <v>167</v>
      </c>
      <c r="F1791" t="s">
        <v>1200</v>
      </c>
      <c r="G1791">
        <v>8294</v>
      </c>
      <c r="H1791">
        <v>0.05</v>
      </c>
      <c r="I1791">
        <v>3.44</v>
      </c>
      <c r="J1791">
        <v>1.45</v>
      </c>
      <c r="K1791" t="s">
        <v>2551</v>
      </c>
      <c r="L1791">
        <v>-3.41</v>
      </c>
      <c r="M1791" t="s">
        <v>9397</v>
      </c>
      <c r="N1791" t="s">
        <v>9398</v>
      </c>
      <c r="O1791" t="s">
        <v>8367</v>
      </c>
      <c r="P1791" t="s">
        <v>9399</v>
      </c>
      <c r="Q1791">
        <v>-1.65</v>
      </c>
      <c r="R1791" t="s">
        <v>1578</v>
      </c>
      <c r="S1791">
        <v>1.07</v>
      </c>
      <c r="T1791">
        <v>22.16</v>
      </c>
      <c r="U1791" t="s">
        <v>389</v>
      </c>
      <c r="V1791" t="s">
        <v>1493</v>
      </c>
      <c r="W1791" t="s">
        <v>2456</v>
      </c>
      <c r="X1791">
        <v>1.45</v>
      </c>
      <c r="Y1791" t="s">
        <v>1414</v>
      </c>
      <c r="Z1791" t="s">
        <v>3196</v>
      </c>
      <c r="AA1791" t="s">
        <v>197</v>
      </c>
      <c r="AB1791">
        <v>2.52</v>
      </c>
      <c r="AC1791" t="s">
        <v>1223</v>
      </c>
      <c r="AD1791">
        <v>56.87</v>
      </c>
      <c r="AE1791" t="s">
        <v>156</v>
      </c>
      <c r="AF1791">
        <v>1.19</v>
      </c>
      <c r="AG1791">
        <v>0</v>
      </c>
      <c r="AH1791">
        <v>0</v>
      </c>
      <c r="AI1791" s="4">
        <v>42563</v>
      </c>
    </row>
    <row r="1792" spans="1:35">
      <c r="A1792">
        <v>1791</v>
      </c>
      <c r="B1792" t="str">
        <f>"603066"</f>
        <v>603066</v>
      </c>
      <c r="C1792" t="s">
        <v>9400</v>
      </c>
      <c r="D1792" s="4">
        <v>43190</v>
      </c>
      <c r="E1792" t="s">
        <v>1206</v>
      </c>
      <c r="F1792" t="s">
        <v>711</v>
      </c>
      <c r="G1792">
        <v>6638</v>
      </c>
      <c r="H1792">
        <v>0.04</v>
      </c>
      <c r="I1792">
        <v>2.86</v>
      </c>
      <c r="J1792">
        <v>1.45</v>
      </c>
      <c r="K1792" t="s">
        <v>533</v>
      </c>
      <c r="L1792">
        <v>12.58</v>
      </c>
      <c r="M1792" t="s">
        <v>6517</v>
      </c>
      <c r="N1792" t="s">
        <v>8116</v>
      </c>
      <c r="O1792" t="s">
        <v>8693</v>
      </c>
      <c r="P1792" t="s">
        <v>7767</v>
      </c>
      <c r="Q1792">
        <v>2.15</v>
      </c>
      <c r="R1792" t="s">
        <v>2041</v>
      </c>
      <c r="S1792">
        <v>1.08</v>
      </c>
      <c r="T1792">
        <v>31.72</v>
      </c>
      <c r="U1792" t="s">
        <v>250</v>
      </c>
      <c r="V1792" t="s">
        <v>1084</v>
      </c>
      <c r="W1792" t="s">
        <v>9401</v>
      </c>
      <c r="X1792">
        <v>1.45</v>
      </c>
      <c r="Y1792" t="s">
        <v>286</v>
      </c>
      <c r="Z1792" t="s">
        <v>1732</v>
      </c>
      <c r="AA1792" t="s">
        <v>9402</v>
      </c>
      <c r="AB1792">
        <v>3.21</v>
      </c>
      <c r="AC1792" t="s">
        <v>1780</v>
      </c>
      <c r="AD1792">
        <v>75.03</v>
      </c>
      <c r="AE1792" t="s">
        <v>1624</v>
      </c>
      <c r="AF1792">
        <v>0.65</v>
      </c>
      <c r="AG1792">
        <v>0</v>
      </c>
      <c r="AH1792">
        <v>0</v>
      </c>
      <c r="AI1792" s="4">
        <v>42166</v>
      </c>
    </row>
    <row r="1793" spans="1:35">
      <c r="A1793">
        <v>1792</v>
      </c>
      <c r="B1793" t="str">
        <f>"600498"</f>
        <v>600498</v>
      </c>
      <c r="C1793" t="s">
        <v>9403</v>
      </c>
      <c r="D1793" s="4">
        <v>43190</v>
      </c>
      <c r="E1793" t="s">
        <v>323</v>
      </c>
      <c r="F1793" t="s">
        <v>978</v>
      </c>
      <c r="G1793" t="s">
        <v>8879</v>
      </c>
      <c r="H1793">
        <v>0.13</v>
      </c>
      <c r="I1793">
        <v>8.67</v>
      </c>
      <c r="J1793">
        <v>1.45</v>
      </c>
      <c r="K1793" t="s">
        <v>2600</v>
      </c>
      <c r="L1793">
        <v>20.63</v>
      </c>
      <c r="M1793" t="s">
        <v>610</v>
      </c>
      <c r="N1793" t="s">
        <v>9404</v>
      </c>
      <c r="O1793" t="s">
        <v>382</v>
      </c>
      <c r="P1793" t="s">
        <v>657</v>
      </c>
      <c r="Q1793">
        <v>0.47</v>
      </c>
      <c r="R1793" t="s">
        <v>3073</v>
      </c>
      <c r="S1793">
        <v>3.01</v>
      </c>
      <c r="T1793">
        <v>28</v>
      </c>
      <c r="U1793" t="s">
        <v>3463</v>
      </c>
      <c r="V1793" t="s">
        <v>2924</v>
      </c>
      <c r="W1793" t="s">
        <v>706</v>
      </c>
      <c r="X1793">
        <v>1.45</v>
      </c>
      <c r="Y1793" t="s">
        <v>787</v>
      </c>
      <c r="Z1793" t="s">
        <v>788</v>
      </c>
      <c r="AA1793" t="s">
        <v>275</v>
      </c>
      <c r="AB1793">
        <v>2.69</v>
      </c>
      <c r="AC1793" t="s">
        <v>8498</v>
      </c>
      <c r="AD1793">
        <v>34.619999999999997</v>
      </c>
      <c r="AE1793" t="s">
        <v>1841</v>
      </c>
      <c r="AF1793">
        <v>4.3</v>
      </c>
      <c r="AG1793">
        <v>0</v>
      </c>
      <c r="AH1793">
        <v>0</v>
      </c>
      <c r="AI1793" s="4">
        <v>37126</v>
      </c>
    </row>
    <row r="1794" spans="1:35">
      <c r="A1794">
        <v>1793</v>
      </c>
      <c r="B1794" t="str">
        <f>"300212"</f>
        <v>300212</v>
      </c>
      <c r="C1794" t="s">
        <v>9405</v>
      </c>
      <c r="D1794" s="4">
        <v>43190</v>
      </c>
      <c r="E1794" t="s">
        <v>156</v>
      </c>
      <c r="F1794" t="s">
        <v>342</v>
      </c>
      <c r="G1794" t="s">
        <v>268</v>
      </c>
      <c r="H1794">
        <v>0.11</v>
      </c>
      <c r="I1794">
        <v>7.52</v>
      </c>
      <c r="J1794">
        <v>1.45</v>
      </c>
      <c r="K1794" t="s">
        <v>289</v>
      </c>
      <c r="L1794">
        <v>3.84</v>
      </c>
      <c r="M1794" t="s">
        <v>9406</v>
      </c>
      <c r="N1794" t="s">
        <v>9407</v>
      </c>
      <c r="O1794" t="s">
        <v>9408</v>
      </c>
      <c r="P1794" t="s">
        <v>9409</v>
      </c>
      <c r="Q1794">
        <v>47.75</v>
      </c>
      <c r="R1794" t="s">
        <v>3544</v>
      </c>
      <c r="S1794">
        <v>2</v>
      </c>
      <c r="T1794">
        <v>36.22</v>
      </c>
      <c r="U1794" t="s">
        <v>2925</v>
      </c>
      <c r="V1794" t="s">
        <v>1107</v>
      </c>
      <c r="W1794" t="s">
        <v>344</v>
      </c>
      <c r="X1794">
        <v>1.45</v>
      </c>
      <c r="Y1794" t="s">
        <v>2060</v>
      </c>
      <c r="Z1794" t="s">
        <v>3073</v>
      </c>
      <c r="AA1794" t="s">
        <v>3356</v>
      </c>
      <c r="AB1794">
        <v>3.57</v>
      </c>
      <c r="AC1794" t="s">
        <v>356</v>
      </c>
      <c r="AD1794">
        <v>32.08</v>
      </c>
      <c r="AE1794" t="s">
        <v>76</v>
      </c>
      <c r="AF1794">
        <v>4.37</v>
      </c>
      <c r="AG1794">
        <v>0</v>
      </c>
      <c r="AH1794">
        <v>0</v>
      </c>
      <c r="AI1794" s="4">
        <v>40668</v>
      </c>
    </row>
    <row r="1795" spans="1:35">
      <c r="A1795">
        <v>1794</v>
      </c>
      <c r="B1795" t="str">
        <f>"002809"</f>
        <v>002809</v>
      </c>
      <c r="C1795" t="s">
        <v>9410</v>
      </c>
      <c r="D1795" s="4">
        <v>43190</v>
      </c>
      <c r="E1795" t="s">
        <v>2603</v>
      </c>
      <c r="F1795" t="s">
        <v>7525</v>
      </c>
      <c r="G1795">
        <v>2913</v>
      </c>
      <c r="H1795">
        <v>0.11</v>
      </c>
      <c r="I1795">
        <v>7.59</v>
      </c>
      <c r="J1795">
        <v>1.45</v>
      </c>
      <c r="K1795" t="s">
        <v>321</v>
      </c>
      <c r="L1795">
        <v>35.67</v>
      </c>
      <c r="M1795" t="s">
        <v>3527</v>
      </c>
      <c r="N1795">
        <v>0</v>
      </c>
      <c r="O1795" t="s">
        <v>8374</v>
      </c>
      <c r="P1795" t="s">
        <v>6090</v>
      </c>
      <c r="Q1795">
        <v>-20.68</v>
      </c>
      <c r="R1795" t="s">
        <v>338</v>
      </c>
      <c r="S1795">
        <v>3.04</v>
      </c>
      <c r="T1795">
        <v>24.51</v>
      </c>
      <c r="U1795" t="s">
        <v>840</v>
      </c>
      <c r="V1795" t="s">
        <v>250</v>
      </c>
      <c r="W1795" t="s">
        <v>9411</v>
      </c>
      <c r="X1795">
        <v>1.45</v>
      </c>
      <c r="Y1795" t="s">
        <v>1074</v>
      </c>
      <c r="Z1795" t="s">
        <v>344</v>
      </c>
      <c r="AA1795" t="s">
        <v>7238</v>
      </c>
      <c r="AB1795">
        <v>2.62</v>
      </c>
      <c r="AC1795" t="s">
        <v>3639</v>
      </c>
      <c r="AD1795">
        <v>74.09</v>
      </c>
      <c r="AE1795" t="s">
        <v>999</v>
      </c>
      <c r="AF1795">
        <v>4</v>
      </c>
      <c r="AG1795">
        <v>0</v>
      </c>
      <c r="AH1795">
        <v>0</v>
      </c>
      <c r="AI1795" s="4">
        <v>42605</v>
      </c>
    </row>
    <row r="1796" spans="1:35">
      <c r="A1796">
        <v>1795</v>
      </c>
      <c r="B1796" t="str">
        <f>"002752"</f>
        <v>002752</v>
      </c>
      <c r="C1796" t="s">
        <v>9412</v>
      </c>
      <c r="D1796" s="4">
        <v>43190</v>
      </c>
      <c r="E1796" t="s">
        <v>1561</v>
      </c>
      <c r="F1796" t="s">
        <v>2069</v>
      </c>
      <c r="G1796">
        <v>6140</v>
      </c>
      <c r="H1796">
        <v>0.03</v>
      </c>
      <c r="I1796">
        <v>2.1800000000000002</v>
      </c>
      <c r="J1796">
        <v>1.45</v>
      </c>
      <c r="K1796" t="s">
        <v>999</v>
      </c>
      <c r="L1796">
        <v>0.06</v>
      </c>
      <c r="M1796" t="s">
        <v>9413</v>
      </c>
      <c r="N1796" t="s">
        <v>8111</v>
      </c>
      <c r="O1796" t="s">
        <v>4633</v>
      </c>
      <c r="P1796" t="s">
        <v>9414</v>
      </c>
      <c r="Q1796">
        <v>-47.62</v>
      </c>
      <c r="R1796" t="s">
        <v>2095</v>
      </c>
      <c r="S1796">
        <v>0.78</v>
      </c>
      <c r="T1796">
        <v>16.28</v>
      </c>
      <c r="U1796" t="s">
        <v>693</v>
      </c>
      <c r="V1796" t="s">
        <v>840</v>
      </c>
      <c r="W1796" t="s">
        <v>354</v>
      </c>
      <c r="X1796">
        <v>1.45</v>
      </c>
      <c r="Y1796" t="s">
        <v>124</v>
      </c>
      <c r="Z1796" t="s">
        <v>613</v>
      </c>
      <c r="AA1796" t="s">
        <v>321</v>
      </c>
      <c r="AB1796">
        <v>3.48</v>
      </c>
      <c r="AC1796" t="s">
        <v>754</v>
      </c>
      <c r="AD1796">
        <v>56.54</v>
      </c>
      <c r="AE1796" t="s">
        <v>286</v>
      </c>
      <c r="AF1796">
        <v>0.35</v>
      </c>
      <c r="AG1796">
        <v>0</v>
      </c>
      <c r="AH1796">
        <v>0</v>
      </c>
      <c r="AI1796" s="4">
        <v>42116</v>
      </c>
    </row>
    <row r="1797" spans="1:35">
      <c r="A1797">
        <v>1796</v>
      </c>
      <c r="B1797" t="str">
        <f>"002066"</f>
        <v>002066</v>
      </c>
      <c r="C1797" t="s">
        <v>9415</v>
      </c>
      <c r="D1797" s="4">
        <v>43190</v>
      </c>
      <c r="E1797" t="s">
        <v>4614</v>
      </c>
      <c r="F1797" t="s">
        <v>4614</v>
      </c>
      <c r="G1797">
        <v>6642</v>
      </c>
      <c r="H1797">
        <v>0.03</v>
      </c>
      <c r="I1797">
        <v>1.79</v>
      </c>
      <c r="J1797">
        <v>1.45</v>
      </c>
      <c r="K1797" t="s">
        <v>3986</v>
      </c>
      <c r="L1797">
        <v>109.5</v>
      </c>
      <c r="M1797" t="s">
        <v>6048</v>
      </c>
      <c r="N1797">
        <v>0</v>
      </c>
      <c r="O1797" t="s">
        <v>9416</v>
      </c>
      <c r="P1797" t="s">
        <v>9417</v>
      </c>
      <c r="Q1797">
        <v>11.29</v>
      </c>
      <c r="R1797" t="s">
        <v>9418</v>
      </c>
      <c r="S1797">
        <v>-0.01</v>
      </c>
      <c r="T1797">
        <v>17.100000000000001</v>
      </c>
      <c r="U1797" t="s">
        <v>1803</v>
      </c>
      <c r="V1797" t="s">
        <v>1881</v>
      </c>
      <c r="W1797" t="s">
        <v>1567</v>
      </c>
      <c r="X1797">
        <v>1.45</v>
      </c>
      <c r="Y1797" t="s">
        <v>1051</v>
      </c>
      <c r="Z1797" t="s">
        <v>1881</v>
      </c>
      <c r="AA1797" t="s">
        <v>37</v>
      </c>
      <c r="AB1797">
        <v>3.99</v>
      </c>
      <c r="AC1797" t="s">
        <v>749</v>
      </c>
      <c r="AD1797">
        <v>10.67</v>
      </c>
      <c r="AE1797" t="s">
        <v>552</v>
      </c>
      <c r="AF1797">
        <v>0.71</v>
      </c>
      <c r="AG1797">
        <v>0</v>
      </c>
      <c r="AH1797">
        <v>0</v>
      </c>
      <c r="AI1797" s="4">
        <v>38952</v>
      </c>
    </row>
    <row r="1798" spans="1:35">
      <c r="A1798">
        <v>1797</v>
      </c>
      <c r="B1798" t="str">
        <f>"000975"</f>
        <v>000975</v>
      </c>
      <c r="C1798" t="s">
        <v>9419</v>
      </c>
      <c r="D1798" s="4">
        <v>43190</v>
      </c>
      <c r="E1798" t="s">
        <v>691</v>
      </c>
      <c r="F1798" t="s">
        <v>405</v>
      </c>
      <c r="G1798" t="s">
        <v>9420</v>
      </c>
      <c r="H1798">
        <v>0.06</v>
      </c>
      <c r="I1798">
        <v>4.04</v>
      </c>
      <c r="J1798">
        <v>1.45</v>
      </c>
      <c r="K1798" t="s">
        <v>1173</v>
      </c>
      <c r="L1798">
        <v>202.27</v>
      </c>
      <c r="M1798" t="s">
        <v>1360</v>
      </c>
      <c r="N1798" t="s">
        <v>9421</v>
      </c>
      <c r="O1798" t="s">
        <v>2031</v>
      </c>
      <c r="P1798" t="s">
        <v>282</v>
      </c>
      <c r="Q1798">
        <v>1140.42</v>
      </c>
      <c r="R1798" t="s">
        <v>1917</v>
      </c>
      <c r="S1798">
        <v>0.31</v>
      </c>
      <c r="T1798">
        <v>28.52</v>
      </c>
      <c r="U1798" t="s">
        <v>1159</v>
      </c>
      <c r="V1798" t="s">
        <v>119</v>
      </c>
      <c r="W1798" t="s">
        <v>1284</v>
      </c>
      <c r="X1798">
        <v>1.45</v>
      </c>
      <c r="Y1798" t="s">
        <v>350</v>
      </c>
      <c r="Z1798" t="s">
        <v>2571</v>
      </c>
      <c r="AA1798" t="s">
        <v>515</v>
      </c>
      <c r="AB1798">
        <v>2.4900000000000002</v>
      </c>
      <c r="AC1798" t="s">
        <v>1030</v>
      </c>
      <c r="AD1798">
        <v>76.489999999999995</v>
      </c>
      <c r="AE1798" t="s">
        <v>1250</v>
      </c>
      <c r="AF1798">
        <v>2.57</v>
      </c>
      <c r="AG1798">
        <v>0</v>
      </c>
      <c r="AH1798">
        <v>0</v>
      </c>
      <c r="AI1798" s="4">
        <v>36685</v>
      </c>
    </row>
    <row r="1799" spans="1:35">
      <c r="A1799">
        <v>1798</v>
      </c>
      <c r="B1799" t="str">
        <f>"000021"</f>
        <v>000021</v>
      </c>
      <c r="C1799" t="s">
        <v>9422</v>
      </c>
      <c r="D1799" s="4">
        <v>43190</v>
      </c>
      <c r="E1799" t="s">
        <v>80</v>
      </c>
      <c r="F1799" t="s">
        <v>80</v>
      </c>
      <c r="G1799" t="s">
        <v>4495</v>
      </c>
      <c r="H1799">
        <v>0.06</v>
      </c>
      <c r="I1799">
        <v>3.98</v>
      </c>
      <c r="J1799">
        <v>1.45</v>
      </c>
      <c r="K1799" t="s">
        <v>511</v>
      </c>
      <c r="L1799">
        <v>15.83</v>
      </c>
      <c r="M1799" t="s">
        <v>355</v>
      </c>
      <c r="N1799" t="s">
        <v>9078</v>
      </c>
      <c r="O1799" t="s">
        <v>1627</v>
      </c>
      <c r="P1799" t="s">
        <v>9423</v>
      </c>
      <c r="Q1799">
        <v>-26.81</v>
      </c>
      <c r="R1799" t="s">
        <v>276</v>
      </c>
      <c r="S1799">
        <v>1.58</v>
      </c>
      <c r="T1799">
        <v>4.71</v>
      </c>
      <c r="U1799" t="s">
        <v>1894</v>
      </c>
      <c r="V1799" t="s">
        <v>5729</v>
      </c>
      <c r="W1799" t="s">
        <v>2515</v>
      </c>
      <c r="X1799">
        <v>1.45</v>
      </c>
      <c r="Y1799" t="s">
        <v>2397</v>
      </c>
      <c r="Z1799" t="s">
        <v>3086</v>
      </c>
      <c r="AA1799" t="s">
        <v>998</v>
      </c>
      <c r="AB1799">
        <v>1.72</v>
      </c>
      <c r="AC1799" t="s">
        <v>1783</v>
      </c>
      <c r="AD1799">
        <v>38.21</v>
      </c>
      <c r="AE1799" t="s">
        <v>189</v>
      </c>
      <c r="AF1799">
        <v>0.46</v>
      </c>
      <c r="AG1799">
        <v>0</v>
      </c>
      <c r="AH1799">
        <v>0</v>
      </c>
      <c r="AI1799" s="4">
        <v>34367</v>
      </c>
    </row>
    <row r="1800" spans="1:35">
      <c r="A1800">
        <v>1799</v>
      </c>
      <c r="B1800" t="str">
        <f>"000017"</f>
        <v>000017</v>
      </c>
      <c r="C1800" t="s">
        <v>9424</v>
      </c>
      <c r="D1800" s="4">
        <v>43190</v>
      </c>
      <c r="E1800" t="s">
        <v>4176</v>
      </c>
      <c r="F1800" t="s">
        <v>1791</v>
      </c>
      <c r="G1800">
        <v>0</v>
      </c>
      <c r="H1800">
        <v>0</v>
      </c>
      <c r="I1800">
        <v>0.03</v>
      </c>
      <c r="J1800">
        <v>1.45</v>
      </c>
      <c r="K1800" t="s">
        <v>5628</v>
      </c>
      <c r="L1800">
        <v>6.14</v>
      </c>
      <c r="M1800" t="s">
        <v>6626</v>
      </c>
      <c r="N1800">
        <v>0</v>
      </c>
      <c r="O1800" t="s">
        <v>9425</v>
      </c>
      <c r="P1800" t="s">
        <v>9426</v>
      </c>
      <c r="Q1800">
        <v>9.26</v>
      </c>
      <c r="R1800" t="s">
        <v>9427</v>
      </c>
      <c r="S1800">
        <v>-2.17</v>
      </c>
      <c r="T1800">
        <v>7.75</v>
      </c>
      <c r="U1800" t="s">
        <v>9428</v>
      </c>
      <c r="V1800" t="s">
        <v>9429</v>
      </c>
      <c r="W1800" t="s">
        <v>9430</v>
      </c>
      <c r="X1800">
        <v>1.45</v>
      </c>
      <c r="Y1800" t="s">
        <v>9431</v>
      </c>
      <c r="Z1800" t="s">
        <v>9431</v>
      </c>
      <c r="AA1800">
        <v>0</v>
      </c>
      <c r="AB1800">
        <v>157.22999999999999</v>
      </c>
      <c r="AC1800" t="s">
        <v>3200</v>
      </c>
      <c r="AD1800">
        <v>19.34</v>
      </c>
      <c r="AE1800" t="s">
        <v>2532</v>
      </c>
      <c r="AF1800">
        <v>1.1399999999999999</v>
      </c>
      <c r="AG1800" t="s">
        <v>2889</v>
      </c>
      <c r="AH1800">
        <v>0</v>
      </c>
      <c r="AI1800" s="4">
        <v>33694</v>
      </c>
    </row>
    <row r="1801" spans="1:35">
      <c r="A1801">
        <v>1800</v>
      </c>
      <c r="B1801" t="str">
        <f>"603991"</f>
        <v>603991</v>
      </c>
      <c r="C1801" t="s">
        <v>9432</v>
      </c>
      <c r="D1801" s="4">
        <v>43190</v>
      </c>
      <c r="E1801" t="s">
        <v>9433</v>
      </c>
      <c r="F1801" t="s">
        <v>9434</v>
      </c>
      <c r="G1801">
        <v>4261</v>
      </c>
      <c r="H1801">
        <v>0.09</v>
      </c>
      <c r="I1801">
        <v>6.28</v>
      </c>
      <c r="J1801">
        <v>1.44</v>
      </c>
      <c r="K1801" t="s">
        <v>9435</v>
      </c>
      <c r="L1801">
        <v>44.19</v>
      </c>
      <c r="M1801" t="s">
        <v>9436</v>
      </c>
      <c r="N1801">
        <v>0</v>
      </c>
      <c r="O1801" t="s">
        <v>9437</v>
      </c>
      <c r="P1801" t="s">
        <v>904</v>
      </c>
      <c r="Q1801">
        <v>17.82</v>
      </c>
      <c r="R1801" t="s">
        <v>2306</v>
      </c>
      <c r="S1801">
        <v>1.77</v>
      </c>
      <c r="T1801">
        <v>22.97</v>
      </c>
      <c r="U1801" t="s">
        <v>941</v>
      </c>
      <c r="V1801" t="s">
        <v>750</v>
      </c>
      <c r="W1801" t="s">
        <v>9438</v>
      </c>
      <c r="X1801">
        <v>1.44</v>
      </c>
      <c r="Y1801" t="s">
        <v>603</v>
      </c>
      <c r="Z1801" t="s">
        <v>2069</v>
      </c>
      <c r="AA1801" t="s">
        <v>5278</v>
      </c>
      <c r="AB1801">
        <v>3.6</v>
      </c>
      <c r="AC1801" t="s">
        <v>735</v>
      </c>
      <c r="AD1801">
        <v>72.62</v>
      </c>
      <c r="AE1801" t="s">
        <v>2889</v>
      </c>
      <c r="AF1801">
        <v>3.32</v>
      </c>
      <c r="AG1801">
        <v>0</v>
      </c>
      <c r="AH1801">
        <v>0</v>
      </c>
      <c r="AI1801" s="4">
        <v>42802</v>
      </c>
    </row>
    <row r="1802" spans="1:35">
      <c r="A1802">
        <v>1801</v>
      </c>
      <c r="B1802" t="str">
        <f>"603803"</f>
        <v>603803</v>
      </c>
      <c r="C1802" t="s">
        <v>9439</v>
      </c>
      <c r="D1802" s="4">
        <v>43190</v>
      </c>
      <c r="E1802" t="s">
        <v>202</v>
      </c>
      <c r="F1802" t="s">
        <v>1004</v>
      </c>
      <c r="G1802">
        <v>2613</v>
      </c>
      <c r="H1802">
        <v>0.09</v>
      </c>
      <c r="I1802">
        <v>5.94</v>
      </c>
      <c r="J1802">
        <v>1.44</v>
      </c>
      <c r="K1802" t="s">
        <v>153</v>
      </c>
      <c r="L1802">
        <v>-5.51</v>
      </c>
      <c r="M1802" t="s">
        <v>6559</v>
      </c>
      <c r="N1802" t="s">
        <v>6177</v>
      </c>
      <c r="O1802" t="s">
        <v>9440</v>
      </c>
      <c r="P1802" t="s">
        <v>3049</v>
      </c>
      <c r="Q1802">
        <v>-39.82</v>
      </c>
      <c r="R1802" t="s">
        <v>548</v>
      </c>
      <c r="S1802">
        <v>2.96</v>
      </c>
      <c r="T1802">
        <v>49.37</v>
      </c>
      <c r="U1802" t="s">
        <v>312</v>
      </c>
      <c r="V1802" t="s">
        <v>238</v>
      </c>
      <c r="W1802" t="s">
        <v>486</v>
      </c>
      <c r="X1802">
        <v>1.44</v>
      </c>
      <c r="Y1802" t="s">
        <v>721</v>
      </c>
      <c r="Z1802" t="s">
        <v>721</v>
      </c>
      <c r="AA1802" t="s">
        <v>9441</v>
      </c>
      <c r="AB1802">
        <v>2.2799999999999998</v>
      </c>
      <c r="AC1802" t="s">
        <v>981</v>
      </c>
      <c r="AD1802">
        <v>71.87</v>
      </c>
      <c r="AE1802" t="s">
        <v>4435</v>
      </c>
      <c r="AF1802">
        <v>1.63</v>
      </c>
      <c r="AG1802">
        <v>0</v>
      </c>
      <c r="AH1802">
        <v>0</v>
      </c>
      <c r="AI1802" s="4">
        <v>42845</v>
      </c>
    </row>
    <row r="1803" spans="1:35">
      <c r="A1803">
        <v>1802</v>
      </c>
      <c r="B1803" t="str">
        <f>"603258"</f>
        <v>603258</v>
      </c>
      <c r="C1803" t="s">
        <v>9442</v>
      </c>
      <c r="D1803" s="4">
        <v>43190</v>
      </c>
      <c r="E1803" t="s">
        <v>3674</v>
      </c>
      <c r="F1803" t="s">
        <v>9443</v>
      </c>
      <c r="G1803">
        <v>2474</v>
      </c>
      <c r="H1803">
        <v>0.1</v>
      </c>
      <c r="I1803">
        <v>6.7</v>
      </c>
      <c r="J1803">
        <v>1.44</v>
      </c>
      <c r="K1803" t="s">
        <v>2307</v>
      </c>
      <c r="L1803">
        <v>-15.83</v>
      </c>
      <c r="M1803" t="s">
        <v>1298</v>
      </c>
      <c r="N1803" t="s">
        <v>3082</v>
      </c>
      <c r="O1803" t="s">
        <v>9444</v>
      </c>
      <c r="P1803" t="s">
        <v>2986</v>
      </c>
      <c r="Q1803">
        <v>-60.09</v>
      </c>
      <c r="R1803" t="s">
        <v>914</v>
      </c>
      <c r="S1803">
        <v>1.56</v>
      </c>
      <c r="T1803">
        <v>83.58</v>
      </c>
      <c r="U1803" t="s">
        <v>308</v>
      </c>
      <c r="V1803" t="s">
        <v>124</v>
      </c>
      <c r="W1803" t="s">
        <v>4871</v>
      </c>
      <c r="X1803">
        <v>1.44</v>
      </c>
      <c r="Y1803" t="s">
        <v>2142</v>
      </c>
      <c r="Z1803" t="s">
        <v>219</v>
      </c>
      <c r="AA1803" t="s">
        <v>9445</v>
      </c>
      <c r="AB1803">
        <v>2.93</v>
      </c>
      <c r="AC1803" t="s">
        <v>76</v>
      </c>
      <c r="AD1803">
        <v>86.67</v>
      </c>
      <c r="AE1803" t="s">
        <v>3312</v>
      </c>
      <c r="AF1803">
        <v>3.58</v>
      </c>
      <c r="AG1803">
        <v>0</v>
      </c>
      <c r="AH1803">
        <v>0</v>
      </c>
      <c r="AI1803" s="4">
        <v>42669</v>
      </c>
    </row>
    <row r="1804" spans="1:35">
      <c r="A1804">
        <v>1803</v>
      </c>
      <c r="B1804" t="str">
        <f>"600986"</f>
        <v>600986</v>
      </c>
      <c r="C1804" t="s">
        <v>9446</v>
      </c>
      <c r="D1804" s="4">
        <v>43190</v>
      </c>
      <c r="E1804" t="s">
        <v>5864</v>
      </c>
      <c r="F1804" t="s">
        <v>2413</v>
      </c>
      <c r="G1804" t="s">
        <v>950</v>
      </c>
      <c r="H1804">
        <v>0.09</v>
      </c>
      <c r="I1804">
        <v>6.42</v>
      </c>
      <c r="J1804">
        <v>1.44</v>
      </c>
      <c r="K1804" t="s">
        <v>589</v>
      </c>
      <c r="L1804">
        <v>85.27</v>
      </c>
      <c r="M1804" t="s">
        <v>1365</v>
      </c>
      <c r="N1804" t="s">
        <v>9115</v>
      </c>
      <c r="O1804" t="s">
        <v>1626</v>
      </c>
      <c r="P1804" t="s">
        <v>9447</v>
      </c>
      <c r="Q1804">
        <v>-9.7899999999999991</v>
      </c>
      <c r="R1804" t="s">
        <v>264</v>
      </c>
      <c r="S1804">
        <v>1.27</v>
      </c>
      <c r="T1804">
        <v>11.08</v>
      </c>
      <c r="U1804" t="s">
        <v>900</v>
      </c>
      <c r="V1804" t="s">
        <v>4228</v>
      </c>
      <c r="W1804" t="s">
        <v>9448</v>
      </c>
      <c r="X1804">
        <v>1.44</v>
      </c>
      <c r="Y1804" t="s">
        <v>245</v>
      </c>
      <c r="Z1804" t="s">
        <v>369</v>
      </c>
      <c r="AA1804" t="s">
        <v>824</v>
      </c>
      <c r="AB1804">
        <v>1.5</v>
      </c>
      <c r="AC1804" t="s">
        <v>4228</v>
      </c>
      <c r="AD1804">
        <v>57.73</v>
      </c>
      <c r="AE1804" t="s">
        <v>235</v>
      </c>
      <c r="AF1804">
        <v>4.01</v>
      </c>
      <c r="AG1804">
        <v>0</v>
      </c>
      <c r="AH1804">
        <v>0</v>
      </c>
      <c r="AI1804" s="4">
        <v>38103</v>
      </c>
    </row>
    <row r="1805" spans="1:35">
      <c r="A1805">
        <v>1804</v>
      </c>
      <c r="B1805" t="str">
        <f>"600834"</f>
        <v>600834</v>
      </c>
      <c r="C1805" t="s">
        <v>9449</v>
      </c>
      <c r="D1805" s="4">
        <v>43190</v>
      </c>
      <c r="E1805" t="s">
        <v>1806</v>
      </c>
      <c r="F1805" t="s">
        <v>1806</v>
      </c>
      <c r="G1805" t="s">
        <v>2305</v>
      </c>
      <c r="H1805">
        <v>0.04</v>
      </c>
      <c r="I1805">
        <v>3.11</v>
      </c>
      <c r="J1805">
        <v>1.44</v>
      </c>
      <c r="K1805" t="s">
        <v>1855</v>
      </c>
      <c r="L1805">
        <v>-2.76</v>
      </c>
      <c r="M1805" t="s">
        <v>9450</v>
      </c>
      <c r="N1805" t="s">
        <v>9451</v>
      </c>
      <c r="O1805" t="s">
        <v>670</v>
      </c>
      <c r="P1805" t="s">
        <v>7810</v>
      </c>
      <c r="Q1805">
        <v>-13.63</v>
      </c>
      <c r="R1805" t="s">
        <v>615</v>
      </c>
      <c r="S1805">
        <v>1.51</v>
      </c>
      <c r="T1805">
        <v>12.61</v>
      </c>
      <c r="U1805" t="s">
        <v>1785</v>
      </c>
      <c r="V1805" t="s">
        <v>1768</v>
      </c>
      <c r="W1805" t="s">
        <v>405</v>
      </c>
      <c r="X1805">
        <v>1.44</v>
      </c>
      <c r="Y1805" t="s">
        <v>973</v>
      </c>
      <c r="Z1805" t="s">
        <v>2569</v>
      </c>
      <c r="AA1805" t="s">
        <v>142</v>
      </c>
      <c r="AB1805">
        <v>2.2400000000000002</v>
      </c>
      <c r="AC1805" t="s">
        <v>759</v>
      </c>
      <c r="AD1805">
        <v>56.3</v>
      </c>
      <c r="AE1805" t="s">
        <v>9452</v>
      </c>
      <c r="AF1805">
        <v>0.17</v>
      </c>
      <c r="AG1805">
        <v>0</v>
      </c>
      <c r="AH1805">
        <v>0</v>
      </c>
      <c r="AI1805" s="4">
        <v>34389</v>
      </c>
    </row>
    <row r="1806" spans="1:35">
      <c r="A1806">
        <v>1805</v>
      </c>
      <c r="B1806" t="str">
        <f>"600109"</f>
        <v>600109</v>
      </c>
      <c r="C1806" t="s">
        <v>9453</v>
      </c>
      <c r="D1806" s="4">
        <v>43190</v>
      </c>
      <c r="E1806" t="s">
        <v>386</v>
      </c>
      <c r="F1806" t="s">
        <v>386</v>
      </c>
      <c r="G1806" t="s">
        <v>168</v>
      </c>
      <c r="H1806">
        <v>0.09</v>
      </c>
      <c r="I1806">
        <v>6.31</v>
      </c>
      <c r="J1806">
        <v>1.44</v>
      </c>
      <c r="K1806" t="s">
        <v>3312</v>
      </c>
      <c r="L1806">
        <v>-20.09</v>
      </c>
      <c r="M1806" t="s">
        <v>47</v>
      </c>
      <c r="N1806" t="s">
        <v>1626</v>
      </c>
      <c r="O1806" t="s">
        <v>707</v>
      </c>
      <c r="P1806" t="s">
        <v>1511</v>
      </c>
      <c r="Q1806">
        <v>-4.6900000000000004</v>
      </c>
      <c r="R1806" t="s">
        <v>2396</v>
      </c>
      <c r="S1806">
        <v>1.76</v>
      </c>
      <c r="T1806">
        <v>0</v>
      </c>
      <c r="U1806" t="s">
        <v>9454</v>
      </c>
      <c r="V1806">
        <v>0</v>
      </c>
      <c r="W1806" t="s">
        <v>1475</v>
      </c>
      <c r="X1806">
        <v>1.44</v>
      </c>
      <c r="Y1806" t="s">
        <v>7509</v>
      </c>
      <c r="Z1806">
        <v>0</v>
      </c>
      <c r="AA1806">
        <v>0</v>
      </c>
      <c r="AB1806">
        <v>1.1100000000000001</v>
      </c>
      <c r="AC1806" t="s">
        <v>1194</v>
      </c>
      <c r="AD1806">
        <v>41.93</v>
      </c>
      <c r="AE1806" t="s">
        <v>231</v>
      </c>
      <c r="AF1806">
        <v>2.59</v>
      </c>
      <c r="AG1806">
        <v>0</v>
      </c>
      <c r="AH1806">
        <v>0</v>
      </c>
      <c r="AI1806" s="4">
        <v>35649</v>
      </c>
    </row>
    <row r="1807" spans="1:35">
      <c r="A1807">
        <v>1806</v>
      </c>
      <c r="B1807" t="str">
        <f>"300683"</f>
        <v>300683</v>
      </c>
      <c r="C1807" t="s">
        <v>9455</v>
      </c>
      <c r="D1807" s="4">
        <v>43190</v>
      </c>
      <c r="E1807" t="s">
        <v>197</v>
      </c>
      <c r="F1807" t="s">
        <v>9456</v>
      </c>
      <c r="G1807">
        <v>1453</v>
      </c>
      <c r="H1807">
        <v>0.23</v>
      </c>
      <c r="I1807">
        <v>15.76</v>
      </c>
      <c r="J1807">
        <v>1.44</v>
      </c>
      <c r="K1807" t="s">
        <v>2306</v>
      </c>
      <c r="L1807">
        <v>-22.45</v>
      </c>
      <c r="M1807" t="s">
        <v>9457</v>
      </c>
      <c r="N1807" t="s">
        <v>9458</v>
      </c>
      <c r="O1807" t="s">
        <v>9459</v>
      </c>
      <c r="P1807" t="s">
        <v>9460</v>
      </c>
      <c r="Q1807">
        <v>-23.14</v>
      </c>
      <c r="R1807" t="s">
        <v>97</v>
      </c>
      <c r="S1807">
        <v>4.67</v>
      </c>
      <c r="T1807">
        <v>94.57</v>
      </c>
      <c r="U1807" t="s">
        <v>183</v>
      </c>
      <c r="V1807" t="s">
        <v>867</v>
      </c>
      <c r="W1807" t="s">
        <v>9461</v>
      </c>
      <c r="X1807">
        <v>1.44</v>
      </c>
      <c r="Y1807" t="s">
        <v>4614</v>
      </c>
      <c r="Z1807" t="s">
        <v>682</v>
      </c>
      <c r="AA1807" t="s">
        <v>9462</v>
      </c>
      <c r="AB1807">
        <v>3.09</v>
      </c>
      <c r="AC1807" t="s">
        <v>298</v>
      </c>
      <c r="AD1807">
        <v>87.23</v>
      </c>
      <c r="AE1807" t="s">
        <v>1856</v>
      </c>
      <c r="AF1807">
        <v>9.57</v>
      </c>
      <c r="AG1807">
        <v>0</v>
      </c>
      <c r="AH1807">
        <v>0</v>
      </c>
      <c r="AI1807" s="4">
        <v>42955</v>
      </c>
    </row>
    <row r="1808" spans="1:35">
      <c r="A1808">
        <v>1807</v>
      </c>
      <c r="B1808" t="str">
        <f>"300483"</f>
        <v>300483</v>
      </c>
      <c r="C1808" t="s">
        <v>9463</v>
      </c>
      <c r="D1808" s="4">
        <v>43190</v>
      </c>
      <c r="E1808" t="s">
        <v>5539</v>
      </c>
      <c r="F1808" t="s">
        <v>8889</v>
      </c>
      <c r="G1808">
        <v>4227</v>
      </c>
      <c r="H1808">
        <v>0.09</v>
      </c>
      <c r="I1808">
        <v>6.55</v>
      </c>
      <c r="J1808">
        <v>1.44</v>
      </c>
      <c r="K1808" t="s">
        <v>3786</v>
      </c>
      <c r="L1808">
        <v>-25.47</v>
      </c>
      <c r="M1808" t="s">
        <v>3855</v>
      </c>
      <c r="N1808" t="s">
        <v>9464</v>
      </c>
      <c r="O1808" t="s">
        <v>6903</v>
      </c>
      <c r="P1808" t="s">
        <v>7567</v>
      </c>
      <c r="Q1808">
        <v>-18.27</v>
      </c>
      <c r="R1808" t="s">
        <v>711</v>
      </c>
      <c r="S1808">
        <v>2.21</v>
      </c>
      <c r="T1808">
        <v>23.84</v>
      </c>
      <c r="U1808" t="s">
        <v>983</v>
      </c>
      <c r="V1808" t="s">
        <v>4614</v>
      </c>
      <c r="W1808" t="s">
        <v>4130</v>
      </c>
      <c r="X1808">
        <v>1.44</v>
      </c>
      <c r="Y1808" t="s">
        <v>613</v>
      </c>
      <c r="Z1808" t="s">
        <v>613</v>
      </c>
      <c r="AA1808" t="s">
        <v>9465</v>
      </c>
      <c r="AB1808">
        <v>3.98</v>
      </c>
      <c r="AC1808" t="s">
        <v>338</v>
      </c>
      <c r="AD1808">
        <v>25.41</v>
      </c>
      <c r="AE1808" t="s">
        <v>2123</v>
      </c>
      <c r="AF1808">
        <v>3.09</v>
      </c>
      <c r="AG1808">
        <v>0</v>
      </c>
      <c r="AH1808">
        <v>0</v>
      </c>
      <c r="AI1808" s="4">
        <v>42185</v>
      </c>
    </row>
    <row r="1809" spans="1:35">
      <c r="A1809">
        <v>1808</v>
      </c>
      <c r="B1809" t="str">
        <f>"002846"</f>
        <v>002846</v>
      </c>
      <c r="C1809" t="s">
        <v>9466</v>
      </c>
      <c r="D1809" s="4">
        <v>43190</v>
      </c>
      <c r="E1809" t="s">
        <v>200</v>
      </c>
      <c r="F1809" t="s">
        <v>9467</v>
      </c>
      <c r="G1809">
        <v>2194</v>
      </c>
      <c r="H1809">
        <v>0.04</v>
      </c>
      <c r="I1809">
        <v>2.75</v>
      </c>
      <c r="J1809">
        <v>1.44</v>
      </c>
      <c r="K1809" t="s">
        <v>1689</v>
      </c>
      <c r="L1809">
        <v>97.01</v>
      </c>
      <c r="M1809" t="s">
        <v>3785</v>
      </c>
      <c r="N1809" t="s">
        <v>5605</v>
      </c>
      <c r="O1809" t="s">
        <v>9468</v>
      </c>
      <c r="P1809" t="s">
        <v>9469</v>
      </c>
      <c r="Q1809">
        <v>-34.99</v>
      </c>
      <c r="R1809" t="s">
        <v>326</v>
      </c>
      <c r="S1809">
        <v>0.73</v>
      </c>
      <c r="T1809">
        <v>16.39</v>
      </c>
      <c r="U1809" t="s">
        <v>632</v>
      </c>
      <c r="V1809" t="s">
        <v>340</v>
      </c>
      <c r="W1809" t="s">
        <v>1004</v>
      </c>
      <c r="X1809">
        <v>1.44</v>
      </c>
      <c r="Y1809" t="s">
        <v>844</v>
      </c>
      <c r="Z1809" t="s">
        <v>1264</v>
      </c>
      <c r="AA1809" t="s">
        <v>1407</v>
      </c>
      <c r="AB1809">
        <v>4.5999999999999996</v>
      </c>
      <c r="AC1809" t="s">
        <v>174</v>
      </c>
      <c r="AD1809">
        <v>71.13</v>
      </c>
      <c r="AE1809" t="s">
        <v>1970</v>
      </c>
      <c r="AF1809">
        <v>1.06</v>
      </c>
      <c r="AG1809">
        <v>0</v>
      </c>
      <c r="AH1809">
        <v>0</v>
      </c>
      <c r="AI1809" s="4">
        <v>42773</v>
      </c>
    </row>
    <row r="1810" spans="1:35">
      <c r="A1810">
        <v>1809</v>
      </c>
      <c r="B1810" t="str">
        <f>"002746"</f>
        <v>002746</v>
      </c>
      <c r="C1810" t="s">
        <v>9470</v>
      </c>
      <c r="D1810" s="4">
        <v>43190</v>
      </c>
      <c r="E1810" t="s">
        <v>3441</v>
      </c>
      <c r="F1810" t="s">
        <v>531</v>
      </c>
      <c r="G1810">
        <v>7855</v>
      </c>
      <c r="H1810">
        <v>0.1</v>
      </c>
      <c r="I1810">
        <v>6.72</v>
      </c>
      <c r="J1810">
        <v>1.44</v>
      </c>
      <c r="K1810" t="s">
        <v>153</v>
      </c>
      <c r="L1810">
        <v>-2.81</v>
      </c>
      <c r="M1810" t="s">
        <v>3968</v>
      </c>
      <c r="N1810" t="s">
        <v>9471</v>
      </c>
      <c r="O1810" t="s">
        <v>9472</v>
      </c>
      <c r="P1810" t="s">
        <v>2981</v>
      </c>
      <c r="Q1810">
        <v>95.52</v>
      </c>
      <c r="R1810" t="s">
        <v>2149</v>
      </c>
      <c r="S1810">
        <v>2.13</v>
      </c>
      <c r="T1810">
        <v>7.01</v>
      </c>
      <c r="U1810" t="s">
        <v>1675</v>
      </c>
      <c r="V1810" t="s">
        <v>1244</v>
      </c>
      <c r="W1810" t="s">
        <v>1868</v>
      </c>
      <c r="X1810">
        <v>1.44</v>
      </c>
      <c r="Y1810" t="s">
        <v>506</v>
      </c>
      <c r="Z1810" t="s">
        <v>4176</v>
      </c>
      <c r="AA1810" t="s">
        <v>9473</v>
      </c>
      <c r="AB1810">
        <v>1.65</v>
      </c>
      <c r="AC1810" t="s">
        <v>449</v>
      </c>
      <c r="AD1810">
        <v>79.099999999999994</v>
      </c>
      <c r="AE1810" t="s">
        <v>1033</v>
      </c>
      <c r="AF1810">
        <v>3.43</v>
      </c>
      <c r="AG1810">
        <v>0</v>
      </c>
      <c r="AH1810">
        <v>0</v>
      </c>
      <c r="AI1810" s="4">
        <v>42051</v>
      </c>
    </row>
    <row r="1811" spans="1:35">
      <c r="A1811">
        <v>1810</v>
      </c>
      <c r="B1811" t="str">
        <f>"002394"</f>
        <v>002394</v>
      </c>
      <c r="C1811" t="s">
        <v>9474</v>
      </c>
      <c r="D1811" s="4">
        <v>43190</v>
      </c>
      <c r="E1811" t="s">
        <v>144</v>
      </c>
      <c r="F1811" t="s">
        <v>144</v>
      </c>
      <c r="G1811" t="s">
        <v>3310</v>
      </c>
      <c r="H1811">
        <v>0.14000000000000001</v>
      </c>
      <c r="I1811">
        <v>9.56</v>
      </c>
      <c r="J1811">
        <v>1.44</v>
      </c>
      <c r="K1811" t="s">
        <v>1094</v>
      </c>
      <c r="L1811">
        <v>13.28</v>
      </c>
      <c r="M1811" t="s">
        <v>9475</v>
      </c>
      <c r="N1811" t="s">
        <v>9476</v>
      </c>
      <c r="O1811" t="s">
        <v>9477</v>
      </c>
      <c r="P1811" t="s">
        <v>9033</v>
      </c>
      <c r="Q1811">
        <v>-25.2</v>
      </c>
      <c r="R1811" t="s">
        <v>76</v>
      </c>
      <c r="S1811">
        <v>5.05</v>
      </c>
      <c r="T1811">
        <v>14.29</v>
      </c>
      <c r="U1811" t="s">
        <v>2709</v>
      </c>
      <c r="V1811" t="s">
        <v>1516</v>
      </c>
      <c r="W1811" t="s">
        <v>1214</v>
      </c>
      <c r="X1811">
        <v>1.44</v>
      </c>
      <c r="Y1811" t="s">
        <v>973</v>
      </c>
      <c r="Z1811" t="s">
        <v>323</v>
      </c>
      <c r="AA1811" t="s">
        <v>9033</v>
      </c>
      <c r="AB1811">
        <v>1.05</v>
      </c>
      <c r="AC1811" t="s">
        <v>2057</v>
      </c>
      <c r="AD1811">
        <v>72.510000000000005</v>
      </c>
      <c r="AE1811" t="s">
        <v>8161</v>
      </c>
      <c r="AF1811">
        <v>2.98</v>
      </c>
      <c r="AG1811">
        <v>0</v>
      </c>
      <c r="AH1811">
        <v>0</v>
      </c>
      <c r="AI1811" s="4">
        <v>40291</v>
      </c>
    </row>
    <row r="1812" spans="1:35">
      <c r="A1812">
        <v>1811</v>
      </c>
      <c r="B1812" t="str">
        <f>"002131"</f>
        <v>002131</v>
      </c>
      <c r="C1812" t="s">
        <v>9478</v>
      </c>
      <c r="D1812" s="4">
        <v>43190</v>
      </c>
      <c r="E1812" t="s">
        <v>4015</v>
      </c>
      <c r="F1812" t="s">
        <v>884</v>
      </c>
      <c r="G1812" t="s">
        <v>5319</v>
      </c>
      <c r="H1812">
        <v>0.02</v>
      </c>
      <c r="I1812">
        <v>1.47</v>
      </c>
      <c r="J1812">
        <v>1.44</v>
      </c>
      <c r="K1812" t="s">
        <v>685</v>
      </c>
      <c r="L1812">
        <v>35.75</v>
      </c>
      <c r="M1812" t="s">
        <v>1626</v>
      </c>
      <c r="N1812" t="s">
        <v>9479</v>
      </c>
      <c r="O1812" t="s">
        <v>372</v>
      </c>
      <c r="P1812" t="s">
        <v>804</v>
      </c>
      <c r="Q1812">
        <v>-26.73</v>
      </c>
      <c r="R1812" t="s">
        <v>1678</v>
      </c>
      <c r="S1812">
        <v>0.31</v>
      </c>
      <c r="T1812">
        <v>12.57</v>
      </c>
      <c r="U1812" t="s">
        <v>1540</v>
      </c>
      <c r="V1812" t="s">
        <v>574</v>
      </c>
      <c r="W1812" t="s">
        <v>926</v>
      </c>
      <c r="X1812">
        <v>1.44</v>
      </c>
      <c r="Y1812" t="s">
        <v>3458</v>
      </c>
      <c r="Z1812" t="s">
        <v>1095</v>
      </c>
      <c r="AA1812" t="s">
        <v>449</v>
      </c>
      <c r="AB1812">
        <v>1.47</v>
      </c>
      <c r="AC1812" t="s">
        <v>414</v>
      </c>
      <c r="AD1812">
        <v>51.3</v>
      </c>
      <c r="AE1812" t="s">
        <v>3639</v>
      </c>
      <c r="AF1812">
        <v>0.17</v>
      </c>
      <c r="AG1812">
        <v>0</v>
      </c>
      <c r="AH1812">
        <v>0</v>
      </c>
      <c r="AI1812" s="4">
        <v>39199</v>
      </c>
    </row>
    <row r="1813" spans="1:35">
      <c r="A1813">
        <v>1812</v>
      </c>
      <c r="B1813" t="str">
        <f>"603633"</f>
        <v>603633</v>
      </c>
      <c r="C1813" t="s">
        <v>9480</v>
      </c>
      <c r="D1813" s="4">
        <v>43190</v>
      </c>
      <c r="E1813" t="s">
        <v>280</v>
      </c>
      <c r="F1813" t="s">
        <v>6819</v>
      </c>
      <c r="G1813">
        <v>5864</v>
      </c>
      <c r="H1813">
        <v>0.08</v>
      </c>
      <c r="I1813">
        <v>5.93</v>
      </c>
      <c r="J1813">
        <v>1.43</v>
      </c>
      <c r="K1813" t="s">
        <v>2307</v>
      </c>
      <c r="L1813">
        <v>20.39</v>
      </c>
      <c r="M1813" t="s">
        <v>9481</v>
      </c>
      <c r="N1813">
        <v>0</v>
      </c>
      <c r="O1813" t="s">
        <v>9482</v>
      </c>
      <c r="P1813" t="s">
        <v>9483</v>
      </c>
      <c r="Q1813">
        <v>15.75</v>
      </c>
      <c r="R1813" t="s">
        <v>1918</v>
      </c>
      <c r="S1813">
        <v>2.94</v>
      </c>
      <c r="T1813">
        <v>30.85</v>
      </c>
      <c r="U1813" t="s">
        <v>323</v>
      </c>
      <c r="V1813" t="s">
        <v>3900</v>
      </c>
      <c r="W1813" t="s">
        <v>1229</v>
      </c>
      <c r="X1813">
        <v>1.43</v>
      </c>
      <c r="Y1813" t="s">
        <v>2590</v>
      </c>
      <c r="Z1813" t="s">
        <v>204</v>
      </c>
      <c r="AA1813" t="s">
        <v>6352</v>
      </c>
      <c r="AB1813">
        <v>2.6</v>
      </c>
      <c r="AC1813" t="s">
        <v>2454</v>
      </c>
      <c r="AD1813">
        <v>64.53</v>
      </c>
      <c r="AE1813" t="s">
        <v>148</v>
      </c>
      <c r="AF1813">
        <v>1.64</v>
      </c>
      <c r="AG1813">
        <v>0</v>
      </c>
      <c r="AH1813">
        <v>0</v>
      </c>
      <c r="AI1813" s="4">
        <v>42691</v>
      </c>
    </row>
    <row r="1814" spans="1:35">
      <c r="A1814">
        <v>1813</v>
      </c>
      <c r="B1814" t="str">
        <f>"603500"</f>
        <v>603500</v>
      </c>
      <c r="C1814" t="s">
        <v>9484</v>
      </c>
      <c r="D1814" s="4">
        <v>43190</v>
      </c>
      <c r="E1814" t="s">
        <v>322</v>
      </c>
      <c r="F1814" t="s">
        <v>9485</v>
      </c>
      <c r="G1814">
        <v>1924</v>
      </c>
      <c r="H1814">
        <v>0.09</v>
      </c>
      <c r="I1814">
        <v>6.32</v>
      </c>
      <c r="J1814">
        <v>1.43</v>
      </c>
      <c r="K1814" t="s">
        <v>9486</v>
      </c>
      <c r="L1814">
        <v>33.83</v>
      </c>
      <c r="M1814" t="s">
        <v>5332</v>
      </c>
      <c r="N1814">
        <v>0</v>
      </c>
      <c r="O1814" t="s">
        <v>9487</v>
      </c>
      <c r="P1814" t="s">
        <v>9084</v>
      </c>
      <c r="Q1814">
        <v>2.48</v>
      </c>
      <c r="R1814" t="s">
        <v>2034</v>
      </c>
      <c r="S1814">
        <v>1.2</v>
      </c>
      <c r="T1814">
        <v>38.92</v>
      </c>
      <c r="U1814" t="s">
        <v>1509</v>
      </c>
      <c r="V1814" t="s">
        <v>1319</v>
      </c>
      <c r="W1814" t="s">
        <v>600</v>
      </c>
      <c r="X1814">
        <v>1.43</v>
      </c>
      <c r="Y1814" t="s">
        <v>9488</v>
      </c>
      <c r="Z1814" t="s">
        <v>9489</v>
      </c>
      <c r="AA1814" t="s">
        <v>3693</v>
      </c>
      <c r="AB1814">
        <v>4.45</v>
      </c>
      <c r="AC1814" t="s">
        <v>2380</v>
      </c>
      <c r="AD1814">
        <v>92.94</v>
      </c>
      <c r="AE1814" t="s">
        <v>2563</v>
      </c>
      <c r="AF1814">
        <v>3.98</v>
      </c>
      <c r="AG1814">
        <v>0</v>
      </c>
      <c r="AH1814">
        <v>0</v>
      </c>
      <c r="AI1814" s="4">
        <v>42982</v>
      </c>
    </row>
    <row r="1815" spans="1:35">
      <c r="A1815">
        <v>1814</v>
      </c>
      <c r="B1815" t="str">
        <f>"601198"</f>
        <v>601198</v>
      </c>
      <c r="C1815" t="s">
        <v>9490</v>
      </c>
      <c r="D1815" s="4">
        <v>43190</v>
      </c>
      <c r="E1815" t="s">
        <v>2523</v>
      </c>
      <c r="F1815" t="s">
        <v>2523</v>
      </c>
      <c r="G1815" t="s">
        <v>4875</v>
      </c>
      <c r="H1815">
        <v>0.1</v>
      </c>
      <c r="I1815">
        <v>7.05</v>
      </c>
      <c r="J1815">
        <v>1.43</v>
      </c>
      <c r="K1815" t="s">
        <v>1523</v>
      </c>
      <c r="L1815">
        <v>-8.75</v>
      </c>
      <c r="M1815" t="s">
        <v>144</v>
      </c>
      <c r="N1815" t="s">
        <v>3119</v>
      </c>
      <c r="O1815" t="s">
        <v>90</v>
      </c>
      <c r="P1815" t="s">
        <v>91</v>
      </c>
      <c r="Q1815">
        <v>-8.3000000000000007</v>
      </c>
      <c r="R1815" t="s">
        <v>2694</v>
      </c>
      <c r="S1815">
        <v>1.53</v>
      </c>
      <c r="T1815">
        <v>0</v>
      </c>
      <c r="U1815" t="s">
        <v>3874</v>
      </c>
      <c r="V1815">
        <v>0</v>
      </c>
      <c r="W1815" t="s">
        <v>292</v>
      </c>
      <c r="X1815">
        <v>1.43</v>
      </c>
      <c r="Y1815" t="s">
        <v>9491</v>
      </c>
      <c r="Z1815">
        <v>0</v>
      </c>
      <c r="AA1815">
        <v>0</v>
      </c>
      <c r="AB1815">
        <v>1.99</v>
      </c>
      <c r="AC1815" t="s">
        <v>462</v>
      </c>
      <c r="AD1815">
        <v>22.4</v>
      </c>
      <c r="AE1815" t="s">
        <v>9492</v>
      </c>
      <c r="AF1815">
        <v>3.54</v>
      </c>
      <c r="AG1815">
        <v>0</v>
      </c>
      <c r="AH1815">
        <v>0</v>
      </c>
      <c r="AI1815" s="4">
        <v>42061</v>
      </c>
    </row>
    <row r="1816" spans="1:35">
      <c r="A1816">
        <v>1815</v>
      </c>
      <c r="B1816" t="str">
        <f>"002917"</f>
        <v>002917</v>
      </c>
      <c r="C1816" t="s">
        <v>9493</v>
      </c>
      <c r="D1816" s="4">
        <v>43190</v>
      </c>
      <c r="E1816" t="s">
        <v>1349</v>
      </c>
      <c r="F1816" t="s">
        <v>6063</v>
      </c>
      <c r="G1816">
        <v>1428</v>
      </c>
      <c r="H1816">
        <v>0.08</v>
      </c>
      <c r="I1816">
        <v>5.0199999999999996</v>
      </c>
      <c r="J1816">
        <v>1.43</v>
      </c>
      <c r="K1816" t="s">
        <v>4612</v>
      </c>
      <c r="L1816">
        <v>-15.79</v>
      </c>
      <c r="M1816" t="s">
        <v>171</v>
      </c>
      <c r="N1816" t="s">
        <v>4977</v>
      </c>
      <c r="O1816" t="s">
        <v>9494</v>
      </c>
      <c r="P1816" t="s">
        <v>9495</v>
      </c>
      <c r="Q1816">
        <v>-16.670000000000002</v>
      </c>
      <c r="R1816" t="s">
        <v>280</v>
      </c>
      <c r="S1816">
        <v>0.87</v>
      </c>
      <c r="T1816">
        <v>35.51</v>
      </c>
      <c r="U1816" t="s">
        <v>598</v>
      </c>
      <c r="V1816" t="s">
        <v>1444</v>
      </c>
      <c r="W1816" t="s">
        <v>7168</v>
      </c>
      <c r="X1816">
        <v>1.43</v>
      </c>
      <c r="Y1816" t="s">
        <v>280</v>
      </c>
      <c r="Z1816" t="s">
        <v>1475</v>
      </c>
      <c r="AA1816" t="s">
        <v>9496</v>
      </c>
      <c r="AB1816">
        <v>6.84</v>
      </c>
      <c r="AC1816" t="s">
        <v>5084</v>
      </c>
      <c r="AD1816">
        <v>78.8</v>
      </c>
      <c r="AE1816" t="s">
        <v>2041</v>
      </c>
      <c r="AF1816">
        <v>3.05</v>
      </c>
      <c r="AG1816">
        <v>0</v>
      </c>
      <c r="AH1816">
        <v>0</v>
      </c>
      <c r="AI1816" s="4">
        <v>43077</v>
      </c>
    </row>
    <row r="1817" spans="1:35">
      <c r="A1817">
        <v>1816</v>
      </c>
      <c r="B1817" t="str">
        <f>"002065"</f>
        <v>002065</v>
      </c>
      <c r="C1817" t="s">
        <v>9497</v>
      </c>
      <c r="D1817" s="4">
        <v>43190</v>
      </c>
      <c r="E1817" t="s">
        <v>1380</v>
      </c>
      <c r="F1817" t="s">
        <v>502</v>
      </c>
      <c r="G1817" t="s">
        <v>7203</v>
      </c>
      <c r="H1817">
        <v>0.04</v>
      </c>
      <c r="I1817">
        <v>2.88</v>
      </c>
      <c r="J1817">
        <v>1.43</v>
      </c>
      <c r="K1817" t="s">
        <v>538</v>
      </c>
      <c r="L1817">
        <v>9.34</v>
      </c>
      <c r="M1817" t="s">
        <v>1376</v>
      </c>
      <c r="N1817" t="s">
        <v>9498</v>
      </c>
      <c r="O1817" t="s">
        <v>372</v>
      </c>
      <c r="P1817" t="s">
        <v>1370</v>
      </c>
      <c r="Q1817">
        <v>-71.180000000000007</v>
      </c>
      <c r="R1817" t="s">
        <v>1205</v>
      </c>
      <c r="S1817">
        <v>0.95</v>
      </c>
      <c r="T1817">
        <v>31.18</v>
      </c>
      <c r="U1817" t="s">
        <v>412</v>
      </c>
      <c r="V1817" t="s">
        <v>1089</v>
      </c>
      <c r="W1817" t="s">
        <v>478</v>
      </c>
      <c r="X1817">
        <v>1.43</v>
      </c>
      <c r="Y1817" t="s">
        <v>3578</v>
      </c>
      <c r="Z1817" t="s">
        <v>2562</v>
      </c>
      <c r="AA1817" t="s">
        <v>9499</v>
      </c>
      <c r="AB1817">
        <v>2.84</v>
      </c>
      <c r="AC1817" t="s">
        <v>3381</v>
      </c>
      <c r="AD1817">
        <v>63.04</v>
      </c>
      <c r="AE1817" t="s">
        <v>242</v>
      </c>
      <c r="AF1817">
        <v>0.75</v>
      </c>
      <c r="AG1817">
        <v>0</v>
      </c>
      <c r="AH1817">
        <v>0</v>
      </c>
      <c r="AI1817" s="4">
        <v>38952</v>
      </c>
    </row>
    <row r="1818" spans="1:35">
      <c r="A1818">
        <v>1817</v>
      </c>
      <c r="B1818" t="str">
        <f>"603421"</f>
        <v>603421</v>
      </c>
      <c r="C1818" t="s">
        <v>9500</v>
      </c>
      <c r="D1818" s="4">
        <v>43190</v>
      </c>
      <c r="E1818" t="s">
        <v>1563</v>
      </c>
      <c r="F1818" t="s">
        <v>9254</v>
      </c>
      <c r="G1818">
        <v>2419</v>
      </c>
      <c r="H1818">
        <v>7.0000000000000007E-2</v>
      </c>
      <c r="I1818">
        <v>4.87</v>
      </c>
      <c r="J1818">
        <v>1.42</v>
      </c>
      <c r="K1818" t="s">
        <v>1511</v>
      </c>
      <c r="L1818">
        <v>39.65</v>
      </c>
      <c r="M1818" t="s">
        <v>9501</v>
      </c>
      <c r="N1818">
        <v>0</v>
      </c>
      <c r="O1818" t="s">
        <v>9502</v>
      </c>
      <c r="P1818" t="s">
        <v>8479</v>
      </c>
      <c r="Q1818">
        <v>-56.5</v>
      </c>
      <c r="R1818" t="s">
        <v>1496</v>
      </c>
      <c r="S1818">
        <v>2.31</v>
      </c>
      <c r="T1818">
        <v>50.77</v>
      </c>
      <c r="U1818" t="s">
        <v>370</v>
      </c>
      <c r="V1818" t="s">
        <v>141</v>
      </c>
      <c r="W1818" t="s">
        <v>2115</v>
      </c>
      <c r="X1818">
        <v>1.42</v>
      </c>
      <c r="Y1818" t="s">
        <v>142</v>
      </c>
      <c r="Z1818" t="s">
        <v>142</v>
      </c>
      <c r="AA1818">
        <v>0</v>
      </c>
      <c r="AB1818">
        <v>3.45</v>
      </c>
      <c r="AC1818" t="s">
        <v>114</v>
      </c>
      <c r="AD1818">
        <v>83.09</v>
      </c>
      <c r="AE1818" t="s">
        <v>190</v>
      </c>
      <c r="AF1818">
        <v>1.48</v>
      </c>
      <c r="AG1818">
        <v>0</v>
      </c>
      <c r="AH1818">
        <v>0</v>
      </c>
      <c r="AI1818" s="4">
        <v>42654</v>
      </c>
    </row>
    <row r="1819" spans="1:35">
      <c r="A1819">
        <v>1818</v>
      </c>
      <c r="B1819" t="str">
        <f>"601588"</f>
        <v>601588</v>
      </c>
      <c r="C1819" t="s">
        <v>9503</v>
      </c>
      <c r="D1819" s="4">
        <v>43190</v>
      </c>
      <c r="E1819" t="s">
        <v>1219</v>
      </c>
      <c r="F1819" t="s">
        <v>1308</v>
      </c>
      <c r="G1819">
        <v>0</v>
      </c>
      <c r="H1819">
        <v>0.05</v>
      </c>
      <c r="I1819">
        <v>3.93</v>
      </c>
      <c r="J1819">
        <v>1.42</v>
      </c>
      <c r="K1819" t="s">
        <v>79</v>
      </c>
      <c r="L1819">
        <v>-43.09</v>
      </c>
      <c r="M1819" t="s">
        <v>474</v>
      </c>
      <c r="N1819" t="s">
        <v>9504</v>
      </c>
      <c r="O1819" t="s">
        <v>2142</v>
      </c>
      <c r="P1819" t="s">
        <v>1839</v>
      </c>
      <c r="Q1819">
        <v>-39.61</v>
      </c>
      <c r="R1819" t="s">
        <v>4286</v>
      </c>
      <c r="S1819">
        <v>1.59</v>
      </c>
      <c r="T1819">
        <v>39.01</v>
      </c>
      <c r="U1819" t="s">
        <v>5068</v>
      </c>
      <c r="V1819" t="s">
        <v>9505</v>
      </c>
      <c r="W1819" t="s">
        <v>276</v>
      </c>
      <c r="X1819">
        <v>1.42</v>
      </c>
      <c r="Y1819" t="s">
        <v>9506</v>
      </c>
      <c r="Z1819" t="s">
        <v>2717</v>
      </c>
      <c r="AA1819" t="s">
        <v>5857</v>
      </c>
      <c r="AB1819">
        <v>0.92</v>
      </c>
      <c r="AC1819" t="s">
        <v>2504</v>
      </c>
      <c r="AD1819">
        <v>16.55</v>
      </c>
      <c r="AE1819" t="s">
        <v>4558</v>
      </c>
      <c r="AF1819">
        <v>1.08</v>
      </c>
      <c r="AG1819">
        <v>0</v>
      </c>
      <c r="AH1819" t="s">
        <v>1770</v>
      </c>
      <c r="AI1819" s="4">
        <v>39006</v>
      </c>
    </row>
    <row r="1820" spans="1:35">
      <c r="A1820">
        <v>1819</v>
      </c>
      <c r="B1820" t="str">
        <f>"600586"</f>
        <v>600586</v>
      </c>
      <c r="C1820" t="s">
        <v>9507</v>
      </c>
      <c r="D1820" s="4">
        <v>43190</v>
      </c>
      <c r="E1820" t="s">
        <v>584</v>
      </c>
      <c r="F1820" t="s">
        <v>161</v>
      </c>
      <c r="G1820" t="s">
        <v>6893</v>
      </c>
      <c r="H1820">
        <v>0.04</v>
      </c>
      <c r="I1820">
        <v>2.92</v>
      </c>
      <c r="J1820">
        <v>1.42</v>
      </c>
      <c r="K1820" t="s">
        <v>613</v>
      </c>
      <c r="L1820">
        <v>35.909999999999997</v>
      </c>
      <c r="M1820" t="s">
        <v>9508</v>
      </c>
      <c r="N1820" t="s">
        <v>9509</v>
      </c>
      <c r="O1820" t="s">
        <v>9510</v>
      </c>
      <c r="P1820" t="s">
        <v>2772</v>
      </c>
      <c r="Q1820">
        <v>27.5</v>
      </c>
      <c r="R1820" t="s">
        <v>2148</v>
      </c>
      <c r="S1820">
        <v>0.53</v>
      </c>
      <c r="T1820">
        <v>19.579999999999998</v>
      </c>
      <c r="U1820" t="s">
        <v>4691</v>
      </c>
      <c r="V1820" t="s">
        <v>1396</v>
      </c>
      <c r="W1820" t="s">
        <v>1050</v>
      </c>
      <c r="X1820">
        <v>1.42</v>
      </c>
      <c r="Y1820" t="s">
        <v>1326</v>
      </c>
      <c r="Z1820" t="s">
        <v>524</v>
      </c>
      <c r="AA1820" t="s">
        <v>299</v>
      </c>
      <c r="AB1820">
        <v>1.1299999999999999</v>
      </c>
      <c r="AC1820" t="s">
        <v>2105</v>
      </c>
      <c r="AD1820">
        <v>44.64</v>
      </c>
      <c r="AE1820" t="s">
        <v>1284</v>
      </c>
      <c r="AF1820">
        <v>1.35</v>
      </c>
      <c r="AG1820">
        <v>0</v>
      </c>
      <c r="AH1820">
        <v>0</v>
      </c>
      <c r="AI1820" s="4">
        <v>37483</v>
      </c>
    </row>
    <row r="1821" spans="1:35">
      <c r="A1821">
        <v>1820</v>
      </c>
      <c r="B1821" t="str">
        <f>"300310"</f>
        <v>300310</v>
      </c>
      <c r="C1821" t="s">
        <v>9511</v>
      </c>
      <c r="D1821" s="4">
        <v>43190</v>
      </c>
      <c r="E1821" t="s">
        <v>5880</v>
      </c>
      <c r="F1821" t="s">
        <v>2094</v>
      </c>
      <c r="G1821" t="s">
        <v>853</v>
      </c>
      <c r="H1821">
        <v>0.06</v>
      </c>
      <c r="I1821">
        <v>3.98</v>
      </c>
      <c r="J1821">
        <v>1.42</v>
      </c>
      <c r="K1821" t="s">
        <v>2089</v>
      </c>
      <c r="L1821">
        <v>40.78</v>
      </c>
      <c r="M1821" t="s">
        <v>9512</v>
      </c>
      <c r="N1821" t="s">
        <v>9513</v>
      </c>
      <c r="O1821" t="s">
        <v>9514</v>
      </c>
      <c r="P1821" t="s">
        <v>9222</v>
      </c>
      <c r="Q1821">
        <v>4.58</v>
      </c>
      <c r="R1821" t="s">
        <v>2095</v>
      </c>
      <c r="S1821">
        <v>0.68</v>
      </c>
      <c r="T1821">
        <v>20.84</v>
      </c>
      <c r="U1821" t="s">
        <v>893</v>
      </c>
      <c r="V1821" t="s">
        <v>261</v>
      </c>
      <c r="W1821" t="s">
        <v>3674</v>
      </c>
      <c r="X1821">
        <v>1.42</v>
      </c>
      <c r="Y1821" t="s">
        <v>1047</v>
      </c>
      <c r="Z1821" t="s">
        <v>2139</v>
      </c>
      <c r="AA1821" t="s">
        <v>9515</v>
      </c>
      <c r="AB1821">
        <v>1.66</v>
      </c>
      <c r="AC1821" t="s">
        <v>464</v>
      </c>
      <c r="AD1821">
        <v>81.22</v>
      </c>
      <c r="AE1821" t="s">
        <v>1693</v>
      </c>
      <c r="AF1821">
        <v>2.37</v>
      </c>
      <c r="AG1821">
        <v>0</v>
      </c>
      <c r="AH1821">
        <v>0</v>
      </c>
      <c r="AI1821" s="4">
        <v>41024</v>
      </c>
    </row>
    <row r="1822" spans="1:35">
      <c r="A1822">
        <v>1821</v>
      </c>
      <c r="B1822" t="str">
        <f>"300227"</f>
        <v>300227</v>
      </c>
      <c r="C1822" t="s">
        <v>9516</v>
      </c>
      <c r="D1822" s="4">
        <v>43190</v>
      </c>
      <c r="E1822" t="s">
        <v>262</v>
      </c>
      <c r="F1822" t="s">
        <v>1936</v>
      </c>
      <c r="G1822">
        <v>6627</v>
      </c>
      <c r="H1822">
        <v>0.05</v>
      </c>
      <c r="I1822">
        <v>3.17</v>
      </c>
      <c r="J1822">
        <v>1.42</v>
      </c>
      <c r="K1822" t="s">
        <v>642</v>
      </c>
      <c r="L1822">
        <v>49.69</v>
      </c>
      <c r="M1822" t="s">
        <v>9517</v>
      </c>
      <c r="N1822">
        <v>0</v>
      </c>
      <c r="O1822" t="s">
        <v>9518</v>
      </c>
      <c r="P1822" t="s">
        <v>9519</v>
      </c>
      <c r="Q1822">
        <v>124.91</v>
      </c>
      <c r="R1822" t="s">
        <v>454</v>
      </c>
      <c r="S1822">
        <v>0.92</v>
      </c>
      <c r="T1822">
        <v>42.95</v>
      </c>
      <c r="U1822" t="s">
        <v>295</v>
      </c>
      <c r="V1822" t="s">
        <v>1295</v>
      </c>
      <c r="W1822" t="s">
        <v>2590</v>
      </c>
      <c r="X1822">
        <v>1.42</v>
      </c>
      <c r="Y1822" t="s">
        <v>1789</v>
      </c>
      <c r="Z1822" t="s">
        <v>1791</v>
      </c>
      <c r="AA1822" t="s">
        <v>9520</v>
      </c>
      <c r="AB1822">
        <v>3.29</v>
      </c>
      <c r="AC1822" t="s">
        <v>3802</v>
      </c>
      <c r="AD1822">
        <v>67.040000000000006</v>
      </c>
      <c r="AE1822" t="s">
        <v>597</v>
      </c>
      <c r="AF1822">
        <v>1.22</v>
      </c>
      <c r="AG1822">
        <v>0</v>
      </c>
      <c r="AH1822">
        <v>0</v>
      </c>
      <c r="AI1822" s="4">
        <v>40702</v>
      </c>
    </row>
    <row r="1823" spans="1:35">
      <c r="A1823">
        <v>1822</v>
      </c>
      <c r="B1823" t="str">
        <f>"002853"</f>
        <v>002853</v>
      </c>
      <c r="C1823" t="s">
        <v>9521</v>
      </c>
      <c r="D1823" s="4">
        <v>43190</v>
      </c>
      <c r="E1823" t="s">
        <v>863</v>
      </c>
      <c r="F1823" t="s">
        <v>9522</v>
      </c>
      <c r="G1823">
        <v>2422</v>
      </c>
      <c r="H1823">
        <v>0.08</v>
      </c>
      <c r="I1823">
        <v>5.79</v>
      </c>
      <c r="J1823">
        <v>1.42</v>
      </c>
      <c r="K1823" t="s">
        <v>1077</v>
      </c>
      <c r="L1823">
        <v>73.849999999999994</v>
      </c>
      <c r="M1823" t="s">
        <v>9523</v>
      </c>
      <c r="N1823" t="s">
        <v>4566</v>
      </c>
      <c r="O1823" t="s">
        <v>8374</v>
      </c>
      <c r="P1823" t="s">
        <v>6758</v>
      </c>
      <c r="Q1823">
        <v>58.55</v>
      </c>
      <c r="R1823" t="s">
        <v>2889</v>
      </c>
      <c r="S1823">
        <v>1.44</v>
      </c>
      <c r="T1823">
        <v>32.39</v>
      </c>
      <c r="U1823" t="s">
        <v>926</v>
      </c>
      <c r="V1823" t="s">
        <v>4861</v>
      </c>
      <c r="W1823" t="s">
        <v>319</v>
      </c>
      <c r="X1823">
        <v>1.42</v>
      </c>
      <c r="Y1823" t="s">
        <v>1964</v>
      </c>
      <c r="Z1823" t="s">
        <v>594</v>
      </c>
      <c r="AA1823" t="s">
        <v>9524</v>
      </c>
      <c r="AB1823">
        <v>3.87</v>
      </c>
      <c r="AC1823" t="s">
        <v>2000</v>
      </c>
      <c r="AD1823">
        <v>72.099999999999994</v>
      </c>
      <c r="AE1823" t="s">
        <v>3496</v>
      </c>
      <c r="AF1823">
        <v>3.14</v>
      </c>
      <c r="AG1823">
        <v>0</v>
      </c>
      <c r="AH1823">
        <v>0</v>
      </c>
      <c r="AI1823" s="4">
        <v>42804</v>
      </c>
    </row>
    <row r="1824" spans="1:35">
      <c r="A1824">
        <v>1823</v>
      </c>
      <c r="B1824" t="str">
        <f>"002154"</f>
        <v>002154</v>
      </c>
      <c r="C1824" t="s">
        <v>9525</v>
      </c>
      <c r="D1824" s="4">
        <v>43190</v>
      </c>
      <c r="E1824" t="s">
        <v>164</v>
      </c>
      <c r="F1824" t="s">
        <v>323</v>
      </c>
      <c r="G1824">
        <v>9771</v>
      </c>
      <c r="H1824">
        <v>0.03</v>
      </c>
      <c r="I1824">
        <v>2</v>
      </c>
      <c r="J1824">
        <v>1.42</v>
      </c>
      <c r="K1824" t="s">
        <v>46</v>
      </c>
      <c r="L1824">
        <v>32.94</v>
      </c>
      <c r="M1824" t="s">
        <v>2911</v>
      </c>
      <c r="N1824" t="s">
        <v>9526</v>
      </c>
      <c r="O1824" t="s">
        <v>9527</v>
      </c>
      <c r="P1824" t="s">
        <v>9528</v>
      </c>
      <c r="Q1824">
        <v>150.21</v>
      </c>
      <c r="R1824" t="s">
        <v>919</v>
      </c>
      <c r="S1824">
        <v>0.82</v>
      </c>
      <c r="T1824">
        <v>61.84</v>
      </c>
      <c r="U1824" t="s">
        <v>2239</v>
      </c>
      <c r="V1824" t="s">
        <v>1062</v>
      </c>
      <c r="W1824" t="s">
        <v>1618</v>
      </c>
      <c r="X1824">
        <v>1.42</v>
      </c>
      <c r="Y1824" t="s">
        <v>1792</v>
      </c>
      <c r="Z1824" t="s">
        <v>759</v>
      </c>
      <c r="AA1824" t="s">
        <v>8740</v>
      </c>
      <c r="AB1824">
        <v>1.55</v>
      </c>
      <c r="AC1824" t="s">
        <v>1347</v>
      </c>
      <c r="AD1824">
        <v>60.86</v>
      </c>
      <c r="AE1824" t="s">
        <v>798</v>
      </c>
      <c r="AF1824">
        <v>0.21</v>
      </c>
      <c r="AG1824">
        <v>0</v>
      </c>
      <c r="AH1824">
        <v>0</v>
      </c>
      <c r="AI1824" s="4">
        <v>39310</v>
      </c>
    </row>
    <row r="1825" spans="1:35">
      <c r="A1825">
        <v>1824</v>
      </c>
      <c r="B1825" t="str">
        <f>"603269"</f>
        <v>603269</v>
      </c>
      <c r="C1825" t="s">
        <v>9529</v>
      </c>
      <c r="D1825" s="4">
        <v>43190</v>
      </c>
      <c r="E1825" t="s">
        <v>9530</v>
      </c>
      <c r="F1825" t="s">
        <v>8024</v>
      </c>
      <c r="G1825">
        <v>1530</v>
      </c>
      <c r="H1825">
        <v>0.1</v>
      </c>
      <c r="I1825">
        <v>6.85</v>
      </c>
      <c r="J1825">
        <v>1.41</v>
      </c>
      <c r="K1825" t="s">
        <v>677</v>
      </c>
      <c r="L1825">
        <v>9.14</v>
      </c>
      <c r="M1825" t="s">
        <v>7304</v>
      </c>
      <c r="N1825" t="s">
        <v>9531</v>
      </c>
      <c r="O1825" t="s">
        <v>9532</v>
      </c>
      <c r="P1825" t="s">
        <v>9533</v>
      </c>
      <c r="Q1825">
        <v>54.37</v>
      </c>
      <c r="R1825" t="s">
        <v>234</v>
      </c>
      <c r="S1825">
        <v>2.91</v>
      </c>
      <c r="T1825">
        <v>29.53</v>
      </c>
      <c r="U1825" t="s">
        <v>982</v>
      </c>
      <c r="V1825" t="s">
        <v>5543</v>
      </c>
      <c r="W1825" t="s">
        <v>993</v>
      </c>
      <c r="X1825">
        <v>1.41</v>
      </c>
      <c r="Y1825" t="s">
        <v>3238</v>
      </c>
      <c r="Z1825" t="s">
        <v>318</v>
      </c>
      <c r="AA1825" t="s">
        <v>9534</v>
      </c>
      <c r="AB1825">
        <v>2.68</v>
      </c>
      <c r="AC1825" t="s">
        <v>1907</v>
      </c>
      <c r="AD1825">
        <v>52.52</v>
      </c>
      <c r="AE1825" t="s">
        <v>2733</v>
      </c>
      <c r="AF1825">
        <v>2.4700000000000002</v>
      </c>
      <c r="AG1825">
        <v>0</v>
      </c>
      <c r="AH1825">
        <v>0</v>
      </c>
      <c r="AI1825" s="4">
        <v>42872</v>
      </c>
    </row>
    <row r="1826" spans="1:35">
      <c r="A1826">
        <v>1825</v>
      </c>
      <c r="B1826" t="str">
        <f>"601717"</f>
        <v>601717</v>
      </c>
      <c r="C1826" t="s">
        <v>9535</v>
      </c>
      <c r="D1826" s="4">
        <v>43190</v>
      </c>
      <c r="E1826" t="s">
        <v>79</v>
      </c>
      <c r="F1826" t="s">
        <v>141</v>
      </c>
      <c r="G1826" t="s">
        <v>6544</v>
      </c>
      <c r="H1826">
        <v>0.09</v>
      </c>
      <c r="I1826">
        <v>6.32</v>
      </c>
      <c r="J1826">
        <v>1.41</v>
      </c>
      <c r="K1826" t="s">
        <v>981</v>
      </c>
      <c r="L1826">
        <v>192.04</v>
      </c>
      <c r="M1826" t="s">
        <v>1435</v>
      </c>
      <c r="N1826" t="s">
        <v>9536</v>
      </c>
      <c r="O1826" t="s">
        <v>1435</v>
      </c>
      <c r="P1826" t="s">
        <v>452</v>
      </c>
      <c r="Q1826">
        <v>106.51</v>
      </c>
      <c r="R1826" t="s">
        <v>1669</v>
      </c>
      <c r="S1826">
        <v>2.4700000000000002</v>
      </c>
      <c r="T1826">
        <v>26.04</v>
      </c>
      <c r="U1826" t="s">
        <v>1495</v>
      </c>
      <c r="V1826" t="s">
        <v>1159</v>
      </c>
      <c r="W1826" t="s">
        <v>1347</v>
      </c>
      <c r="X1826">
        <v>1.41</v>
      </c>
      <c r="Y1826" t="s">
        <v>2677</v>
      </c>
      <c r="Z1826" t="s">
        <v>2749</v>
      </c>
      <c r="AA1826" t="s">
        <v>249</v>
      </c>
      <c r="AB1826">
        <v>0.87</v>
      </c>
      <c r="AC1826" t="s">
        <v>586</v>
      </c>
      <c r="AD1826">
        <v>54.13</v>
      </c>
      <c r="AE1826" t="s">
        <v>1032</v>
      </c>
      <c r="AF1826">
        <v>2.48</v>
      </c>
      <c r="AG1826">
        <v>0</v>
      </c>
      <c r="AH1826" t="s">
        <v>3674</v>
      </c>
      <c r="AI1826" s="4">
        <v>40393</v>
      </c>
    </row>
    <row r="1827" spans="1:35">
      <c r="A1827">
        <v>1826</v>
      </c>
      <c r="B1827" t="str">
        <f>"600652"</f>
        <v>600652</v>
      </c>
      <c r="C1827" t="s">
        <v>9537</v>
      </c>
      <c r="D1827" s="4">
        <v>43190</v>
      </c>
      <c r="E1827" t="s">
        <v>1561</v>
      </c>
      <c r="F1827" t="s">
        <v>1561</v>
      </c>
      <c r="G1827">
        <v>8469</v>
      </c>
      <c r="H1827">
        <v>0.03</v>
      </c>
      <c r="I1827">
        <v>2.09</v>
      </c>
      <c r="J1827">
        <v>1.41</v>
      </c>
      <c r="K1827" t="s">
        <v>9538</v>
      </c>
      <c r="L1827">
        <v>-46.27</v>
      </c>
      <c r="M1827" t="s">
        <v>9539</v>
      </c>
      <c r="N1827" t="s">
        <v>1353</v>
      </c>
      <c r="O1827" t="s">
        <v>2994</v>
      </c>
      <c r="P1827" t="s">
        <v>1191</v>
      </c>
      <c r="Q1827">
        <v>69.52</v>
      </c>
      <c r="R1827" t="s">
        <v>9540</v>
      </c>
      <c r="S1827">
        <v>-0.03</v>
      </c>
      <c r="T1827">
        <v>59.61</v>
      </c>
      <c r="U1827" t="s">
        <v>1920</v>
      </c>
      <c r="V1827" t="s">
        <v>2938</v>
      </c>
      <c r="W1827" t="s">
        <v>9541</v>
      </c>
      <c r="X1827">
        <v>1.41</v>
      </c>
      <c r="Y1827" t="s">
        <v>1791</v>
      </c>
      <c r="Z1827" t="s">
        <v>535</v>
      </c>
      <c r="AA1827" t="s">
        <v>8415</v>
      </c>
      <c r="AB1827">
        <v>2.17</v>
      </c>
      <c r="AC1827" t="s">
        <v>867</v>
      </c>
      <c r="AD1827">
        <v>85.2</v>
      </c>
      <c r="AE1827" t="s">
        <v>1587</v>
      </c>
      <c r="AF1827">
        <v>1.07</v>
      </c>
      <c r="AG1827">
        <v>0</v>
      </c>
      <c r="AH1827">
        <v>0</v>
      </c>
      <c r="AI1827" s="4">
        <v>33226</v>
      </c>
    </row>
    <row r="1828" spans="1:35">
      <c r="A1828">
        <v>1827</v>
      </c>
      <c r="B1828" t="str">
        <f>"002736"</f>
        <v>002736</v>
      </c>
      <c r="C1828" t="s">
        <v>9542</v>
      </c>
      <c r="D1828" s="4">
        <v>43190</v>
      </c>
      <c r="E1828" t="s">
        <v>4463</v>
      </c>
      <c r="F1828" t="s">
        <v>4463</v>
      </c>
      <c r="G1828" t="s">
        <v>9543</v>
      </c>
      <c r="H1828">
        <v>0.09</v>
      </c>
      <c r="I1828">
        <v>5.67</v>
      </c>
      <c r="J1828">
        <v>1.41</v>
      </c>
      <c r="K1828" t="s">
        <v>242</v>
      </c>
      <c r="L1828">
        <v>-10.18</v>
      </c>
      <c r="M1828" t="s">
        <v>821</v>
      </c>
      <c r="N1828" t="s">
        <v>1001</v>
      </c>
      <c r="O1828" t="s">
        <v>2250</v>
      </c>
      <c r="P1828" t="s">
        <v>2913</v>
      </c>
      <c r="Q1828">
        <v>-28.97</v>
      </c>
      <c r="R1828" t="s">
        <v>4411</v>
      </c>
      <c r="S1828">
        <v>1.94</v>
      </c>
      <c r="T1828">
        <v>0</v>
      </c>
      <c r="U1828" t="s">
        <v>9544</v>
      </c>
      <c r="V1828">
        <v>0</v>
      </c>
      <c r="W1828" t="s">
        <v>161</v>
      </c>
      <c r="X1828">
        <v>1.41</v>
      </c>
      <c r="Y1828" t="s">
        <v>9545</v>
      </c>
      <c r="Z1828">
        <v>0</v>
      </c>
      <c r="AA1828">
        <v>0</v>
      </c>
      <c r="AB1828">
        <v>1.58</v>
      </c>
      <c r="AC1828" t="s">
        <v>1533</v>
      </c>
      <c r="AD1828">
        <v>25.83</v>
      </c>
      <c r="AE1828" t="s">
        <v>1195</v>
      </c>
      <c r="AF1828">
        <v>0.83</v>
      </c>
      <c r="AG1828">
        <v>0</v>
      </c>
      <c r="AH1828">
        <v>0</v>
      </c>
      <c r="AI1828" s="4">
        <v>42002</v>
      </c>
    </row>
    <row r="1829" spans="1:35">
      <c r="A1829">
        <v>1828</v>
      </c>
      <c r="B1829" t="str">
        <f>"000751"</f>
        <v>000751</v>
      </c>
      <c r="C1829" t="s">
        <v>9546</v>
      </c>
      <c r="D1829" s="4">
        <v>43190</v>
      </c>
      <c r="E1829" t="s">
        <v>1384</v>
      </c>
      <c r="F1829" t="s">
        <v>1384</v>
      </c>
      <c r="G1829">
        <v>7765</v>
      </c>
      <c r="H1829">
        <v>0.02</v>
      </c>
      <c r="I1829">
        <v>1.72</v>
      </c>
      <c r="J1829">
        <v>1.41</v>
      </c>
      <c r="K1829" t="s">
        <v>275</v>
      </c>
      <c r="L1829">
        <v>14.75</v>
      </c>
      <c r="M1829" t="s">
        <v>8706</v>
      </c>
      <c r="N1829" t="s">
        <v>9547</v>
      </c>
      <c r="O1829" t="s">
        <v>4436</v>
      </c>
      <c r="P1829" t="s">
        <v>9548</v>
      </c>
      <c r="Q1829">
        <v>-11.06</v>
      </c>
      <c r="R1829" t="s">
        <v>9549</v>
      </c>
      <c r="S1829">
        <v>-0.48</v>
      </c>
      <c r="T1829">
        <v>6.76</v>
      </c>
      <c r="U1829" t="s">
        <v>5300</v>
      </c>
      <c r="V1829" t="s">
        <v>223</v>
      </c>
      <c r="W1829" t="s">
        <v>2073</v>
      </c>
      <c r="X1829">
        <v>1.41</v>
      </c>
      <c r="Y1829" t="s">
        <v>1920</v>
      </c>
      <c r="Z1829" t="s">
        <v>275</v>
      </c>
      <c r="AA1829" t="s">
        <v>9550</v>
      </c>
      <c r="AB1829">
        <v>1.86</v>
      </c>
      <c r="AC1829" t="s">
        <v>223</v>
      </c>
      <c r="AD1829">
        <v>54.19</v>
      </c>
      <c r="AE1829" t="s">
        <v>1307</v>
      </c>
      <c r="AF1829">
        <v>0.93</v>
      </c>
      <c r="AG1829">
        <v>0</v>
      </c>
      <c r="AH1829">
        <v>0</v>
      </c>
      <c r="AI1829" s="4">
        <v>35607</v>
      </c>
    </row>
    <row r="1830" spans="1:35">
      <c r="A1830">
        <v>1829</v>
      </c>
      <c r="B1830" t="str">
        <f>"603588"</f>
        <v>603588</v>
      </c>
      <c r="C1830" t="s">
        <v>9551</v>
      </c>
      <c r="D1830" s="4">
        <v>43190</v>
      </c>
      <c r="E1830" t="s">
        <v>1730</v>
      </c>
      <c r="F1830" t="s">
        <v>846</v>
      </c>
      <c r="G1830" t="s">
        <v>5386</v>
      </c>
      <c r="H1830">
        <v>0.05</v>
      </c>
      <c r="I1830">
        <v>3.32</v>
      </c>
      <c r="J1830">
        <v>1.41</v>
      </c>
      <c r="K1830" t="s">
        <v>999</v>
      </c>
      <c r="L1830">
        <v>77.989999999999995</v>
      </c>
      <c r="M1830" t="s">
        <v>9552</v>
      </c>
      <c r="N1830" t="s">
        <v>9553</v>
      </c>
      <c r="O1830" t="s">
        <v>9554</v>
      </c>
      <c r="P1830" t="s">
        <v>9538</v>
      </c>
      <c r="Q1830">
        <v>825.54</v>
      </c>
      <c r="R1830" t="s">
        <v>4514</v>
      </c>
      <c r="S1830">
        <v>1.44</v>
      </c>
      <c r="T1830">
        <v>30.9</v>
      </c>
      <c r="U1830" t="s">
        <v>5698</v>
      </c>
      <c r="V1830" t="s">
        <v>1313</v>
      </c>
      <c r="W1830" t="s">
        <v>157</v>
      </c>
      <c r="X1830">
        <v>1.41</v>
      </c>
      <c r="Y1830" t="s">
        <v>1859</v>
      </c>
      <c r="Z1830" t="s">
        <v>4697</v>
      </c>
      <c r="AA1830" t="s">
        <v>483</v>
      </c>
      <c r="AB1830">
        <v>2.76</v>
      </c>
      <c r="AC1830" t="s">
        <v>728</v>
      </c>
      <c r="AD1830">
        <v>34.5</v>
      </c>
      <c r="AE1830" t="s">
        <v>1168</v>
      </c>
      <c r="AF1830">
        <v>0.91</v>
      </c>
      <c r="AG1830">
        <v>0</v>
      </c>
      <c r="AH1830">
        <v>0</v>
      </c>
      <c r="AI1830" s="4">
        <v>42002</v>
      </c>
    </row>
    <row r="1831" spans="1:35">
      <c r="A1831">
        <v>1830</v>
      </c>
      <c r="B1831" t="str">
        <f>"603300"</f>
        <v>603300</v>
      </c>
      <c r="C1831" t="s">
        <v>9555</v>
      </c>
      <c r="D1831" s="4">
        <v>43190</v>
      </c>
      <c r="E1831" t="s">
        <v>347</v>
      </c>
      <c r="F1831" t="s">
        <v>338</v>
      </c>
      <c r="G1831">
        <v>4590</v>
      </c>
      <c r="H1831">
        <v>0.03</v>
      </c>
      <c r="I1831">
        <v>3.51</v>
      </c>
      <c r="J1831">
        <v>1.4</v>
      </c>
      <c r="K1831" t="s">
        <v>1855</v>
      </c>
      <c r="L1831">
        <v>16.16</v>
      </c>
      <c r="M1831" t="s">
        <v>9556</v>
      </c>
      <c r="N1831" t="s">
        <v>5800</v>
      </c>
      <c r="O1831" t="s">
        <v>9557</v>
      </c>
      <c r="P1831" t="s">
        <v>9558</v>
      </c>
      <c r="Q1831">
        <v>-29.69</v>
      </c>
      <c r="R1831" t="s">
        <v>1035</v>
      </c>
      <c r="S1831">
        <v>0.77</v>
      </c>
      <c r="T1831">
        <v>70.19</v>
      </c>
      <c r="U1831" t="s">
        <v>3089</v>
      </c>
      <c r="V1831" t="s">
        <v>1832</v>
      </c>
      <c r="W1831" t="s">
        <v>277</v>
      </c>
      <c r="X1831">
        <v>1.4</v>
      </c>
      <c r="Y1831" t="s">
        <v>159</v>
      </c>
      <c r="Z1831" t="s">
        <v>1190</v>
      </c>
      <c r="AA1831" t="s">
        <v>2581</v>
      </c>
      <c r="AB1831">
        <v>1.57</v>
      </c>
      <c r="AC1831" t="s">
        <v>908</v>
      </c>
      <c r="AD1831">
        <v>25.42</v>
      </c>
      <c r="AE1831" t="s">
        <v>2110</v>
      </c>
      <c r="AF1831">
        <v>1.68</v>
      </c>
      <c r="AG1831">
        <v>0</v>
      </c>
      <c r="AH1831">
        <v>0</v>
      </c>
      <c r="AI1831" s="4">
        <v>42153</v>
      </c>
    </row>
    <row r="1832" spans="1:35">
      <c r="A1832">
        <v>1831</v>
      </c>
      <c r="B1832" t="str">
        <f>"603222"</f>
        <v>603222</v>
      </c>
      <c r="C1832" t="s">
        <v>9559</v>
      </c>
      <c r="D1832" s="4">
        <v>43190</v>
      </c>
      <c r="E1832" t="s">
        <v>824</v>
      </c>
      <c r="F1832" t="s">
        <v>824</v>
      </c>
      <c r="G1832" t="s">
        <v>9346</v>
      </c>
      <c r="H1832">
        <v>0.04</v>
      </c>
      <c r="I1832">
        <v>2.5099999999999998</v>
      </c>
      <c r="J1832">
        <v>1.4</v>
      </c>
      <c r="K1832" t="s">
        <v>2031</v>
      </c>
      <c r="L1832">
        <v>23.32</v>
      </c>
      <c r="M1832" t="s">
        <v>4133</v>
      </c>
      <c r="N1832">
        <v>0</v>
      </c>
      <c r="O1832" t="s">
        <v>4972</v>
      </c>
      <c r="P1832" t="s">
        <v>9560</v>
      </c>
      <c r="Q1832">
        <v>29.39</v>
      </c>
      <c r="R1832" t="s">
        <v>726</v>
      </c>
      <c r="S1832">
        <v>0.81</v>
      </c>
      <c r="T1832">
        <v>43.7</v>
      </c>
      <c r="U1832" t="s">
        <v>1367</v>
      </c>
      <c r="V1832" t="s">
        <v>4756</v>
      </c>
      <c r="W1832" t="s">
        <v>2142</v>
      </c>
      <c r="X1832">
        <v>1.4</v>
      </c>
      <c r="Y1832" t="s">
        <v>3490</v>
      </c>
      <c r="Z1832" t="s">
        <v>501</v>
      </c>
      <c r="AA1832" t="s">
        <v>531</v>
      </c>
      <c r="AB1832">
        <v>3.44</v>
      </c>
      <c r="AC1832" t="s">
        <v>2984</v>
      </c>
      <c r="AD1832">
        <v>50.9</v>
      </c>
      <c r="AE1832" t="s">
        <v>293</v>
      </c>
      <c r="AF1832">
        <v>0.62</v>
      </c>
      <c r="AG1832">
        <v>0</v>
      </c>
      <c r="AH1832">
        <v>0</v>
      </c>
      <c r="AI1832" s="4">
        <v>42052</v>
      </c>
    </row>
    <row r="1833" spans="1:35">
      <c r="A1833">
        <v>1832</v>
      </c>
      <c r="B1833" t="str">
        <f>"603033"</f>
        <v>603033</v>
      </c>
      <c r="C1833" t="s">
        <v>9561</v>
      </c>
      <c r="D1833" s="4">
        <v>43190</v>
      </c>
      <c r="E1833" t="s">
        <v>2115</v>
      </c>
      <c r="F1833" t="s">
        <v>6290</v>
      </c>
      <c r="G1833">
        <v>5053</v>
      </c>
      <c r="H1833">
        <v>0.13</v>
      </c>
      <c r="I1833">
        <v>8.84</v>
      </c>
      <c r="J1833">
        <v>1.4</v>
      </c>
      <c r="K1833" t="s">
        <v>682</v>
      </c>
      <c r="L1833">
        <v>24.52</v>
      </c>
      <c r="M1833" t="s">
        <v>8175</v>
      </c>
      <c r="N1833" t="s">
        <v>6270</v>
      </c>
      <c r="O1833" t="s">
        <v>9128</v>
      </c>
      <c r="P1833" t="s">
        <v>5463</v>
      </c>
      <c r="Q1833">
        <v>122.65</v>
      </c>
      <c r="R1833" t="s">
        <v>127</v>
      </c>
      <c r="S1833">
        <v>4.1500000000000004</v>
      </c>
      <c r="T1833">
        <v>22.32</v>
      </c>
      <c r="U1833" t="s">
        <v>855</v>
      </c>
      <c r="V1833" t="s">
        <v>407</v>
      </c>
      <c r="W1833" t="s">
        <v>1366</v>
      </c>
      <c r="X1833">
        <v>1.4</v>
      </c>
      <c r="Y1833" t="s">
        <v>1578</v>
      </c>
      <c r="Z1833" t="s">
        <v>678</v>
      </c>
      <c r="AA1833" t="s">
        <v>2793</v>
      </c>
      <c r="AB1833">
        <v>2</v>
      </c>
      <c r="AC1833" t="s">
        <v>354</v>
      </c>
      <c r="AD1833">
        <v>76.099999999999994</v>
      </c>
      <c r="AE1833" t="s">
        <v>2284</v>
      </c>
      <c r="AF1833">
        <v>3.28</v>
      </c>
      <c r="AG1833">
        <v>0</v>
      </c>
      <c r="AH1833">
        <v>0</v>
      </c>
      <c r="AI1833" s="4">
        <v>42711</v>
      </c>
    </row>
    <row r="1834" spans="1:35">
      <c r="A1834">
        <v>1833</v>
      </c>
      <c r="B1834" t="str">
        <f>"601117"</f>
        <v>601117</v>
      </c>
      <c r="C1834" t="s">
        <v>9562</v>
      </c>
      <c r="D1834" s="4">
        <v>43190</v>
      </c>
      <c r="E1834" t="s">
        <v>1022</v>
      </c>
      <c r="F1834" t="s">
        <v>1022</v>
      </c>
      <c r="G1834" t="s">
        <v>2385</v>
      </c>
      <c r="H1834">
        <v>0.08</v>
      </c>
      <c r="I1834">
        <v>5.83</v>
      </c>
      <c r="J1834">
        <v>1.4</v>
      </c>
      <c r="K1834" t="s">
        <v>1741</v>
      </c>
      <c r="L1834">
        <v>41.89</v>
      </c>
      <c r="M1834" t="s">
        <v>1444</v>
      </c>
      <c r="N1834" t="s">
        <v>6256</v>
      </c>
      <c r="O1834" t="s">
        <v>2095</v>
      </c>
      <c r="P1834" t="s">
        <v>150</v>
      </c>
      <c r="Q1834">
        <v>28.97</v>
      </c>
      <c r="R1834" t="s">
        <v>1550</v>
      </c>
      <c r="S1834">
        <v>3.67</v>
      </c>
      <c r="T1834">
        <v>13.01</v>
      </c>
      <c r="U1834" t="s">
        <v>3306</v>
      </c>
      <c r="V1834" t="s">
        <v>3205</v>
      </c>
      <c r="W1834" t="s">
        <v>9563</v>
      </c>
      <c r="X1834">
        <v>1.4</v>
      </c>
      <c r="Y1834" t="s">
        <v>9564</v>
      </c>
      <c r="Z1834" t="s">
        <v>2404</v>
      </c>
      <c r="AA1834" t="s">
        <v>7536</v>
      </c>
      <c r="AB1834">
        <v>1.28</v>
      </c>
      <c r="AC1834" t="s">
        <v>2798</v>
      </c>
      <c r="AD1834">
        <v>33.04</v>
      </c>
      <c r="AE1834" t="s">
        <v>799</v>
      </c>
      <c r="AF1834">
        <v>1.1200000000000001</v>
      </c>
      <c r="AG1834">
        <v>0</v>
      </c>
      <c r="AH1834">
        <v>0</v>
      </c>
      <c r="AI1834" s="4">
        <v>40185</v>
      </c>
    </row>
    <row r="1835" spans="1:35">
      <c r="A1835">
        <v>1834</v>
      </c>
      <c r="B1835" t="str">
        <f>"601015"</f>
        <v>601015</v>
      </c>
      <c r="C1835" t="s">
        <v>9565</v>
      </c>
      <c r="D1835" s="4">
        <v>43190</v>
      </c>
      <c r="E1835" t="s">
        <v>300</v>
      </c>
      <c r="F1835" t="s">
        <v>687</v>
      </c>
      <c r="G1835" t="s">
        <v>3138</v>
      </c>
      <c r="H1835">
        <v>0.06</v>
      </c>
      <c r="I1835">
        <v>4.34</v>
      </c>
      <c r="J1835">
        <v>1.4</v>
      </c>
      <c r="K1835" t="s">
        <v>1390</v>
      </c>
      <c r="L1835">
        <v>1.91</v>
      </c>
      <c r="M1835" t="s">
        <v>1349</v>
      </c>
      <c r="N1835" t="s">
        <v>9566</v>
      </c>
      <c r="O1835" t="s">
        <v>1349</v>
      </c>
      <c r="P1835" t="s">
        <v>9567</v>
      </c>
      <c r="Q1835">
        <v>156.12</v>
      </c>
      <c r="R1835" t="s">
        <v>250</v>
      </c>
      <c r="S1835">
        <v>0.92</v>
      </c>
      <c r="T1835">
        <v>13.03</v>
      </c>
      <c r="U1835" t="s">
        <v>2654</v>
      </c>
      <c r="V1835" t="s">
        <v>3015</v>
      </c>
      <c r="W1835" t="s">
        <v>785</v>
      </c>
      <c r="X1835">
        <v>1.4</v>
      </c>
      <c r="Y1835" t="s">
        <v>3147</v>
      </c>
      <c r="Z1835" t="s">
        <v>879</v>
      </c>
      <c r="AA1835" t="s">
        <v>5703</v>
      </c>
      <c r="AB1835">
        <v>1.61</v>
      </c>
      <c r="AC1835" t="s">
        <v>1735</v>
      </c>
      <c r="AD1835">
        <v>37.57</v>
      </c>
      <c r="AE1835" t="s">
        <v>2499</v>
      </c>
      <c r="AF1835">
        <v>2.31</v>
      </c>
      <c r="AG1835">
        <v>0</v>
      </c>
      <c r="AH1835">
        <v>0</v>
      </c>
      <c r="AI1835" s="4">
        <v>41948</v>
      </c>
    </row>
    <row r="1836" spans="1:35">
      <c r="A1836">
        <v>1835</v>
      </c>
      <c r="B1836" t="str">
        <f>"600226"</f>
        <v>600226</v>
      </c>
      <c r="C1836" t="s">
        <v>9568</v>
      </c>
      <c r="D1836" s="4">
        <v>43190</v>
      </c>
      <c r="E1836" t="s">
        <v>1380</v>
      </c>
      <c r="F1836" t="s">
        <v>119</v>
      </c>
      <c r="G1836" t="s">
        <v>1464</v>
      </c>
      <c r="H1836">
        <v>0.02</v>
      </c>
      <c r="I1836">
        <v>1.36</v>
      </c>
      <c r="J1836">
        <v>1.4</v>
      </c>
      <c r="K1836" t="s">
        <v>509</v>
      </c>
      <c r="L1836">
        <v>-29.89</v>
      </c>
      <c r="M1836" t="s">
        <v>2944</v>
      </c>
      <c r="N1836" t="s">
        <v>9569</v>
      </c>
      <c r="O1836" t="s">
        <v>3283</v>
      </c>
      <c r="P1836" t="s">
        <v>9570</v>
      </c>
      <c r="Q1836">
        <v>-39.54</v>
      </c>
      <c r="R1836" t="s">
        <v>456</v>
      </c>
      <c r="S1836">
        <v>0.19</v>
      </c>
      <c r="T1836">
        <v>44.98</v>
      </c>
      <c r="U1836" t="s">
        <v>2287</v>
      </c>
      <c r="V1836" t="s">
        <v>877</v>
      </c>
      <c r="W1836" t="s">
        <v>3067</v>
      </c>
      <c r="X1836">
        <v>1.4</v>
      </c>
      <c r="Y1836" t="s">
        <v>405</v>
      </c>
      <c r="Z1836" t="s">
        <v>919</v>
      </c>
      <c r="AA1836" t="s">
        <v>383</v>
      </c>
      <c r="AB1836">
        <v>3.36</v>
      </c>
      <c r="AC1836" t="s">
        <v>2105</v>
      </c>
      <c r="AD1836">
        <v>77.599999999999994</v>
      </c>
      <c r="AE1836" t="s">
        <v>144</v>
      </c>
      <c r="AF1836">
        <v>0.1</v>
      </c>
      <c r="AG1836">
        <v>0</v>
      </c>
      <c r="AH1836">
        <v>0</v>
      </c>
      <c r="AI1836" s="4">
        <v>36480</v>
      </c>
    </row>
    <row r="1837" spans="1:35">
      <c r="A1837">
        <v>1836</v>
      </c>
      <c r="B1837" t="str">
        <f>"600096"</f>
        <v>600096</v>
      </c>
      <c r="C1837" t="s">
        <v>9571</v>
      </c>
      <c r="D1837" s="4">
        <v>43190</v>
      </c>
      <c r="E1837" t="s">
        <v>1307</v>
      </c>
      <c r="F1837" t="s">
        <v>147</v>
      </c>
      <c r="G1837" t="s">
        <v>3240</v>
      </c>
      <c r="H1837">
        <v>0.04</v>
      </c>
      <c r="I1837">
        <v>2.81</v>
      </c>
      <c r="J1837">
        <v>1.4</v>
      </c>
      <c r="K1837" t="s">
        <v>232</v>
      </c>
      <c r="L1837">
        <v>-37.369999999999997</v>
      </c>
      <c r="M1837" t="s">
        <v>1016</v>
      </c>
      <c r="N1837" t="s">
        <v>1321</v>
      </c>
      <c r="O1837" t="s">
        <v>1936</v>
      </c>
      <c r="P1837" t="s">
        <v>8017</v>
      </c>
      <c r="Q1837">
        <v>70.38</v>
      </c>
      <c r="R1837" t="s">
        <v>9572</v>
      </c>
      <c r="S1837">
        <v>-2.36</v>
      </c>
      <c r="T1837">
        <v>17.16</v>
      </c>
      <c r="U1837" t="s">
        <v>9573</v>
      </c>
      <c r="V1837" t="s">
        <v>9574</v>
      </c>
      <c r="W1837" t="s">
        <v>5595</v>
      </c>
      <c r="X1837">
        <v>1.4</v>
      </c>
      <c r="Y1837" t="s">
        <v>9575</v>
      </c>
      <c r="Z1837" t="s">
        <v>5125</v>
      </c>
      <c r="AA1837" t="s">
        <v>1293</v>
      </c>
      <c r="AB1837">
        <v>1.87</v>
      </c>
      <c r="AC1837" t="s">
        <v>2725</v>
      </c>
      <c r="AD1837">
        <v>5.63</v>
      </c>
      <c r="AE1837" t="s">
        <v>2860</v>
      </c>
      <c r="AF1837">
        <v>3.88</v>
      </c>
      <c r="AG1837">
        <v>0</v>
      </c>
      <c r="AH1837">
        <v>0</v>
      </c>
      <c r="AI1837" s="4">
        <v>35620</v>
      </c>
    </row>
    <row r="1838" spans="1:35">
      <c r="A1838">
        <v>1837</v>
      </c>
      <c r="B1838" t="str">
        <f>"300642"</f>
        <v>300642</v>
      </c>
      <c r="C1838" t="s">
        <v>9576</v>
      </c>
      <c r="D1838" s="4">
        <v>43190</v>
      </c>
      <c r="E1838" t="s">
        <v>9577</v>
      </c>
      <c r="F1838" t="s">
        <v>5238</v>
      </c>
      <c r="G1838">
        <v>1635</v>
      </c>
      <c r="H1838">
        <v>0.14000000000000001</v>
      </c>
      <c r="I1838">
        <v>10.050000000000001</v>
      </c>
      <c r="J1838">
        <v>1.4</v>
      </c>
      <c r="K1838" t="s">
        <v>9578</v>
      </c>
      <c r="L1838">
        <v>21.97</v>
      </c>
      <c r="M1838" t="s">
        <v>3519</v>
      </c>
      <c r="N1838" t="s">
        <v>9579</v>
      </c>
      <c r="O1838" t="s">
        <v>3519</v>
      </c>
      <c r="P1838" t="s">
        <v>9580</v>
      </c>
      <c r="Q1838">
        <v>2.04</v>
      </c>
      <c r="R1838" t="s">
        <v>1666</v>
      </c>
      <c r="S1838">
        <v>2.69</v>
      </c>
      <c r="T1838">
        <v>78.760000000000005</v>
      </c>
      <c r="U1838" t="s">
        <v>4514</v>
      </c>
      <c r="V1838" t="s">
        <v>4599</v>
      </c>
      <c r="W1838" t="s">
        <v>1626</v>
      </c>
      <c r="X1838">
        <v>1.4</v>
      </c>
      <c r="Y1838" t="s">
        <v>5732</v>
      </c>
      <c r="Z1838" t="s">
        <v>6054</v>
      </c>
      <c r="AA1838" t="s">
        <v>9581</v>
      </c>
      <c r="AB1838">
        <v>5.75</v>
      </c>
      <c r="AC1838" t="s">
        <v>2250</v>
      </c>
      <c r="AD1838">
        <v>96</v>
      </c>
      <c r="AE1838" t="s">
        <v>92</v>
      </c>
      <c r="AF1838">
        <v>6.02</v>
      </c>
      <c r="AG1838">
        <v>0</v>
      </c>
      <c r="AH1838">
        <v>0</v>
      </c>
      <c r="AI1838" s="4">
        <v>42846</v>
      </c>
    </row>
    <row r="1839" spans="1:35">
      <c r="A1839">
        <v>1838</v>
      </c>
      <c r="B1839" t="str">
        <f>"300474"</f>
        <v>300474</v>
      </c>
      <c r="C1839" t="s">
        <v>9582</v>
      </c>
      <c r="D1839" s="4">
        <v>43190</v>
      </c>
      <c r="E1839" t="s">
        <v>798</v>
      </c>
      <c r="F1839" t="s">
        <v>9583</v>
      </c>
      <c r="G1839">
        <v>2676</v>
      </c>
      <c r="H1839">
        <v>0.05</v>
      </c>
      <c r="I1839">
        <v>3.66</v>
      </c>
      <c r="J1839">
        <v>1.4</v>
      </c>
      <c r="K1839" t="s">
        <v>9584</v>
      </c>
      <c r="L1839">
        <v>24.22</v>
      </c>
      <c r="M1839" t="s">
        <v>8798</v>
      </c>
      <c r="N1839">
        <v>0</v>
      </c>
      <c r="O1839" t="s">
        <v>9585</v>
      </c>
      <c r="P1839" t="s">
        <v>7132</v>
      </c>
      <c r="Q1839">
        <v>7.7</v>
      </c>
      <c r="R1839" t="s">
        <v>69</v>
      </c>
      <c r="S1839">
        <v>1.44</v>
      </c>
      <c r="T1839">
        <v>82.96</v>
      </c>
      <c r="U1839" t="s">
        <v>354</v>
      </c>
      <c r="V1839" t="s">
        <v>285</v>
      </c>
      <c r="W1839" t="s">
        <v>552</v>
      </c>
      <c r="X1839">
        <v>1.4</v>
      </c>
      <c r="Y1839" t="s">
        <v>505</v>
      </c>
      <c r="Z1839" t="s">
        <v>1376</v>
      </c>
      <c r="AA1839" t="s">
        <v>9586</v>
      </c>
      <c r="AB1839">
        <v>11.91</v>
      </c>
      <c r="AC1839" t="s">
        <v>721</v>
      </c>
      <c r="AD1839">
        <v>86.12</v>
      </c>
      <c r="AE1839" t="s">
        <v>1810</v>
      </c>
      <c r="AF1839">
        <v>1.1399999999999999</v>
      </c>
      <c r="AG1839">
        <v>0</v>
      </c>
      <c r="AH1839">
        <v>0</v>
      </c>
      <c r="AI1839" s="4">
        <v>42460</v>
      </c>
    </row>
    <row r="1840" spans="1:35">
      <c r="A1840">
        <v>1839</v>
      </c>
      <c r="B1840" t="str">
        <f>"002699"</f>
        <v>002699</v>
      </c>
      <c r="C1840" t="s">
        <v>9587</v>
      </c>
      <c r="D1840" s="4">
        <v>43190</v>
      </c>
      <c r="E1840" t="s">
        <v>277</v>
      </c>
      <c r="F1840" t="s">
        <v>1837</v>
      </c>
      <c r="G1840" t="s">
        <v>7254</v>
      </c>
      <c r="H1840">
        <v>0.05</v>
      </c>
      <c r="I1840">
        <v>3.88</v>
      </c>
      <c r="J1840">
        <v>1.4</v>
      </c>
      <c r="K1840" t="s">
        <v>3111</v>
      </c>
      <c r="L1840">
        <v>59.52</v>
      </c>
      <c r="M1840" t="s">
        <v>7465</v>
      </c>
      <c r="N1840" t="s">
        <v>9588</v>
      </c>
      <c r="O1840" t="s">
        <v>9589</v>
      </c>
      <c r="P1840" t="s">
        <v>9590</v>
      </c>
      <c r="Q1840">
        <v>57.31</v>
      </c>
      <c r="R1840" t="s">
        <v>92</v>
      </c>
      <c r="S1840">
        <v>0.63</v>
      </c>
      <c r="T1840">
        <v>41.98</v>
      </c>
      <c r="U1840" t="s">
        <v>1574</v>
      </c>
      <c r="V1840" t="s">
        <v>1504</v>
      </c>
      <c r="W1840" t="s">
        <v>134</v>
      </c>
      <c r="X1840">
        <v>1.4</v>
      </c>
      <c r="Y1840" t="s">
        <v>6052</v>
      </c>
      <c r="Z1840" t="s">
        <v>1021</v>
      </c>
      <c r="AA1840" t="s">
        <v>609</v>
      </c>
      <c r="AB1840">
        <v>4.83</v>
      </c>
      <c r="AC1840" t="s">
        <v>2498</v>
      </c>
      <c r="AD1840">
        <v>78.48</v>
      </c>
      <c r="AE1840" t="s">
        <v>1255</v>
      </c>
      <c r="AF1840">
        <v>2.21</v>
      </c>
      <c r="AG1840">
        <v>0</v>
      </c>
      <c r="AH1840">
        <v>0</v>
      </c>
      <c r="AI1840" s="4">
        <v>41163</v>
      </c>
    </row>
    <row r="1841" spans="1:35">
      <c r="A1841">
        <v>1840</v>
      </c>
      <c r="B1841" t="str">
        <f>"002216"</f>
        <v>002216</v>
      </c>
      <c r="C1841" t="s">
        <v>9591</v>
      </c>
      <c r="D1841" s="4">
        <v>43190</v>
      </c>
      <c r="E1841" t="s">
        <v>1978</v>
      </c>
      <c r="F1841" t="s">
        <v>2490</v>
      </c>
      <c r="G1841" t="s">
        <v>1199</v>
      </c>
      <c r="H1841">
        <v>0.03</v>
      </c>
      <c r="I1841">
        <v>2.5</v>
      </c>
      <c r="J1841">
        <v>1.4</v>
      </c>
      <c r="K1841" t="s">
        <v>754</v>
      </c>
      <c r="L1841">
        <v>7.65</v>
      </c>
      <c r="M1841" t="s">
        <v>9592</v>
      </c>
      <c r="N1841" t="s">
        <v>9593</v>
      </c>
      <c r="O1841" t="s">
        <v>9594</v>
      </c>
      <c r="P1841" t="s">
        <v>9595</v>
      </c>
      <c r="Q1841">
        <v>6.41</v>
      </c>
      <c r="R1841" t="s">
        <v>8311</v>
      </c>
      <c r="S1841">
        <v>1.1100000000000001</v>
      </c>
      <c r="T1841">
        <v>33.9</v>
      </c>
      <c r="U1841" t="s">
        <v>2301</v>
      </c>
      <c r="V1841" t="s">
        <v>1000</v>
      </c>
      <c r="W1841" t="s">
        <v>971</v>
      </c>
      <c r="X1841">
        <v>1.4</v>
      </c>
      <c r="Y1841" t="s">
        <v>1752</v>
      </c>
      <c r="Z1841" t="s">
        <v>79</v>
      </c>
      <c r="AA1841" t="s">
        <v>3768</v>
      </c>
      <c r="AB1841">
        <v>2.87</v>
      </c>
      <c r="AC1841" t="s">
        <v>712</v>
      </c>
      <c r="AD1841">
        <v>51.18</v>
      </c>
      <c r="AE1841" t="s">
        <v>2132</v>
      </c>
      <c r="AF1841">
        <v>0.37</v>
      </c>
      <c r="AG1841">
        <v>0</v>
      </c>
      <c r="AH1841">
        <v>0</v>
      </c>
      <c r="AI1841" s="4">
        <v>39498</v>
      </c>
    </row>
    <row r="1842" spans="1:35">
      <c r="A1842">
        <v>1841</v>
      </c>
      <c r="B1842" t="str">
        <f>"000819"</f>
        <v>000819</v>
      </c>
      <c r="C1842" t="s">
        <v>9596</v>
      </c>
      <c r="D1842" s="4">
        <v>43190</v>
      </c>
      <c r="E1842" t="s">
        <v>798</v>
      </c>
      <c r="F1842" t="s">
        <v>798</v>
      </c>
      <c r="G1842">
        <v>7649</v>
      </c>
      <c r="H1842">
        <v>0.04</v>
      </c>
      <c r="I1842">
        <v>2.5299999999999998</v>
      </c>
      <c r="J1842">
        <v>1.4</v>
      </c>
      <c r="K1842" t="s">
        <v>856</v>
      </c>
      <c r="L1842">
        <v>11.8</v>
      </c>
      <c r="M1842" t="s">
        <v>1072</v>
      </c>
      <c r="N1842">
        <v>0</v>
      </c>
      <c r="O1842" t="s">
        <v>3439</v>
      </c>
      <c r="P1842" t="s">
        <v>9014</v>
      </c>
      <c r="Q1842">
        <v>214.71</v>
      </c>
      <c r="R1842" t="s">
        <v>1970</v>
      </c>
      <c r="S1842">
        <v>0.76</v>
      </c>
      <c r="T1842">
        <v>7.82</v>
      </c>
      <c r="U1842" t="s">
        <v>1868</v>
      </c>
      <c r="V1842" t="s">
        <v>2647</v>
      </c>
      <c r="W1842" t="s">
        <v>321</v>
      </c>
      <c r="X1842">
        <v>1.4</v>
      </c>
      <c r="Y1842" t="s">
        <v>443</v>
      </c>
      <c r="Z1842" t="s">
        <v>443</v>
      </c>
      <c r="AA1842">
        <v>0</v>
      </c>
      <c r="AB1842">
        <v>3.37</v>
      </c>
      <c r="AC1842" t="s">
        <v>1319</v>
      </c>
      <c r="AD1842">
        <v>85.09</v>
      </c>
      <c r="AE1842" t="s">
        <v>8043</v>
      </c>
      <c r="AF1842">
        <v>0.26</v>
      </c>
      <c r="AG1842">
        <v>0</v>
      </c>
      <c r="AH1842">
        <v>0</v>
      </c>
      <c r="AI1842" s="4">
        <v>35606</v>
      </c>
    </row>
    <row r="1843" spans="1:35">
      <c r="A1843">
        <v>1842</v>
      </c>
      <c r="B1843" t="str">
        <f>"000089"</f>
        <v>000089</v>
      </c>
      <c r="C1843" t="s">
        <v>9597</v>
      </c>
      <c r="D1843" s="4">
        <v>43190</v>
      </c>
      <c r="E1843" t="s">
        <v>1920</v>
      </c>
      <c r="F1843" t="s">
        <v>1920</v>
      </c>
      <c r="G1843" t="s">
        <v>3682</v>
      </c>
      <c r="H1843">
        <v>0.08</v>
      </c>
      <c r="I1843">
        <v>5.43</v>
      </c>
      <c r="J1843">
        <v>1.4</v>
      </c>
      <c r="K1843" t="s">
        <v>1274</v>
      </c>
      <c r="L1843">
        <v>14.05</v>
      </c>
      <c r="M1843" t="s">
        <v>415</v>
      </c>
      <c r="N1843" t="s">
        <v>9204</v>
      </c>
      <c r="O1843" t="s">
        <v>415</v>
      </c>
      <c r="P1843" t="s">
        <v>505</v>
      </c>
      <c r="Q1843">
        <v>9.43</v>
      </c>
      <c r="R1843" t="s">
        <v>2923</v>
      </c>
      <c r="S1843">
        <v>2.67</v>
      </c>
      <c r="T1843">
        <v>28.4</v>
      </c>
      <c r="U1843" t="s">
        <v>794</v>
      </c>
      <c r="V1843" t="s">
        <v>1443</v>
      </c>
      <c r="W1843" t="s">
        <v>3147</v>
      </c>
      <c r="X1843">
        <v>1.4</v>
      </c>
      <c r="Y1843" t="s">
        <v>1000</v>
      </c>
      <c r="Z1843" t="s">
        <v>1000</v>
      </c>
      <c r="AA1843" t="s">
        <v>9598</v>
      </c>
      <c r="AB1843">
        <v>1.45</v>
      </c>
      <c r="AC1843" t="s">
        <v>466</v>
      </c>
      <c r="AD1843">
        <v>84.62</v>
      </c>
      <c r="AE1843" t="s">
        <v>700</v>
      </c>
      <c r="AF1843">
        <v>1.36</v>
      </c>
      <c r="AG1843">
        <v>0</v>
      </c>
      <c r="AH1843">
        <v>0</v>
      </c>
      <c r="AI1843" s="4">
        <v>35905</v>
      </c>
    </row>
    <row r="1844" spans="1:35">
      <c r="A1844">
        <v>1843</v>
      </c>
      <c r="B1844" t="str">
        <f>"601886"</f>
        <v>601886</v>
      </c>
      <c r="C1844" t="s">
        <v>9599</v>
      </c>
      <c r="D1844" s="4">
        <v>43190</v>
      </c>
      <c r="E1844" t="s">
        <v>973</v>
      </c>
      <c r="F1844" t="s">
        <v>973</v>
      </c>
      <c r="G1844" t="s">
        <v>9600</v>
      </c>
      <c r="H1844">
        <v>0.08</v>
      </c>
      <c r="I1844">
        <v>5.74</v>
      </c>
      <c r="J1844">
        <v>1.39</v>
      </c>
      <c r="K1844" t="s">
        <v>570</v>
      </c>
      <c r="L1844">
        <v>13.73</v>
      </c>
      <c r="M1844" t="s">
        <v>1016</v>
      </c>
      <c r="N1844" t="s">
        <v>9601</v>
      </c>
      <c r="O1844" t="s">
        <v>3111</v>
      </c>
      <c r="P1844" t="s">
        <v>9602</v>
      </c>
      <c r="Q1844">
        <v>19.71</v>
      </c>
      <c r="R1844" t="s">
        <v>1943</v>
      </c>
      <c r="S1844">
        <v>1.89</v>
      </c>
      <c r="T1844">
        <v>14.71</v>
      </c>
      <c r="U1844" t="s">
        <v>1265</v>
      </c>
      <c r="V1844" t="s">
        <v>1097</v>
      </c>
      <c r="W1844" t="s">
        <v>407</v>
      </c>
      <c r="X1844">
        <v>1.39</v>
      </c>
      <c r="Y1844" t="s">
        <v>1453</v>
      </c>
      <c r="Z1844" t="s">
        <v>1222</v>
      </c>
      <c r="AA1844" t="s">
        <v>696</v>
      </c>
      <c r="AB1844">
        <v>1.39</v>
      </c>
      <c r="AC1844" t="s">
        <v>366</v>
      </c>
      <c r="AD1844">
        <v>31.12</v>
      </c>
      <c r="AE1844" t="s">
        <v>1161</v>
      </c>
      <c r="AF1844">
        <v>2.63</v>
      </c>
      <c r="AG1844">
        <v>0</v>
      </c>
      <c r="AH1844">
        <v>0</v>
      </c>
      <c r="AI1844" s="4">
        <v>40773</v>
      </c>
    </row>
    <row r="1845" spans="1:35">
      <c r="A1845">
        <v>1844</v>
      </c>
      <c r="B1845" t="str">
        <f>"300722"</f>
        <v>300722</v>
      </c>
      <c r="C1845" t="s">
        <v>9603</v>
      </c>
      <c r="D1845" s="4">
        <v>43190</v>
      </c>
      <c r="E1845" t="s">
        <v>2575</v>
      </c>
      <c r="F1845" t="s">
        <v>2576</v>
      </c>
      <c r="G1845">
        <v>1593</v>
      </c>
      <c r="H1845">
        <v>7.0000000000000007E-2</v>
      </c>
      <c r="I1845">
        <v>4.58</v>
      </c>
      <c r="J1845">
        <v>1.39</v>
      </c>
      <c r="K1845" t="s">
        <v>9604</v>
      </c>
      <c r="L1845">
        <v>29.32</v>
      </c>
      <c r="M1845" t="s">
        <v>9605</v>
      </c>
      <c r="N1845" t="s">
        <v>9606</v>
      </c>
      <c r="O1845" t="s">
        <v>9607</v>
      </c>
      <c r="P1845" t="s">
        <v>9608</v>
      </c>
      <c r="Q1845">
        <v>20.09</v>
      </c>
      <c r="R1845" t="s">
        <v>9609</v>
      </c>
      <c r="S1845">
        <v>0.78</v>
      </c>
      <c r="T1845">
        <v>40.67</v>
      </c>
      <c r="U1845" t="s">
        <v>701</v>
      </c>
      <c r="V1845" t="s">
        <v>301</v>
      </c>
      <c r="W1845" t="s">
        <v>383</v>
      </c>
      <c r="X1845">
        <v>1.39</v>
      </c>
      <c r="Y1845" t="s">
        <v>1689</v>
      </c>
      <c r="Z1845" t="s">
        <v>9610</v>
      </c>
      <c r="AA1845" t="s">
        <v>282</v>
      </c>
      <c r="AB1845">
        <v>8.34</v>
      </c>
      <c r="AC1845" t="s">
        <v>184</v>
      </c>
      <c r="AD1845">
        <v>71.03</v>
      </c>
      <c r="AE1845" t="s">
        <v>292</v>
      </c>
      <c r="AF1845">
        <v>2.56</v>
      </c>
      <c r="AG1845">
        <v>0</v>
      </c>
      <c r="AH1845">
        <v>0</v>
      </c>
      <c r="AI1845" s="4">
        <v>43049</v>
      </c>
    </row>
    <row r="1846" spans="1:35">
      <c r="A1846">
        <v>1845</v>
      </c>
      <c r="B1846" t="str">
        <f>"300289"</f>
        <v>300289</v>
      </c>
      <c r="C1846" t="s">
        <v>9611</v>
      </c>
      <c r="D1846" s="4">
        <v>43190</v>
      </c>
      <c r="E1846" t="s">
        <v>806</v>
      </c>
      <c r="F1846" t="s">
        <v>559</v>
      </c>
      <c r="G1846" t="s">
        <v>630</v>
      </c>
      <c r="H1846">
        <v>0.04</v>
      </c>
      <c r="I1846">
        <v>3.13</v>
      </c>
      <c r="J1846">
        <v>1.39</v>
      </c>
      <c r="K1846" t="s">
        <v>1457</v>
      </c>
      <c r="L1846">
        <v>51.54</v>
      </c>
      <c r="M1846" t="s">
        <v>9278</v>
      </c>
      <c r="N1846">
        <v>0</v>
      </c>
      <c r="O1846" t="s">
        <v>8503</v>
      </c>
      <c r="P1846" t="s">
        <v>9612</v>
      </c>
      <c r="Q1846">
        <v>10.56</v>
      </c>
      <c r="R1846" t="s">
        <v>5084</v>
      </c>
      <c r="S1846">
        <v>1.39</v>
      </c>
      <c r="T1846">
        <v>44.71</v>
      </c>
      <c r="U1846" t="s">
        <v>304</v>
      </c>
      <c r="V1846" t="s">
        <v>2235</v>
      </c>
      <c r="W1846" t="s">
        <v>1330</v>
      </c>
      <c r="X1846">
        <v>1.39</v>
      </c>
      <c r="Y1846" t="s">
        <v>798</v>
      </c>
      <c r="Z1846" t="s">
        <v>668</v>
      </c>
      <c r="AA1846" t="s">
        <v>9613</v>
      </c>
      <c r="AB1846">
        <v>2.41</v>
      </c>
      <c r="AC1846" t="s">
        <v>124</v>
      </c>
      <c r="AD1846">
        <v>77.209999999999994</v>
      </c>
      <c r="AE1846" t="s">
        <v>1905</v>
      </c>
      <c r="AF1846">
        <v>0.59</v>
      </c>
      <c r="AG1846">
        <v>0</v>
      </c>
      <c r="AH1846">
        <v>0</v>
      </c>
      <c r="AI1846" s="4">
        <v>40955</v>
      </c>
    </row>
    <row r="1847" spans="1:35">
      <c r="A1847">
        <v>1846</v>
      </c>
      <c r="B1847" t="str">
        <f>"300210"</f>
        <v>300210</v>
      </c>
      <c r="C1847" t="s">
        <v>9614</v>
      </c>
      <c r="D1847" s="4">
        <v>43190</v>
      </c>
      <c r="E1847" t="s">
        <v>616</v>
      </c>
      <c r="F1847" t="s">
        <v>2807</v>
      </c>
      <c r="G1847" t="s">
        <v>2927</v>
      </c>
      <c r="H1847">
        <v>0.04</v>
      </c>
      <c r="I1847">
        <v>2.71</v>
      </c>
      <c r="J1847">
        <v>1.39</v>
      </c>
      <c r="K1847" t="s">
        <v>9615</v>
      </c>
      <c r="L1847">
        <v>-20.76</v>
      </c>
      <c r="M1847" t="s">
        <v>6286</v>
      </c>
      <c r="N1847">
        <v>0</v>
      </c>
      <c r="O1847" t="s">
        <v>9616</v>
      </c>
      <c r="P1847" t="s">
        <v>9617</v>
      </c>
      <c r="Q1847">
        <v>-16.53</v>
      </c>
      <c r="R1847" t="s">
        <v>2647</v>
      </c>
      <c r="S1847">
        <v>1.21</v>
      </c>
      <c r="T1847">
        <v>42.68</v>
      </c>
      <c r="U1847" t="s">
        <v>2291</v>
      </c>
      <c r="V1847" t="s">
        <v>164</v>
      </c>
      <c r="W1847" t="s">
        <v>1402</v>
      </c>
      <c r="X1847">
        <v>1.39</v>
      </c>
      <c r="Y1847" t="s">
        <v>88</v>
      </c>
      <c r="Z1847" t="s">
        <v>2781</v>
      </c>
      <c r="AA1847" t="s">
        <v>9618</v>
      </c>
      <c r="AB1847">
        <v>1.49</v>
      </c>
      <c r="AC1847" t="s">
        <v>840</v>
      </c>
      <c r="AD1847">
        <v>57.65</v>
      </c>
      <c r="AE1847" t="s">
        <v>3332</v>
      </c>
      <c r="AF1847">
        <v>0.4</v>
      </c>
      <c r="AG1847">
        <v>0</v>
      </c>
      <c r="AH1847">
        <v>0</v>
      </c>
      <c r="AI1847" s="4">
        <v>40659</v>
      </c>
    </row>
    <row r="1848" spans="1:35">
      <c r="A1848">
        <v>1847</v>
      </c>
      <c r="B1848" t="str">
        <f>"002148"</f>
        <v>002148</v>
      </c>
      <c r="C1848" t="s">
        <v>9619</v>
      </c>
      <c r="D1848" s="4">
        <v>43190</v>
      </c>
      <c r="E1848" t="s">
        <v>3420</v>
      </c>
      <c r="F1848" t="s">
        <v>4962</v>
      </c>
      <c r="G1848">
        <v>7351</v>
      </c>
      <c r="H1848">
        <v>0.03</v>
      </c>
      <c r="I1848">
        <v>2.08</v>
      </c>
      <c r="J1848">
        <v>1.39</v>
      </c>
      <c r="K1848" t="s">
        <v>9620</v>
      </c>
      <c r="L1848">
        <v>-51.75</v>
      </c>
      <c r="M1848" t="s">
        <v>9621</v>
      </c>
      <c r="N1848" t="s">
        <v>9622</v>
      </c>
      <c r="O1848" t="s">
        <v>9623</v>
      </c>
      <c r="P1848" t="s">
        <v>4845</v>
      </c>
      <c r="Q1848">
        <v>-42.18</v>
      </c>
      <c r="R1848" t="s">
        <v>2953</v>
      </c>
      <c r="S1848">
        <v>0.62</v>
      </c>
      <c r="T1848">
        <v>50.1</v>
      </c>
      <c r="U1848" t="s">
        <v>350</v>
      </c>
      <c r="V1848" t="s">
        <v>1649</v>
      </c>
      <c r="W1848" t="s">
        <v>3768</v>
      </c>
      <c r="X1848">
        <v>1.39</v>
      </c>
      <c r="Y1848" t="s">
        <v>443</v>
      </c>
      <c r="Z1848" t="s">
        <v>197</v>
      </c>
      <c r="AA1848" t="s">
        <v>7897</v>
      </c>
      <c r="AB1848">
        <v>2.57</v>
      </c>
      <c r="AC1848" t="s">
        <v>405</v>
      </c>
      <c r="AD1848">
        <v>90.32</v>
      </c>
      <c r="AE1848" t="s">
        <v>669</v>
      </c>
      <c r="AF1848">
        <v>0.42</v>
      </c>
      <c r="AG1848">
        <v>0</v>
      </c>
      <c r="AH1848">
        <v>0</v>
      </c>
      <c r="AI1848" s="4">
        <v>39304</v>
      </c>
    </row>
    <row r="1849" spans="1:35">
      <c r="A1849">
        <v>1848</v>
      </c>
      <c r="B1849" t="str">
        <f>"603020"</f>
        <v>603020</v>
      </c>
      <c r="C1849" t="s">
        <v>9624</v>
      </c>
      <c r="D1849" s="4">
        <v>43190</v>
      </c>
      <c r="E1849" t="s">
        <v>824</v>
      </c>
      <c r="F1849" t="s">
        <v>824</v>
      </c>
      <c r="G1849" t="s">
        <v>861</v>
      </c>
      <c r="H1849">
        <v>0.08</v>
      </c>
      <c r="I1849">
        <v>5.86</v>
      </c>
      <c r="J1849">
        <v>1.38</v>
      </c>
      <c r="K1849" t="s">
        <v>3490</v>
      </c>
      <c r="L1849">
        <v>6.97</v>
      </c>
      <c r="M1849" t="s">
        <v>5765</v>
      </c>
      <c r="N1849">
        <v>0</v>
      </c>
      <c r="O1849" t="s">
        <v>7182</v>
      </c>
      <c r="P1849" t="s">
        <v>9625</v>
      </c>
      <c r="Q1849">
        <v>-27.67</v>
      </c>
      <c r="R1849" t="s">
        <v>918</v>
      </c>
      <c r="S1849">
        <v>2.06</v>
      </c>
      <c r="T1849">
        <v>15.71</v>
      </c>
      <c r="U1849" t="s">
        <v>578</v>
      </c>
      <c r="V1849" t="s">
        <v>754</v>
      </c>
      <c r="W1849" t="s">
        <v>1597</v>
      </c>
      <c r="X1849">
        <v>1.38</v>
      </c>
      <c r="Y1849" t="s">
        <v>998</v>
      </c>
      <c r="Z1849" t="s">
        <v>1905</v>
      </c>
      <c r="AA1849" t="s">
        <v>5577</v>
      </c>
      <c r="AB1849">
        <v>1.56</v>
      </c>
      <c r="AC1849" t="s">
        <v>702</v>
      </c>
      <c r="AD1849">
        <v>84.9</v>
      </c>
      <c r="AE1849" t="s">
        <v>3157</v>
      </c>
      <c r="AF1849">
        <v>2.5099999999999998</v>
      </c>
      <c r="AG1849">
        <v>0</v>
      </c>
      <c r="AH1849">
        <v>0</v>
      </c>
      <c r="AI1849" s="4">
        <v>42088</v>
      </c>
    </row>
    <row r="1850" spans="1:35">
      <c r="A1850">
        <v>1849</v>
      </c>
      <c r="B1850" t="str">
        <f>"601611"</f>
        <v>601611</v>
      </c>
      <c r="C1850" t="s">
        <v>9626</v>
      </c>
      <c r="D1850" s="4">
        <v>43190</v>
      </c>
      <c r="E1850" t="s">
        <v>2515</v>
      </c>
      <c r="F1850" t="s">
        <v>2767</v>
      </c>
      <c r="G1850">
        <v>6916</v>
      </c>
      <c r="H1850">
        <v>0.05</v>
      </c>
      <c r="I1850">
        <v>3.1</v>
      </c>
      <c r="J1850">
        <v>1.38</v>
      </c>
      <c r="K1850" t="s">
        <v>9627</v>
      </c>
      <c r="L1850">
        <v>10.42</v>
      </c>
      <c r="M1850" t="s">
        <v>669</v>
      </c>
      <c r="N1850" t="s">
        <v>3486</v>
      </c>
      <c r="O1850" t="s">
        <v>531</v>
      </c>
      <c r="P1850" t="s">
        <v>1038</v>
      </c>
      <c r="Q1850">
        <v>17.82</v>
      </c>
      <c r="R1850" t="s">
        <v>1305</v>
      </c>
      <c r="S1850">
        <v>1.54</v>
      </c>
      <c r="T1850">
        <v>8.52</v>
      </c>
      <c r="U1850" t="s">
        <v>8857</v>
      </c>
      <c r="V1850" t="s">
        <v>5069</v>
      </c>
      <c r="W1850" t="s">
        <v>2028</v>
      </c>
      <c r="X1850">
        <v>1.38</v>
      </c>
      <c r="Y1850" t="s">
        <v>9628</v>
      </c>
      <c r="Z1850" t="s">
        <v>5718</v>
      </c>
      <c r="AA1850" t="s">
        <v>6845</v>
      </c>
      <c r="AB1850">
        <v>2.78</v>
      </c>
      <c r="AC1850" t="s">
        <v>4718</v>
      </c>
      <c r="AD1850">
        <v>12.3</v>
      </c>
      <c r="AE1850" t="s">
        <v>250</v>
      </c>
      <c r="AF1850">
        <v>0.45</v>
      </c>
      <c r="AG1850">
        <v>0</v>
      </c>
      <c r="AH1850">
        <v>0</v>
      </c>
      <c r="AI1850" s="4">
        <v>42527</v>
      </c>
    </row>
    <row r="1851" spans="1:35">
      <c r="A1851">
        <v>1850</v>
      </c>
      <c r="B1851" t="str">
        <f>"600999"</f>
        <v>600999</v>
      </c>
      <c r="C1851" t="s">
        <v>9629</v>
      </c>
      <c r="D1851" s="4">
        <v>43190</v>
      </c>
      <c r="E1851" t="s">
        <v>2497</v>
      </c>
      <c r="F1851" t="s">
        <v>3749</v>
      </c>
      <c r="G1851">
        <v>0</v>
      </c>
      <c r="H1851">
        <v>0.16</v>
      </c>
      <c r="I1851">
        <v>9.7100000000000009</v>
      </c>
      <c r="J1851">
        <v>1.38</v>
      </c>
      <c r="K1851" t="s">
        <v>451</v>
      </c>
      <c r="L1851">
        <v>-7.17</v>
      </c>
      <c r="M1851" t="s">
        <v>924</v>
      </c>
      <c r="N1851" t="s">
        <v>1162</v>
      </c>
      <c r="O1851" t="s">
        <v>1214</v>
      </c>
      <c r="P1851" t="s">
        <v>1223</v>
      </c>
      <c r="Q1851">
        <v>-20.57</v>
      </c>
      <c r="R1851" t="s">
        <v>928</v>
      </c>
      <c r="S1851">
        <v>2.66</v>
      </c>
      <c r="T1851">
        <v>0</v>
      </c>
      <c r="U1851" t="s">
        <v>9630</v>
      </c>
      <c r="V1851">
        <v>0</v>
      </c>
      <c r="W1851" t="s">
        <v>1480</v>
      </c>
      <c r="X1851">
        <v>1.38</v>
      </c>
      <c r="Y1851" t="s">
        <v>9631</v>
      </c>
      <c r="Z1851">
        <v>0</v>
      </c>
      <c r="AA1851">
        <v>0</v>
      </c>
      <c r="AB1851">
        <v>1.39</v>
      </c>
      <c r="AC1851" t="s">
        <v>9632</v>
      </c>
      <c r="AD1851">
        <v>27.55</v>
      </c>
      <c r="AE1851" t="s">
        <v>837</v>
      </c>
      <c r="AF1851">
        <v>4.1100000000000003</v>
      </c>
      <c r="AG1851">
        <v>0</v>
      </c>
      <c r="AH1851" t="s">
        <v>5928</v>
      </c>
      <c r="AI1851" s="4">
        <v>40134</v>
      </c>
    </row>
    <row r="1852" spans="1:35">
      <c r="A1852">
        <v>1851</v>
      </c>
      <c r="B1852" t="str">
        <f>"600862"</f>
        <v>600862</v>
      </c>
      <c r="C1852" t="s">
        <v>9633</v>
      </c>
      <c r="D1852" s="4">
        <v>43190</v>
      </c>
      <c r="E1852" t="s">
        <v>624</v>
      </c>
      <c r="F1852" t="s">
        <v>3549</v>
      </c>
      <c r="G1852" t="s">
        <v>2258</v>
      </c>
      <c r="H1852">
        <v>0.03</v>
      </c>
      <c r="I1852">
        <v>2.54</v>
      </c>
      <c r="J1852">
        <v>1.38</v>
      </c>
      <c r="K1852" t="s">
        <v>1787</v>
      </c>
      <c r="L1852">
        <v>-2</v>
      </c>
      <c r="M1852" t="s">
        <v>378</v>
      </c>
      <c r="N1852" t="s">
        <v>1230</v>
      </c>
      <c r="O1852" t="s">
        <v>9634</v>
      </c>
      <c r="P1852" t="s">
        <v>9635</v>
      </c>
      <c r="Q1852">
        <v>-25.61</v>
      </c>
      <c r="R1852" t="s">
        <v>3726</v>
      </c>
      <c r="S1852">
        <v>0.26</v>
      </c>
      <c r="T1852">
        <v>22.61</v>
      </c>
      <c r="U1852" t="s">
        <v>951</v>
      </c>
      <c r="V1852" t="s">
        <v>245</v>
      </c>
      <c r="W1852" t="s">
        <v>1223</v>
      </c>
      <c r="X1852">
        <v>1.38</v>
      </c>
      <c r="Y1852" t="s">
        <v>461</v>
      </c>
      <c r="Z1852" t="s">
        <v>685</v>
      </c>
      <c r="AA1852" t="s">
        <v>922</v>
      </c>
      <c r="AB1852">
        <v>2.2999999999999998</v>
      </c>
      <c r="AC1852" t="s">
        <v>816</v>
      </c>
      <c r="AD1852">
        <v>51.4</v>
      </c>
      <c r="AE1852" t="s">
        <v>161</v>
      </c>
      <c r="AF1852">
        <v>1.04</v>
      </c>
      <c r="AG1852">
        <v>0</v>
      </c>
      <c r="AH1852">
        <v>0</v>
      </c>
      <c r="AI1852" s="4">
        <v>34474</v>
      </c>
    </row>
    <row r="1853" spans="1:35">
      <c r="A1853">
        <v>1852</v>
      </c>
      <c r="B1853" t="str">
        <f>"600774"</f>
        <v>600774</v>
      </c>
      <c r="C1853" t="s">
        <v>9636</v>
      </c>
      <c r="D1853" s="4">
        <v>43190</v>
      </c>
      <c r="E1853" t="s">
        <v>935</v>
      </c>
      <c r="F1853" t="s">
        <v>935</v>
      </c>
      <c r="G1853" t="s">
        <v>3761</v>
      </c>
      <c r="H1853">
        <v>0.04</v>
      </c>
      <c r="I1853">
        <v>2.58</v>
      </c>
      <c r="J1853">
        <v>1.38</v>
      </c>
      <c r="K1853" t="s">
        <v>2132</v>
      </c>
      <c r="L1853">
        <v>17.8</v>
      </c>
      <c r="M1853" t="s">
        <v>9637</v>
      </c>
      <c r="N1853" t="s">
        <v>9638</v>
      </c>
      <c r="O1853" t="s">
        <v>6746</v>
      </c>
      <c r="P1853" t="s">
        <v>9639</v>
      </c>
      <c r="Q1853">
        <v>12.71</v>
      </c>
      <c r="R1853" t="s">
        <v>193</v>
      </c>
      <c r="S1853">
        <v>0.9</v>
      </c>
      <c r="T1853">
        <v>30.34</v>
      </c>
      <c r="U1853" t="s">
        <v>646</v>
      </c>
      <c r="V1853" t="s">
        <v>863</v>
      </c>
      <c r="W1853" t="s">
        <v>323</v>
      </c>
      <c r="X1853">
        <v>1.38</v>
      </c>
      <c r="Y1853" t="s">
        <v>1094</v>
      </c>
      <c r="Z1853" t="s">
        <v>1462</v>
      </c>
      <c r="AA1853" t="s">
        <v>337</v>
      </c>
      <c r="AB1853">
        <v>4.7300000000000004</v>
      </c>
      <c r="AC1853" t="s">
        <v>2851</v>
      </c>
      <c r="AD1853">
        <v>34.549999999999997</v>
      </c>
      <c r="AE1853" t="s">
        <v>1038</v>
      </c>
      <c r="AF1853">
        <v>0.56999999999999995</v>
      </c>
      <c r="AG1853">
        <v>0</v>
      </c>
      <c r="AH1853">
        <v>0</v>
      </c>
      <c r="AI1853" s="4">
        <v>35377</v>
      </c>
    </row>
    <row r="1854" spans="1:35">
      <c r="A1854">
        <v>1853</v>
      </c>
      <c r="B1854" t="str">
        <f>"300561"</f>
        <v>300561</v>
      </c>
      <c r="C1854" t="s">
        <v>9640</v>
      </c>
      <c r="D1854" s="4">
        <v>43190</v>
      </c>
      <c r="E1854" t="s">
        <v>368</v>
      </c>
      <c r="F1854" t="s">
        <v>5879</v>
      </c>
      <c r="G1854">
        <v>2625</v>
      </c>
      <c r="H1854">
        <v>0.06</v>
      </c>
      <c r="I1854">
        <v>3.9</v>
      </c>
      <c r="J1854">
        <v>1.38</v>
      </c>
      <c r="K1854" t="s">
        <v>9641</v>
      </c>
      <c r="L1854">
        <v>7.26</v>
      </c>
      <c r="M1854" t="s">
        <v>8148</v>
      </c>
      <c r="N1854" t="s">
        <v>921</v>
      </c>
      <c r="O1854" t="s">
        <v>8148</v>
      </c>
      <c r="P1854" t="s">
        <v>9642</v>
      </c>
      <c r="Q1854">
        <v>-52.62</v>
      </c>
      <c r="R1854" t="s">
        <v>669</v>
      </c>
      <c r="S1854">
        <v>1.21</v>
      </c>
      <c r="T1854">
        <v>56.71</v>
      </c>
      <c r="U1854" t="s">
        <v>1938</v>
      </c>
      <c r="V1854" t="s">
        <v>3196</v>
      </c>
      <c r="W1854" t="s">
        <v>3950</v>
      </c>
      <c r="X1854">
        <v>1.38</v>
      </c>
      <c r="Y1854" t="s">
        <v>9643</v>
      </c>
      <c r="Z1854" t="s">
        <v>9644</v>
      </c>
      <c r="AA1854" t="s">
        <v>1975</v>
      </c>
      <c r="AB1854">
        <v>5.93</v>
      </c>
      <c r="AC1854" t="s">
        <v>741</v>
      </c>
      <c r="AD1854">
        <v>91.39</v>
      </c>
      <c r="AE1854" t="s">
        <v>5614</v>
      </c>
      <c r="AF1854">
        <v>1.64</v>
      </c>
      <c r="AG1854">
        <v>0</v>
      </c>
      <c r="AH1854">
        <v>0</v>
      </c>
      <c r="AI1854" s="4">
        <v>42691</v>
      </c>
    </row>
    <row r="1855" spans="1:35">
      <c r="A1855">
        <v>1854</v>
      </c>
      <c r="B1855" t="str">
        <f>"300468"</f>
        <v>300468</v>
      </c>
      <c r="C1855" t="s">
        <v>9645</v>
      </c>
      <c r="D1855" s="4">
        <v>43190</v>
      </c>
      <c r="E1855" t="s">
        <v>71</v>
      </c>
      <c r="F1855" t="s">
        <v>197</v>
      </c>
      <c r="G1855">
        <v>3990</v>
      </c>
      <c r="H1855">
        <v>0.12</v>
      </c>
      <c r="I1855">
        <v>8.92</v>
      </c>
      <c r="J1855">
        <v>1.38</v>
      </c>
      <c r="K1855" t="s">
        <v>1119</v>
      </c>
      <c r="L1855">
        <v>8.6999999999999993</v>
      </c>
      <c r="M1855" t="s">
        <v>9646</v>
      </c>
      <c r="N1855" t="s">
        <v>6802</v>
      </c>
      <c r="O1855" t="s">
        <v>1373</v>
      </c>
      <c r="P1855" t="s">
        <v>5881</v>
      </c>
      <c r="Q1855">
        <v>5.05</v>
      </c>
      <c r="R1855" t="s">
        <v>2729</v>
      </c>
      <c r="S1855">
        <v>2.64</v>
      </c>
      <c r="T1855">
        <v>44.18</v>
      </c>
      <c r="U1855" t="s">
        <v>192</v>
      </c>
      <c r="V1855" t="s">
        <v>1649</v>
      </c>
      <c r="W1855" t="s">
        <v>9647</v>
      </c>
      <c r="X1855">
        <v>1.38</v>
      </c>
      <c r="Y1855" t="s">
        <v>618</v>
      </c>
      <c r="Z1855" t="s">
        <v>844</v>
      </c>
      <c r="AA1855" t="s">
        <v>6297</v>
      </c>
      <c r="AB1855">
        <v>3.47</v>
      </c>
      <c r="AC1855" t="s">
        <v>1976</v>
      </c>
      <c r="AD1855">
        <v>82.31</v>
      </c>
      <c r="AE1855" t="s">
        <v>3894</v>
      </c>
      <c r="AF1855">
        <v>6.41</v>
      </c>
      <c r="AG1855">
        <v>0</v>
      </c>
      <c r="AH1855">
        <v>0</v>
      </c>
      <c r="AI1855" s="4">
        <v>42151</v>
      </c>
    </row>
    <row r="1856" spans="1:35">
      <c r="A1856">
        <v>1855</v>
      </c>
      <c r="B1856" t="str">
        <f>"300262"</f>
        <v>300262</v>
      </c>
      <c r="C1856" t="s">
        <v>9648</v>
      </c>
      <c r="D1856" s="4">
        <v>43190</v>
      </c>
      <c r="E1856" t="s">
        <v>563</v>
      </c>
      <c r="F1856" t="s">
        <v>2222</v>
      </c>
      <c r="G1856" t="s">
        <v>2234</v>
      </c>
      <c r="H1856">
        <v>0.04</v>
      </c>
      <c r="I1856">
        <v>3.22</v>
      </c>
      <c r="J1856">
        <v>1.38</v>
      </c>
      <c r="K1856" t="s">
        <v>535</v>
      </c>
      <c r="L1856">
        <v>48.09</v>
      </c>
      <c r="M1856" t="s">
        <v>7682</v>
      </c>
      <c r="N1856">
        <v>0</v>
      </c>
      <c r="O1856" t="s">
        <v>9649</v>
      </c>
      <c r="P1856" t="s">
        <v>9209</v>
      </c>
      <c r="Q1856">
        <v>25.14</v>
      </c>
      <c r="R1856" t="s">
        <v>2111</v>
      </c>
      <c r="S1856">
        <v>0.8</v>
      </c>
      <c r="T1856">
        <v>35.53</v>
      </c>
      <c r="U1856" t="s">
        <v>152</v>
      </c>
      <c r="V1856" t="s">
        <v>114</v>
      </c>
      <c r="W1856" t="s">
        <v>382</v>
      </c>
      <c r="X1856">
        <v>1.38</v>
      </c>
      <c r="Y1856" t="s">
        <v>1704</v>
      </c>
      <c r="Z1856" t="s">
        <v>924</v>
      </c>
      <c r="AA1856" t="s">
        <v>919</v>
      </c>
      <c r="AB1856">
        <v>1.58</v>
      </c>
      <c r="AC1856" t="s">
        <v>114</v>
      </c>
      <c r="AD1856">
        <v>47.51</v>
      </c>
      <c r="AE1856" t="s">
        <v>703</v>
      </c>
      <c r="AF1856">
        <v>1.35</v>
      </c>
      <c r="AG1856">
        <v>0</v>
      </c>
      <c r="AH1856">
        <v>0</v>
      </c>
      <c r="AI1856" s="4">
        <v>40802</v>
      </c>
    </row>
    <row r="1857" spans="1:35">
      <c r="A1857">
        <v>1856</v>
      </c>
      <c r="B1857" t="str">
        <f>"002568"</f>
        <v>002568</v>
      </c>
      <c r="C1857" t="s">
        <v>9650</v>
      </c>
      <c r="D1857" s="4">
        <v>43190</v>
      </c>
      <c r="E1857" t="s">
        <v>3196</v>
      </c>
      <c r="F1857" t="s">
        <v>1682</v>
      </c>
      <c r="G1857" t="s">
        <v>1763</v>
      </c>
      <c r="H1857">
        <v>0.04</v>
      </c>
      <c r="I1857">
        <v>2.67</v>
      </c>
      <c r="J1857">
        <v>1.38</v>
      </c>
      <c r="K1857" t="s">
        <v>2889</v>
      </c>
      <c r="L1857">
        <v>-9.67</v>
      </c>
      <c r="M1857" t="s">
        <v>4635</v>
      </c>
      <c r="N1857">
        <v>0</v>
      </c>
      <c r="O1857" t="s">
        <v>9651</v>
      </c>
      <c r="P1857" t="s">
        <v>3667</v>
      </c>
      <c r="Q1857">
        <v>25.1</v>
      </c>
      <c r="R1857" t="s">
        <v>9652</v>
      </c>
      <c r="S1857">
        <v>7.0000000000000007E-2</v>
      </c>
      <c r="T1857">
        <v>68.31</v>
      </c>
      <c r="U1857" t="s">
        <v>1704</v>
      </c>
      <c r="V1857" t="s">
        <v>3161</v>
      </c>
      <c r="W1857" t="s">
        <v>5598</v>
      </c>
      <c r="X1857">
        <v>1.38</v>
      </c>
      <c r="Y1857" t="s">
        <v>3006</v>
      </c>
      <c r="Z1857" t="s">
        <v>806</v>
      </c>
      <c r="AA1857" t="s">
        <v>9653</v>
      </c>
      <c r="AB1857">
        <v>5.15</v>
      </c>
      <c r="AC1857" t="s">
        <v>183</v>
      </c>
      <c r="AD1857">
        <v>79.94</v>
      </c>
      <c r="AE1857" t="s">
        <v>978</v>
      </c>
      <c r="AF1857">
        <v>1.45</v>
      </c>
      <c r="AG1857">
        <v>0</v>
      </c>
      <c r="AH1857">
        <v>0</v>
      </c>
      <c r="AI1857" s="4">
        <v>40627</v>
      </c>
    </row>
    <row r="1858" spans="1:35">
      <c r="A1858">
        <v>1857</v>
      </c>
      <c r="B1858" t="str">
        <f>"600884"</f>
        <v>600884</v>
      </c>
      <c r="C1858" t="s">
        <v>9654</v>
      </c>
      <c r="D1858" s="4">
        <v>43190</v>
      </c>
      <c r="E1858" t="s">
        <v>147</v>
      </c>
      <c r="F1858" t="s">
        <v>544</v>
      </c>
      <c r="G1858" t="s">
        <v>779</v>
      </c>
      <c r="H1858">
        <v>0.13</v>
      </c>
      <c r="I1858">
        <v>10.06</v>
      </c>
      <c r="J1858">
        <v>1.38</v>
      </c>
      <c r="K1858" t="s">
        <v>1455</v>
      </c>
      <c r="L1858">
        <v>17.940000000000001</v>
      </c>
      <c r="M1858" t="s">
        <v>682</v>
      </c>
      <c r="N1858" t="s">
        <v>9655</v>
      </c>
      <c r="O1858" t="s">
        <v>1435</v>
      </c>
      <c r="P1858" t="s">
        <v>609</v>
      </c>
      <c r="Q1858">
        <v>79.540000000000006</v>
      </c>
      <c r="R1858" t="s">
        <v>1345</v>
      </c>
      <c r="S1858">
        <v>2.74</v>
      </c>
      <c r="T1858">
        <v>26.2</v>
      </c>
      <c r="U1858" t="s">
        <v>3748</v>
      </c>
      <c r="V1858" t="s">
        <v>900</v>
      </c>
      <c r="W1858" t="s">
        <v>2499</v>
      </c>
      <c r="X1858">
        <v>1.38</v>
      </c>
      <c r="Y1858" t="s">
        <v>1745</v>
      </c>
      <c r="Z1858" t="s">
        <v>5658</v>
      </c>
      <c r="AA1858" t="s">
        <v>738</v>
      </c>
      <c r="AB1858">
        <v>1.98</v>
      </c>
      <c r="AC1858" t="s">
        <v>466</v>
      </c>
      <c r="AD1858">
        <v>46.13</v>
      </c>
      <c r="AE1858" t="s">
        <v>1242</v>
      </c>
      <c r="AF1858">
        <v>2.63</v>
      </c>
      <c r="AG1858">
        <v>0</v>
      </c>
      <c r="AH1858">
        <v>0</v>
      </c>
      <c r="AI1858" s="4">
        <v>35094</v>
      </c>
    </row>
    <row r="1859" spans="1:35">
      <c r="A1859">
        <v>1858</v>
      </c>
      <c r="B1859" t="str">
        <f>"600888"</f>
        <v>600888</v>
      </c>
      <c r="C1859" t="s">
        <v>9656</v>
      </c>
      <c r="D1859" s="4">
        <v>43190</v>
      </c>
      <c r="E1859" t="s">
        <v>1575</v>
      </c>
      <c r="F1859" t="s">
        <v>1575</v>
      </c>
      <c r="G1859" t="s">
        <v>2478</v>
      </c>
      <c r="H1859">
        <v>0.05</v>
      </c>
      <c r="I1859">
        <v>4.1100000000000003</v>
      </c>
      <c r="J1859">
        <v>1.37</v>
      </c>
      <c r="K1859" t="s">
        <v>775</v>
      </c>
      <c r="L1859">
        <v>84.42</v>
      </c>
      <c r="M1859" t="s">
        <v>3079</v>
      </c>
      <c r="N1859" t="s">
        <v>9657</v>
      </c>
      <c r="O1859" t="s">
        <v>9658</v>
      </c>
      <c r="P1859" t="s">
        <v>9659</v>
      </c>
      <c r="Q1859">
        <v>32.49</v>
      </c>
      <c r="R1859" t="s">
        <v>1652</v>
      </c>
      <c r="S1859">
        <v>0.66</v>
      </c>
      <c r="T1859">
        <v>9.5500000000000007</v>
      </c>
      <c r="U1859" t="s">
        <v>525</v>
      </c>
      <c r="V1859" t="s">
        <v>780</v>
      </c>
      <c r="W1859" t="s">
        <v>2452</v>
      </c>
      <c r="X1859">
        <v>1.37</v>
      </c>
      <c r="Y1859" t="s">
        <v>4013</v>
      </c>
      <c r="Z1859" t="s">
        <v>2700</v>
      </c>
      <c r="AA1859" t="s">
        <v>1486</v>
      </c>
      <c r="AB1859">
        <v>1.26</v>
      </c>
      <c r="AC1859" t="s">
        <v>1175</v>
      </c>
      <c r="AD1859">
        <v>32.89</v>
      </c>
      <c r="AE1859" t="s">
        <v>510</v>
      </c>
      <c r="AF1859">
        <v>2.2200000000000002</v>
      </c>
      <c r="AG1859">
        <v>0</v>
      </c>
      <c r="AH1859">
        <v>0</v>
      </c>
      <c r="AI1859" s="4">
        <v>35110</v>
      </c>
    </row>
    <row r="1860" spans="1:35">
      <c r="A1860">
        <v>1859</v>
      </c>
      <c r="B1860" t="str">
        <f>"600502"</f>
        <v>600502</v>
      </c>
      <c r="C1860" t="s">
        <v>9660</v>
      </c>
      <c r="D1860" s="4">
        <v>43190</v>
      </c>
      <c r="E1860" t="s">
        <v>162</v>
      </c>
      <c r="F1860" t="s">
        <v>2648</v>
      </c>
      <c r="G1860" t="s">
        <v>2531</v>
      </c>
      <c r="H1860">
        <v>0.08</v>
      </c>
      <c r="I1860">
        <v>4.4000000000000004</v>
      </c>
      <c r="J1860">
        <v>1.37</v>
      </c>
      <c r="K1860" t="s">
        <v>7536</v>
      </c>
      <c r="L1860">
        <v>10.65</v>
      </c>
      <c r="M1860" t="s">
        <v>382</v>
      </c>
      <c r="N1860" t="s">
        <v>8066</v>
      </c>
      <c r="O1860" t="s">
        <v>610</v>
      </c>
      <c r="P1860" t="s">
        <v>804</v>
      </c>
      <c r="Q1860">
        <v>30.22</v>
      </c>
      <c r="R1860" t="s">
        <v>1661</v>
      </c>
      <c r="S1860">
        <v>1.85</v>
      </c>
      <c r="T1860">
        <v>7.64</v>
      </c>
      <c r="U1860" t="s">
        <v>6138</v>
      </c>
      <c r="V1860" t="s">
        <v>3939</v>
      </c>
      <c r="W1860" t="s">
        <v>1158</v>
      </c>
      <c r="X1860">
        <v>1.37</v>
      </c>
      <c r="Y1860" t="s">
        <v>6738</v>
      </c>
      <c r="Z1860" t="s">
        <v>1135</v>
      </c>
      <c r="AA1860" t="s">
        <v>413</v>
      </c>
      <c r="AB1860">
        <v>1.1200000000000001</v>
      </c>
      <c r="AC1860" t="s">
        <v>6876</v>
      </c>
      <c r="AD1860">
        <v>13.08</v>
      </c>
      <c r="AE1860" t="s">
        <v>1052</v>
      </c>
      <c r="AF1860">
        <v>1.1499999999999999</v>
      </c>
      <c r="AG1860">
        <v>0</v>
      </c>
      <c r="AH1860">
        <v>0</v>
      </c>
      <c r="AI1860" s="4">
        <v>37726</v>
      </c>
    </row>
    <row r="1861" spans="1:35">
      <c r="A1861">
        <v>1860</v>
      </c>
      <c r="B1861" t="str">
        <f>"600172"</f>
        <v>600172</v>
      </c>
      <c r="C1861" t="s">
        <v>9661</v>
      </c>
      <c r="D1861" s="4">
        <v>43190</v>
      </c>
      <c r="E1861" t="s">
        <v>141</v>
      </c>
      <c r="F1861" t="s">
        <v>613</v>
      </c>
      <c r="G1861" t="s">
        <v>2266</v>
      </c>
      <c r="H1861">
        <v>0.05</v>
      </c>
      <c r="I1861">
        <v>3.54</v>
      </c>
      <c r="J1861">
        <v>1.37</v>
      </c>
      <c r="K1861" t="s">
        <v>1408</v>
      </c>
      <c r="L1861">
        <v>-2.25</v>
      </c>
      <c r="M1861" t="s">
        <v>9662</v>
      </c>
      <c r="N1861" t="s">
        <v>9663</v>
      </c>
      <c r="O1861" t="s">
        <v>9664</v>
      </c>
      <c r="P1861" t="s">
        <v>7949</v>
      </c>
      <c r="Q1861">
        <v>-34.97</v>
      </c>
      <c r="R1861" t="s">
        <v>1101</v>
      </c>
      <c r="S1861">
        <v>1.24</v>
      </c>
      <c r="T1861">
        <v>33.549999999999997</v>
      </c>
      <c r="U1861" t="s">
        <v>252</v>
      </c>
      <c r="V1861" t="s">
        <v>2064</v>
      </c>
      <c r="W1861" t="s">
        <v>2452</v>
      </c>
      <c r="X1861">
        <v>1.37</v>
      </c>
      <c r="Y1861" t="s">
        <v>2860</v>
      </c>
      <c r="Z1861" t="s">
        <v>1219</v>
      </c>
      <c r="AA1861" t="s">
        <v>775</v>
      </c>
      <c r="AB1861">
        <v>1.28</v>
      </c>
      <c r="AC1861" t="s">
        <v>572</v>
      </c>
      <c r="AD1861">
        <v>50.46</v>
      </c>
      <c r="AE1861" t="s">
        <v>187</v>
      </c>
      <c r="AF1861">
        <v>1.27</v>
      </c>
      <c r="AG1861">
        <v>0</v>
      </c>
      <c r="AH1861">
        <v>0</v>
      </c>
      <c r="AI1861" s="4">
        <v>36125</v>
      </c>
    </row>
    <row r="1862" spans="1:35">
      <c r="A1862">
        <v>1861</v>
      </c>
      <c r="B1862" t="str">
        <f>"600061"</f>
        <v>600061</v>
      </c>
      <c r="C1862" t="s">
        <v>9665</v>
      </c>
      <c r="D1862" s="4">
        <v>43190</v>
      </c>
      <c r="E1862" t="s">
        <v>1312</v>
      </c>
      <c r="F1862" t="s">
        <v>785</v>
      </c>
      <c r="G1862" t="s">
        <v>9666</v>
      </c>
      <c r="H1862">
        <v>0.12</v>
      </c>
      <c r="I1862">
        <v>8.69</v>
      </c>
      <c r="J1862">
        <v>1.37</v>
      </c>
      <c r="K1862" t="s">
        <v>306</v>
      </c>
      <c r="L1862">
        <v>12.88</v>
      </c>
      <c r="M1862" t="s">
        <v>3925</v>
      </c>
      <c r="N1862" t="s">
        <v>1059</v>
      </c>
      <c r="O1862" t="s">
        <v>488</v>
      </c>
      <c r="P1862" t="s">
        <v>2563</v>
      </c>
      <c r="Q1862">
        <v>-11.61</v>
      </c>
      <c r="R1862" t="s">
        <v>3791</v>
      </c>
      <c r="S1862">
        <v>2.11</v>
      </c>
      <c r="T1862">
        <v>3.07</v>
      </c>
      <c r="U1862" t="s">
        <v>9667</v>
      </c>
      <c r="V1862" t="s">
        <v>5264</v>
      </c>
      <c r="W1862" t="s">
        <v>234</v>
      </c>
      <c r="X1862">
        <v>1.37</v>
      </c>
      <c r="Y1862" t="s">
        <v>9668</v>
      </c>
      <c r="Z1862" t="s">
        <v>9669</v>
      </c>
      <c r="AA1862" t="s">
        <v>1099</v>
      </c>
      <c r="AB1862">
        <v>1.06</v>
      </c>
      <c r="AC1862" t="s">
        <v>3512</v>
      </c>
      <c r="AD1862">
        <v>22.56</v>
      </c>
      <c r="AE1862" t="s">
        <v>1749</v>
      </c>
      <c r="AF1862">
        <v>4.9000000000000004</v>
      </c>
      <c r="AG1862">
        <v>0</v>
      </c>
      <c r="AH1862">
        <v>0</v>
      </c>
      <c r="AI1862" s="4">
        <v>35569</v>
      </c>
    </row>
    <row r="1863" spans="1:35">
      <c r="A1863">
        <v>1862</v>
      </c>
      <c r="B1863" t="str">
        <f>"300500"</f>
        <v>300500</v>
      </c>
      <c r="C1863" t="s">
        <v>9670</v>
      </c>
      <c r="D1863" s="4">
        <v>43190</v>
      </c>
      <c r="E1863" t="s">
        <v>595</v>
      </c>
      <c r="F1863" t="s">
        <v>2161</v>
      </c>
      <c r="G1863">
        <v>2455</v>
      </c>
      <c r="H1863">
        <v>0.09</v>
      </c>
      <c r="I1863">
        <v>8.61</v>
      </c>
      <c r="J1863">
        <v>1.37</v>
      </c>
      <c r="K1863" t="s">
        <v>2424</v>
      </c>
      <c r="L1863">
        <v>65.33</v>
      </c>
      <c r="M1863" t="s">
        <v>9671</v>
      </c>
      <c r="N1863" t="s">
        <v>7036</v>
      </c>
      <c r="O1863" t="s">
        <v>9671</v>
      </c>
      <c r="P1863" t="s">
        <v>9471</v>
      </c>
      <c r="Q1863">
        <v>28.35</v>
      </c>
      <c r="R1863" t="s">
        <v>1733</v>
      </c>
      <c r="S1863">
        <v>1.86</v>
      </c>
      <c r="T1863">
        <v>32.79</v>
      </c>
      <c r="U1863" t="s">
        <v>1101</v>
      </c>
      <c r="V1863" t="s">
        <v>5864</v>
      </c>
      <c r="W1863" t="s">
        <v>193</v>
      </c>
      <c r="X1863">
        <v>1.37</v>
      </c>
      <c r="Y1863" t="s">
        <v>3900</v>
      </c>
      <c r="Z1863" t="s">
        <v>749</v>
      </c>
      <c r="AA1863" t="s">
        <v>292</v>
      </c>
      <c r="AB1863">
        <v>2.79</v>
      </c>
      <c r="AC1863" t="s">
        <v>192</v>
      </c>
      <c r="AD1863">
        <v>64.16</v>
      </c>
      <c r="AE1863" t="s">
        <v>1162</v>
      </c>
      <c r="AF1863">
        <v>5.77</v>
      </c>
      <c r="AG1863">
        <v>0</v>
      </c>
      <c r="AH1863">
        <v>0</v>
      </c>
      <c r="AI1863" s="4">
        <v>42404</v>
      </c>
    </row>
    <row r="1864" spans="1:35">
      <c r="A1864">
        <v>1863</v>
      </c>
      <c r="B1864" t="str">
        <f>"002135"</f>
        <v>002135</v>
      </c>
      <c r="C1864" t="s">
        <v>9672</v>
      </c>
      <c r="D1864" s="4">
        <v>43190</v>
      </c>
      <c r="E1864" t="s">
        <v>978</v>
      </c>
      <c r="F1864" t="s">
        <v>4552</v>
      </c>
      <c r="G1864" t="s">
        <v>950</v>
      </c>
      <c r="H1864">
        <v>0.05</v>
      </c>
      <c r="I1864">
        <v>3.79</v>
      </c>
      <c r="J1864">
        <v>1.37</v>
      </c>
      <c r="K1864" t="s">
        <v>855</v>
      </c>
      <c r="L1864">
        <v>-1.82</v>
      </c>
      <c r="M1864" t="s">
        <v>9673</v>
      </c>
      <c r="N1864">
        <v>0</v>
      </c>
      <c r="O1864" t="s">
        <v>9674</v>
      </c>
      <c r="P1864" t="s">
        <v>5999</v>
      </c>
      <c r="Q1864">
        <v>65.400000000000006</v>
      </c>
      <c r="R1864" t="s">
        <v>1867</v>
      </c>
      <c r="S1864">
        <v>0.68</v>
      </c>
      <c r="T1864">
        <v>11.7</v>
      </c>
      <c r="U1864" t="s">
        <v>1526</v>
      </c>
      <c r="V1864" t="s">
        <v>2640</v>
      </c>
      <c r="W1864" t="s">
        <v>187</v>
      </c>
      <c r="X1864">
        <v>1.37</v>
      </c>
      <c r="Y1864" t="s">
        <v>2390</v>
      </c>
      <c r="Z1864" t="s">
        <v>1427</v>
      </c>
      <c r="AA1864" t="s">
        <v>1038</v>
      </c>
      <c r="AB1864">
        <v>1.34</v>
      </c>
      <c r="AC1864" t="s">
        <v>5550</v>
      </c>
      <c r="AD1864">
        <v>39.5</v>
      </c>
      <c r="AE1864" t="s">
        <v>159</v>
      </c>
      <c r="AF1864">
        <v>2.02</v>
      </c>
      <c r="AG1864">
        <v>0</v>
      </c>
      <c r="AH1864">
        <v>0</v>
      </c>
      <c r="AI1864" s="4">
        <v>39232</v>
      </c>
    </row>
    <row r="1865" spans="1:35">
      <c r="A1865">
        <v>1864</v>
      </c>
      <c r="B1865" t="str">
        <f>"002055"</f>
        <v>002055</v>
      </c>
      <c r="C1865" t="s">
        <v>9675</v>
      </c>
      <c r="D1865" s="4">
        <v>43190</v>
      </c>
      <c r="E1865" t="s">
        <v>988</v>
      </c>
      <c r="F1865" t="s">
        <v>1317</v>
      </c>
      <c r="G1865">
        <v>9958</v>
      </c>
      <c r="H1865">
        <v>7.0000000000000007E-2</v>
      </c>
      <c r="I1865">
        <v>5.23</v>
      </c>
      <c r="J1865">
        <v>1.37</v>
      </c>
      <c r="K1865" t="s">
        <v>820</v>
      </c>
      <c r="L1865">
        <v>45.72</v>
      </c>
      <c r="M1865" t="s">
        <v>3943</v>
      </c>
      <c r="N1865" t="s">
        <v>9676</v>
      </c>
      <c r="O1865" t="s">
        <v>6499</v>
      </c>
      <c r="P1865" t="s">
        <v>9677</v>
      </c>
      <c r="Q1865">
        <v>3.15</v>
      </c>
      <c r="R1865" t="s">
        <v>2984</v>
      </c>
      <c r="S1865">
        <v>1.63</v>
      </c>
      <c r="T1865">
        <v>13.94</v>
      </c>
      <c r="U1865" t="s">
        <v>1262</v>
      </c>
      <c r="V1865" t="s">
        <v>2243</v>
      </c>
      <c r="W1865" t="s">
        <v>919</v>
      </c>
      <c r="X1865">
        <v>1.37</v>
      </c>
      <c r="Y1865" t="s">
        <v>3776</v>
      </c>
      <c r="Z1865" t="s">
        <v>1064</v>
      </c>
      <c r="AA1865" t="s">
        <v>323</v>
      </c>
      <c r="AB1865">
        <v>3.05</v>
      </c>
      <c r="AC1865" t="s">
        <v>1213</v>
      </c>
      <c r="AD1865">
        <v>25.42</v>
      </c>
      <c r="AE1865" t="s">
        <v>354</v>
      </c>
      <c r="AF1865">
        <v>2.6</v>
      </c>
      <c r="AG1865">
        <v>0</v>
      </c>
      <c r="AH1865">
        <v>0</v>
      </c>
      <c r="AI1865" s="4">
        <v>38923</v>
      </c>
    </row>
    <row r="1866" spans="1:35">
      <c r="A1866">
        <v>1865</v>
      </c>
      <c r="B1866" t="str">
        <f>"000796"</f>
        <v>000796</v>
      </c>
      <c r="C1866" t="s">
        <v>9678</v>
      </c>
      <c r="D1866" s="4">
        <v>43190</v>
      </c>
      <c r="E1866" t="s">
        <v>3157</v>
      </c>
      <c r="F1866" t="s">
        <v>219</v>
      </c>
      <c r="G1866">
        <v>6437</v>
      </c>
      <c r="H1866">
        <v>0.03</v>
      </c>
      <c r="I1866">
        <v>2.56</v>
      </c>
      <c r="J1866">
        <v>1.37</v>
      </c>
      <c r="K1866" t="s">
        <v>757</v>
      </c>
      <c r="L1866">
        <v>11.01</v>
      </c>
      <c r="M1866" t="s">
        <v>9679</v>
      </c>
      <c r="N1866">
        <v>0</v>
      </c>
      <c r="O1866" t="s">
        <v>9680</v>
      </c>
      <c r="P1866" t="s">
        <v>9681</v>
      </c>
      <c r="Q1866">
        <v>20.09</v>
      </c>
      <c r="R1866" t="s">
        <v>483</v>
      </c>
      <c r="S1866">
        <v>0.69</v>
      </c>
      <c r="T1866">
        <v>17.97</v>
      </c>
      <c r="U1866" t="s">
        <v>4053</v>
      </c>
      <c r="V1866" t="s">
        <v>2702</v>
      </c>
      <c r="W1866" t="s">
        <v>3011</v>
      </c>
      <c r="X1866">
        <v>1.37</v>
      </c>
      <c r="Y1866" t="s">
        <v>1781</v>
      </c>
      <c r="Z1866" t="s">
        <v>1242</v>
      </c>
      <c r="AA1866" t="s">
        <v>746</v>
      </c>
      <c r="AB1866">
        <v>5.04</v>
      </c>
      <c r="AC1866" t="s">
        <v>251</v>
      </c>
      <c r="AD1866">
        <v>33.75</v>
      </c>
      <c r="AE1866" t="s">
        <v>359</v>
      </c>
      <c r="AF1866">
        <v>0.8</v>
      </c>
      <c r="AG1866">
        <v>0</v>
      </c>
      <c r="AH1866">
        <v>0</v>
      </c>
      <c r="AI1866" s="4">
        <v>35614</v>
      </c>
    </row>
    <row r="1867" spans="1:35">
      <c r="A1867">
        <v>1866</v>
      </c>
      <c r="B1867" t="str">
        <f>"601199"</f>
        <v>601199</v>
      </c>
      <c r="C1867" t="s">
        <v>9682</v>
      </c>
      <c r="D1867" s="4">
        <v>43190</v>
      </c>
      <c r="E1867" t="s">
        <v>2134</v>
      </c>
      <c r="F1867" t="s">
        <v>2134</v>
      </c>
      <c r="G1867" t="s">
        <v>427</v>
      </c>
      <c r="H1867">
        <v>0.04</v>
      </c>
      <c r="I1867">
        <v>2.83</v>
      </c>
      <c r="J1867">
        <v>1.36</v>
      </c>
      <c r="K1867" t="s">
        <v>3768</v>
      </c>
      <c r="L1867">
        <v>-7.99</v>
      </c>
      <c r="M1867" t="s">
        <v>9683</v>
      </c>
      <c r="N1867" t="s">
        <v>4735</v>
      </c>
      <c r="O1867" t="s">
        <v>9684</v>
      </c>
      <c r="P1867" t="s">
        <v>9685</v>
      </c>
      <c r="Q1867">
        <v>-20.88</v>
      </c>
      <c r="R1867" t="s">
        <v>147</v>
      </c>
      <c r="S1867">
        <v>1.2</v>
      </c>
      <c r="T1867">
        <v>43.72</v>
      </c>
      <c r="U1867" t="s">
        <v>777</v>
      </c>
      <c r="V1867" t="s">
        <v>159</v>
      </c>
      <c r="W1867" t="s">
        <v>1000</v>
      </c>
      <c r="X1867">
        <v>1.36</v>
      </c>
      <c r="Y1867" t="s">
        <v>514</v>
      </c>
      <c r="Z1867" t="s">
        <v>919</v>
      </c>
      <c r="AA1867" t="s">
        <v>1223</v>
      </c>
      <c r="AB1867">
        <v>1.52</v>
      </c>
      <c r="AC1867" t="s">
        <v>725</v>
      </c>
      <c r="AD1867">
        <v>56.29</v>
      </c>
      <c r="AE1867" t="s">
        <v>69</v>
      </c>
      <c r="AF1867">
        <v>0.42</v>
      </c>
      <c r="AG1867">
        <v>0</v>
      </c>
      <c r="AH1867">
        <v>0</v>
      </c>
      <c r="AI1867" s="4">
        <v>40619</v>
      </c>
    </row>
    <row r="1868" spans="1:35">
      <c r="A1868">
        <v>1867</v>
      </c>
      <c r="B1868" t="str">
        <f>"300720"</f>
        <v>300720</v>
      </c>
      <c r="C1868" t="s">
        <v>9686</v>
      </c>
      <c r="D1868" s="4">
        <v>43190</v>
      </c>
      <c r="E1868" t="s">
        <v>2275</v>
      </c>
      <c r="F1868" t="s">
        <v>5396</v>
      </c>
      <c r="G1868">
        <v>1404</v>
      </c>
      <c r="H1868">
        <v>0.08</v>
      </c>
      <c r="I1868">
        <v>5.74</v>
      </c>
      <c r="J1868">
        <v>1.36</v>
      </c>
      <c r="K1868" t="s">
        <v>8986</v>
      </c>
      <c r="L1868">
        <v>13.76</v>
      </c>
      <c r="M1868" t="s">
        <v>3072</v>
      </c>
      <c r="N1868" t="s">
        <v>9687</v>
      </c>
      <c r="O1868" t="s">
        <v>5527</v>
      </c>
      <c r="P1868" t="s">
        <v>9688</v>
      </c>
      <c r="Q1868">
        <v>24.6</v>
      </c>
      <c r="R1868" t="s">
        <v>3111</v>
      </c>
      <c r="S1868">
        <v>1.86</v>
      </c>
      <c r="T1868">
        <v>55.91</v>
      </c>
      <c r="U1868" t="s">
        <v>140</v>
      </c>
      <c r="V1868" t="s">
        <v>89</v>
      </c>
      <c r="W1868" t="s">
        <v>9689</v>
      </c>
      <c r="X1868">
        <v>1.36</v>
      </c>
      <c r="Y1868" t="s">
        <v>9690</v>
      </c>
      <c r="Z1868" t="s">
        <v>9690</v>
      </c>
      <c r="AA1868">
        <v>0</v>
      </c>
      <c r="AB1868">
        <v>6.18</v>
      </c>
      <c r="AC1868" t="s">
        <v>1040</v>
      </c>
      <c r="AD1868">
        <v>92.36</v>
      </c>
      <c r="AE1868" t="s">
        <v>748</v>
      </c>
      <c r="AF1868">
        <v>2.57</v>
      </c>
      <c r="AG1868">
        <v>0</v>
      </c>
      <c r="AH1868">
        <v>0</v>
      </c>
      <c r="AI1868" s="4">
        <v>43045</v>
      </c>
    </row>
    <row r="1869" spans="1:35">
      <c r="A1869">
        <v>1868</v>
      </c>
      <c r="B1869" t="str">
        <f>"300271"</f>
        <v>300271</v>
      </c>
      <c r="C1869" t="s">
        <v>9691</v>
      </c>
      <c r="D1869" s="4">
        <v>43190</v>
      </c>
      <c r="E1869" t="s">
        <v>650</v>
      </c>
      <c r="F1869" t="s">
        <v>2255</v>
      </c>
      <c r="G1869" t="s">
        <v>7750</v>
      </c>
      <c r="H1869">
        <v>7.0000000000000007E-2</v>
      </c>
      <c r="I1869">
        <v>4.91</v>
      </c>
      <c r="J1869">
        <v>1.36</v>
      </c>
      <c r="K1869" t="s">
        <v>2807</v>
      </c>
      <c r="L1869">
        <v>26.79</v>
      </c>
      <c r="M1869" t="s">
        <v>5449</v>
      </c>
      <c r="N1869" t="s">
        <v>9692</v>
      </c>
      <c r="O1869" t="s">
        <v>9693</v>
      </c>
      <c r="P1869" t="s">
        <v>9238</v>
      </c>
      <c r="Q1869">
        <v>33.270000000000003</v>
      </c>
      <c r="R1869" t="s">
        <v>926</v>
      </c>
      <c r="S1869">
        <v>1.64</v>
      </c>
      <c r="T1869">
        <v>41.91</v>
      </c>
      <c r="U1869" t="s">
        <v>3605</v>
      </c>
      <c r="V1869" t="s">
        <v>352</v>
      </c>
      <c r="W1869" t="s">
        <v>258</v>
      </c>
      <c r="X1869">
        <v>1.36</v>
      </c>
      <c r="Y1869" t="s">
        <v>295</v>
      </c>
      <c r="Z1869" t="s">
        <v>978</v>
      </c>
      <c r="AA1869" t="s">
        <v>5452</v>
      </c>
      <c r="AB1869">
        <v>3.26</v>
      </c>
      <c r="AC1869" t="s">
        <v>2136</v>
      </c>
      <c r="AD1869">
        <v>76.61</v>
      </c>
      <c r="AE1869" t="s">
        <v>702</v>
      </c>
      <c r="AF1869">
        <v>2.5299999999999998</v>
      </c>
      <c r="AG1869">
        <v>0</v>
      </c>
      <c r="AH1869">
        <v>0</v>
      </c>
      <c r="AI1869" s="4">
        <v>40842</v>
      </c>
    </row>
    <row r="1870" spans="1:35">
      <c r="A1870">
        <v>1869</v>
      </c>
      <c r="B1870" t="str">
        <f>"002256"</f>
        <v>002256</v>
      </c>
      <c r="C1870" t="s">
        <v>9694</v>
      </c>
      <c r="D1870" s="4">
        <v>43190</v>
      </c>
      <c r="E1870" t="s">
        <v>187</v>
      </c>
      <c r="F1870" t="s">
        <v>300</v>
      </c>
      <c r="G1870" t="s">
        <v>6699</v>
      </c>
      <c r="H1870">
        <v>0.02</v>
      </c>
      <c r="I1870">
        <v>1.1499999999999999</v>
      </c>
      <c r="J1870">
        <v>1.36</v>
      </c>
      <c r="K1870" t="s">
        <v>2069</v>
      </c>
      <c r="L1870">
        <v>30.51</v>
      </c>
      <c r="M1870" t="s">
        <v>9695</v>
      </c>
      <c r="N1870" t="s">
        <v>8299</v>
      </c>
      <c r="O1870" t="s">
        <v>6105</v>
      </c>
      <c r="P1870" t="s">
        <v>4959</v>
      </c>
      <c r="Q1870">
        <v>28.13</v>
      </c>
      <c r="R1870" t="s">
        <v>314</v>
      </c>
      <c r="S1870">
        <v>0.11</v>
      </c>
      <c r="T1870">
        <v>32.47</v>
      </c>
      <c r="U1870" t="s">
        <v>3122</v>
      </c>
      <c r="V1870" t="s">
        <v>835</v>
      </c>
      <c r="W1870" t="s">
        <v>80</v>
      </c>
      <c r="X1870">
        <v>1.36</v>
      </c>
      <c r="Y1870" t="s">
        <v>747</v>
      </c>
      <c r="Z1870" t="s">
        <v>971</v>
      </c>
      <c r="AA1870" t="s">
        <v>1597</v>
      </c>
      <c r="AB1870">
        <v>3.92</v>
      </c>
      <c r="AC1870" t="s">
        <v>1029</v>
      </c>
      <c r="AD1870">
        <v>59.25</v>
      </c>
      <c r="AE1870" t="s">
        <v>8370</v>
      </c>
      <c r="AF1870">
        <v>0.02</v>
      </c>
      <c r="AG1870">
        <v>0</v>
      </c>
      <c r="AH1870">
        <v>0</v>
      </c>
      <c r="AI1870" s="4">
        <v>39624</v>
      </c>
    </row>
    <row r="1871" spans="1:35">
      <c r="A1871">
        <v>1870</v>
      </c>
      <c r="B1871" t="str">
        <f>"000413"</f>
        <v>000413</v>
      </c>
      <c r="C1871" t="s">
        <v>9696</v>
      </c>
      <c r="D1871" s="4">
        <v>43190</v>
      </c>
      <c r="E1871" t="s">
        <v>1599</v>
      </c>
      <c r="F1871" t="s">
        <v>763</v>
      </c>
      <c r="G1871" t="s">
        <v>892</v>
      </c>
      <c r="H1871">
        <v>7.0000000000000007E-2</v>
      </c>
      <c r="I1871">
        <v>5.47</v>
      </c>
      <c r="J1871">
        <v>1.36</v>
      </c>
      <c r="K1871" t="s">
        <v>551</v>
      </c>
      <c r="L1871">
        <v>106.61</v>
      </c>
      <c r="M1871" t="s">
        <v>734</v>
      </c>
      <c r="N1871" t="s">
        <v>9697</v>
      </c>
      <c r="O1871" t="s">
        <v>1166</v>
      </c>
      <c r="P1871" t="s">
        <v>806</v>
      </c>
      <c r="Q1871">
        <v>9.67</v>
      </c>
      <c r="R1871" t="s">
        <v>464</v>
      </c>
      <c r="S1871">
        <v>0.63</v>
      </c>
      <c r="T1871">
        <v>20.68</v>
      </c>
      <c r="U1871" t="s">
        <v>9698</v>
      </c>
      <c r="V1871" t="s">
        <v>1815</v>
      </c>
      <c r="W1871" t="s">
        <v>586</v>
      </c>
      <c r="X1871">
        <v>1.36</v>
      </c>
      <c r="Y1871" t="s">
        <v>9699</v>
      </c>
      <c r="Z1871" t="s">
        <v>2766</v>
      </c>
      <c r="AA1871" t="s">
        <v>1222</v>
      </c>
      <c r="AB1871">
        <v>1.1599999999999999</v>
      </c>
      <c r="AC1871" t="s">
        <v>4161</v>
      </c>
      <c r="AD1871">
        <v>45.56</v>
      </c>
      <c r="AE1871" t="s">
        <v>2766</v>
      </c>
      <c r="AF1871">
        <v>3.8</v>
      </c>
      <c r="AG1871" t="s">
        <v>126</v>
      </c>
      <c r="AH1871">
        <v>0</v>
      </c>
      <c r="AI1871" s="4">
        <v>35333</v>
      </c>
    </row>
    <row r="1872" spans="1:35">
      <c r="A1872">
        <v>1871</v>
      </c>
      <c r="B1872" t="str">
        <f>"000039"</f>
        <v>000039</v>
      </c>
      <c r="C1872" t="s">
        <v>9700</v>
      </c>
      <c r="D1872" s="4">
        <v>43190</v>
      </c>
      <c r="E1872" t="s">
        <v>1205</v>
      </c>
      <c r="F1872" t="s">
        <v>1082</v>
      </c>
      <c r="G1872" t="s">
        <v>630</v>
      </c>
      <c r="H1872">
        <v>0.15</v>
      </c>
      <c r="I1872">
        <v>10.35</v>
      </c>
      <c r="J1872">
        <v>1.36</v>
      </c>
      <c r="K1872" t="s">
        <v>3385</v>
      </c>
      <c r="L1872">
        <v>31.19</v>
      </c>
      <c r="M1872" t="s">
        <v>2783</v>
      </c>
      <c r="N1872" t="s">
        <v>1376</v>
      </c>
      <c r="O1872" t="s">
        <v>63</v>
      </c>
      <c r="P1872" t="s">
        <v>4044</v>
      </c>
      <c r="Q1872">
        <v>-12.44</v>
      </c>
      <c r="R1872" t="s">
        <v>388</v>
      </c>
      <c r="S1872">
        <v>6.71</v>
      </c>
      <c r="T1872">
        <v>13.2</v>
      </c>
      <c r="U1872" t="s">
        <v>9701</v>
      </c>
      <c r="V1872" t="s">
        <v>9702</v>
      </c>
      <c r="W1872" t="s">
        <v>1265</v>
      </c>
      <c r="X1872">
        <v>1.36</v>
      </c>
      <c r="Y1872" t="s">
        <v>9703</v>
      </c>
      <c r="Z1872" t="s">
        <v>9564</v>
      </c>
      <c r="AA1872" t="s">
        <v>2315</v>
      </c>
      <c r="AB1872">
        <v>1.29</v>
      </c>
      <c r="AC1872" t="s">
        <v>9704</v>
      </c>
      <c r="AD1872">
        <v>24.12</v>
      </c>
      <c r="AE1872" t="s">
        <v>408</v>
      </c>
      <c r="AF1872">
        <v>1.42</v>
      </c>
      <c r="AG1872">
        <v>0</v>
      </c>
      <c r="AH1872" t="s">
        <v>304</v>
      </c>
      <c r="AI1872" s="4">
        <v>34432</v>
      </c>
    </row>
    <row r="1873" spans="1:35">
      <c r="A1873">
        <v>1872</v>
      </c>
      <c r="B1873" t="str">
        <f>"600693"</f>
        <v>600693</v>
      </c>
      <c r="C1873" t="s">
        <v>9705</v>
      </c>
      <c r="D1873" s="4">
        <v>43190</v>
      </c>
      <c r="E1873" t="s">
        <v>8311</v>
      </c>
      <c r="F1873" t="s">
        <v>6545</v>
      </c>
      <c r="G1873" t="s">
        <v>9706</v>
      </c>
      <c r="H1873">
        <v>0.03</v>
      </c>
      <c r="I1873">
        <v>2.3199999999999998</v>
      </c>
      <c r="J1873">
        <v>1.35</v>
      </c>
      <c r="K1873" t="s">
        <v>189</v>
      </c>
      <c r="L1873">
        <v>-20.63</v>
      </c>
      <c r="M1873" t="s">
        <v>9707</v>
      </c>
      <c r="N1873" t="s">
        <v>9708</v>
      </c>
      <c r="O1873" t="s">
        <v>9709</v>
      </c>
      <c r="P1873" t="s">
        <v>5053</v>
      </c>
      <c r="Q1873">
        <v>-2.94</v>
      </c>
      <c r="R1873" t="s">
        <v>721</v>
      </c>
      <c r="S1873">
        <v>0.99</v>
      </c>
      <c r="T1873">
        <v>27.46</v>
      </c>
      <c r="U1873" t="s">
        <v>2797</v>
      </c>
      <c r="V1873" t="s">
        <v>528</v>
      </c>
      <c r="W1873" t="s">
        <v>1731</v>
      </c>
      <c r="X1873">
        <v>1.35</v>
      </c>
      <c r="Y1873" t="s">
        <v>553</v>
      </c>
      <c r="Z1873" t="s">
        <v>638</v>
      </c>
      <c r="AA1873" t="s">
        <v>971</v>
      </c>
      <c r="AB1873">
        <v>2.54</v>
      </c>
      <c r="AC1873" t="s">
        <v>789</v>
      </c>
      <c r="AD1873">
        <v>30.24</v>
      </c>
      <c r="AE1873" t="s">
        <v>1349</v>
      </c>
      <c r="AF1873">
        <v>0.13</v>
      </c>
      <c r="AG1873">
        <v>0</v>
      </c>
      <c r="AH1873">
        <v>0</v>
      </c>
      <c r="AI1873" s="4">
        <v>34295</v>
      </c>
    </row>
    <row r="1874" spans="1:35">
      <c r="A1874">
        <v>1873</v>
      </c>
      <c r="B1874" t="str">
        <f>"600392"</f>
        <v>600392</v>
      </c>
      <c r="C1874" t="s">
        <v>9710</v>
      </c>
      <c r="D1874" s="4">
        <v>43190</v>
      </c>
      <c r="E1874" t="s">
        <v>1214</v>
      </c>
      <c r="F1874" t="s">
        <v>295</v>
      </c>
      <c r="G1874" t="s">
        <v>4360</v>
      </c>
      <c r="H1874">
        <v>0.06</v>
      </c>
      <c r="I1874">
        <v>3.74</v>
      </c>
      <c r="J1874">
        <v>1.35</v>
      </c>
      <c r="K1874" t="s">
        <v>971</v>
      </c>
      <c r="L1874">
        <v>47.03</v>
      </c>
      <c r="M1874" t="s">
        <v>6829</v>
      </c>
      <c r="N1874" t="s">
        <v>4641</v>
      </c>
      <c r="O1874" t="s">
        <v>9711</v>
      </c>
      <c r="P1874" t="s">
        <v>9712</v>
      </c>
      <c r="Q1874">
        <v>138.54</v>
      </c>
      <c r="R1874" t="s">
        <v>973</v>
      </c>
      <c r="S1874">
        <v>0.85</v>
      </c>
      <c r="T1874">
        <v>13.99</v>
      </c>
      <c r="U1874" t="s">
        <v>1192</v>
      </c>
      <c r="V1874" t="s">
        <v>247</v>
      </c>
      <c r="W1874" t="s">
        <v>3238</v>
      </c>
      <c r="X1874">
        <v>1.35</v>
      </c>
      <c r="Y1874" t="s">
        <v>2866</v>
      </c>
      <c r="Z1874" t="s">
        <v>1386</v>
      </c>
      <c r="AA1874" t="s">
        <v>5494</v>
      </c>
      <c r="AB1874">
        <v>4.2</v>
      </c>
      <c r="AC1874" t="s">
        <v>1923</v>
      </c>
      <c r="AD1874">
        <v>56.59</v>
      </c>
      <c r="AE1874" t="s">
        <v>1347</v>
      </c>
      <c r="AF1874">
        <v>1.86</v>
      </c>
      <c r="AG1874">
        <v>0</v>
      </c>
      <c r="AH1874">
        <v>0</v>
      </c>
      <c r="AI1874" s="4">
        <v>37770</v>
      </c>
    </row>
    <row r="1875" spans="1:35">
      <c r="A1875">
        <v>1874</v>
      </c>
      <c r="B1875" t="str">
        <f>"600369"</f>
        <v>600369</v>
      </c>
      <c r="C1875" t="s">
        <v>9713</v>
      </c>
      <c r="D1875" s="4">
        <v>43190</v>
      </c>
      <c r="E1875" t="s">
        <v>6982</v>
      </c>
      <c r="F1875" t="s">
        <v>6982</v>
      </c>
      <c r="G1875" t="s">
        <v>3296</v>
      </c>
      <c r="H1875">
        <v>0.05</v>
      </c>
      <c r="I1875">
        <v>3.43</v>
      </c>
      <c r="J1875">
        <v>1.35</v>
      </c>
      <c r="K1875" t="s">
        <v>2061</v>
      </c>
      <c r="L1875">
        <v>41.52</v>
      </c>
      <c r="M1875" t="s">
        <v>1074</v>
      </c>
      <c r="N1875" t="s">
        <v>872</v>
      </c>
      <c r="O1875" t="s">
        <v>1074</v>
      </c>
      <c r="P1875" t="s">
        <v>1995</v>
      </c>
      <c r="Q1875">
        <v>996.26</v>
      </c>
      <c r="R1875" t="s">
        <v>371</v>
      </c>
      <c r="S1875">
        <v>0.51</v>
      </c>
      <c r="T1875">
        <v>0</v>
      </c>
      <c r="U1875" t="s">
        <v>6648</v>
      </c>
      <c r="V1875">
        <v>0</v>
      </c>
      <c r="W1875" t="s">
        <v>344</v>
      </c>
      <c r="X1875">
        <v>1.35</v>
      </c>
      <c r="Y1875" t="s">
        <v>9714</v>
      </c>
      <c r="Z1875">
        <v>0</v>
      </c>
      <c r="AA1875">
        <v>0</v>
      </c>
      <c r="AB1875">
        <v>1.07</v>
      </c>
      <c r="AC1875" t="s">
        <v>786</v>
      </c>
      <c r="AD1875">
        <v>28.81</v>
      </c>
      <c r="AE1875" t="s">
        <v>3458</v>
      </c>
      <c r="AF1875">
        <v>1.38</v>
      </c>
      <c r="AG1875">
        <v>0</v>
      </c>
      <c r="AH1875">
        <v>0</v>
      </c>
      <c r="AI1875" s="4">
        <v>36900</v>
      </c>
    </row>
    <row r="1876" spans="1:35">
      <c r="A1876">
        <v>1875</v>
      </c>
      <c r="B1876" t="str">
        <f>"300641"</f>
        <v>300641</v>
      </c>
      <c r="C1876" t="s">
        <v>9715</v>
      </c>
      <c r="D1876" s="4">
        <v>43190</v>
      </c>
      <c r="E1876" t="s">
        <v>2036</v>
      </c>
      <c r="F1876" t="s">
        <v>1435</v>
      </c>
      <c r="G1876">
        <v>2226</v>
      </c>
      <c r="H1876">
        <v>0.04</v>
      </c>
      <c r="I1876">
        <v>2.62</v>
      </c>
      <c r="J1876">
        <v>1.35</v>
      </c>
      <c r="K1876" t="s">
        <v>1699</v>
      </c>
      <c r="L1876">
        <v>1.06</v>
      </c>
      <c r="M1876" t="s">
        <v>9438</v>
      </c>
      <c r="N1876" t="s">
        <v>9716</v>
      </c>
      <c r="O1876" t="s">
        <v>9717</v>
      </c>
      <c r="P1876" t="s">
        <v>9718</v>
      </c>
      <c r="Q1876">
        <v>-53.16</v>
      </c>
      <c r="R1876" t="s">
        <v>1797</v>
      </c>
      <c r="S1876">
        <v>0.56999999999999995</v>
      </c>
      <c r="T1876">
        <v>13.09</v>
      </c>
      <c r="U1876" t="s">
        <v>747</v>
      </c>
      <c r="V1876" t="s">
        <v>323</v>
      </c>
      <c r="W1876" t="s">
        <v>136</v>
      </c>
      <c r="X1876">
        <v>1.35</v>
      </c>
      <c r="Y1876" t="s">
        <v>1435</v>
      </c>
      <c r="Z1876" t="s">
        <v>1435</v>
      </c>
      <c r="AA1876">
        <v>0</v>
      </c>
      <c r="AB1876">
        <v>2.4300000000000002</v>
      </c>
      <c r="AC1876" t="s">
        <v>124</v>
      </c>
      <c r="AD1876">
        <v>85.61</v>
      </c>
      <c r="AE1876" t="s">
        <v>563</v>
      </c>
      <c r="AF1876">
        <v>0.96</v>
      </c>
      <c r="AG1876">
        <v>0</v>
      </c>
      <c r="AH1876">
        <v>0</v>
      </c>
      <c r="AI1876" s="4">
        <v>42843</v>
      </c>
    </row>
    <row r="1877" spans="1:35">
      <c r="A1877">
        <v>1876</v>
      </c>
      <c r="B1877" t="str">
        <f>"300414"</f>
        <v>300414</v>
      </c>
      <c r="C1877" t="s">
        <v>9719</v>
      </c>
      <c r="D1877" s="4">
        <v>43190</v>
      </c>
      <c r="E1877" t="s">
        <v>368</v>
      </c>
      <c r="F1877" t="s">
        <v>382</v>
      </c>
      <c r="G1877">
        <v>5964</v>
      </c>
      <c r="H1877">
        <v>0.06</v>
      </c>
      <c r="I1877">
        <v>4.6900000000000004</v>
      </c>
      <c r="J1877">
        <v>1.35</v>
      </c>
      <c r="K1877" t="s">
        <v>9720</v>
      </c>
      <c r="L1877">
        <v>32.11</v>
      </c>
      <c r="M1877" t="s">
        <v>1960</v>
      </c>
      <c r="N1877" t="s">
        <v>5522</v>
      </c>
      <c r="O1877" t="s">
        <v>1522</v>
      </c>
      <c r="P1877" t="s">
        <v>9721</v>
      </c>
      <c r="Q1877">
        <v>35.369999999999997</v>
      </c>
      <c r="R1877" t="s">
        <v>1530</v>
      </c>
      <c r="S1877">
        <v>1.86</v>
      </c>
      <c r="T1877">
        <v>32.71</v>
      </c>
      <c r="U1877" t="s">
        <v>88</v>
      </c>
      <c r="V1877" t="s">
        <v>1978</v>
      </c>
      <c r="W1877" t="s">
        <v>4999</v>
      </c>
      <c r="X1877">
        <v>1.35</v>
      </c>
      <c r="Y1877" t="s">
        <v>2424</v>
      </c>
      <c r="Z1877" t="s">
        <v>2306</v>
      </c>
      <c r="AA1877" t="s">
        <v>6015</v>
      </c>
      <c r="AB1877">
        <v>3.31</v>
      </c>
      <c r="AC1877" t="s">
        <v>4009</v>
      </c>
      <c r="AD1877">
        <v>84.28</v>
      </c>
      <c r="AE1877" t="s">
        <v>1511</v>
      </c>
      <c r="AF1877">
        <v>1.59</v>
      </c>
      <c r="AG1877">
        <v>0</v>
      </c>
      <c r="AH1877">
        <v>0</v>
      </c>
      <c r="AI1877" s="4">
        <v>42137</v>
      </c>
    </row>
    <row r="1878" spans="1:35">
      <c r="A1878">
        <v>1877</v>
      </c>
      <c r="B1878" t="str">
        <f>"300054"</f>
        <v>300054</v>
      </c>
      <c r="C1878" t="s">
        <v>9722</v>
      </c>
      <c r="D1878" s="4">
        <v>43190</v>
      </c>
      <c r="E1878" t="s">
        <v>2678</v>
      </c>
      <c r="F1878" t="s">
        <v>380</v>
      </c>
      <c r="G1878" t="s">
        <v>9723</v>
      </c>
      <c r="H1878">
        <v>0.05</v>
      </c>
      <c r="I1878">
        <v>3.78</v>
      </c>
      <c r="J1878">
        <v>1.35</v>
      </c>
      <c r="K1878" t="s">
        <v>167</v>
      </c>
      <c r="L1878">
        <v>-19.079999999999998</v>
      </c>
      <c r="M1878" t="s">
        <v>9724</v>
      </c>
      <c r="N1878" t="s">
        <v>9725</v>
      </c>
      <c r="O1878" t="s">
        <v>7266</v>
      </c>
      <c r="P1878" t="s">
        <v>9726</v>
      </c>
      <c r="Q1878">
        <v>-33.85</v>
      </c>
      <c r="R1878" t="s">
        <v>458</v>
      </c>
      <c r="S1878">
        <v>0.93</v>
      </c>
      <c r="T1878">
        <v>38.35</v>
      </c>
      <c r="U1878" t="s">
        <v>5550</v>
      </c>
      <c r="V1878" t="s">
        <v>420</v>
      </c>
      <c r="W1878" t="s">
        <v>800</v>
      </c>
      <c r="X1878">
        <v>1.35</v>
      </c>
      <c r="Y1878" t="s">
        <v>126</v>
      </c>
      <c r="Z1878" t="s">
        <v>696</v>
      </c>
      <c r="AA1878" t="s">
        <v>9727</v>
      </c>
      <c r="AB1878">
        <v>2.34</v>
      </c>
      <c r="AC1878" t="s">
        <v>1397</v>
      </c>
      <c r="AD1878">
        <v>92.34</v>
      </c>
      <c r="AE1878" t="s">
        <v>646</v>
      </c>
      <c r="AF1878">
        <v>1.78</v>
      </c>
      <c r="AG1878">
        <v>0</v>
      </c>
      <c r="AH1878">
        <v>0</v>
      </c>
      <c r="AI1878" s="4">
        <v>40220</v>
      </c>
    </row>
    <row r="1879" spans="1:35">
      <c r="A1879">
        <v>1878</v>
      </c>
      <c r="B1879" t="str">
        <f>"002910"</f>
        <v>002910</v>
      </c>
      <c r="C1879" t="s">
        <v>9728</v>
      </c>
      <c r="D1879" s="4">
        <v>43190</v>
      </c>
      <c r="E1879" t="s">
        <v>698</v>
      </c>
      <c r="F1879" t="s">
        <v>9729</v>
      </c>
      <c r="G1879">
        <v>0</v>
      </c>
      <c r="H1879">
        <v>0.09</v>
      </c>
      <c r="I1879">
        <v>6.11</v>
      </c>
      <c r="J1879">
        <v>1.35</v>
      </c>
      <c r="K1879" t="s">
        <v>64</v>
      </c>
      <c r="L1879">
        <v>10.67</v>
      </c>
      <c r="M1879" t="s">
        <v>6808</v>
      </c>
      <c r="N1879">
        <v>0</v>
      </c>
      <c r="O1879" t="s">
        <v>9730</v>
      </c>
      <c r="P1879" t="s">
        <v>5688</v>
      </c>
      <c r="Q1879">
        <v>-1.43</v>
      </c>
      <c r="R1879" t="s">
        <v>2284</v>
      </c>
      <c r="S1879">
        <v>2.23</v>
      </c>
      <c r="T1879">
        <v>32.869999999999997</v>
      </c>
      <c r="U1879" t="s">
        <v>1126</v>
      </c>
      <c r="V1879" t="s">
        <v>4009</v>
      </c>
      <c r="W1879" t="s">
        <v>1730</v>
      </c>
      <c r="X1879">
        <v>1.35</v>
      </c>
      <c r="Y1879" t="s">
        <v>1869</v>
      </c>
      <c r="Z1879" t="s">
        <v>1972</v>
      </c>
      <c r="AA1879" t="s">
        <v>9731</v>
      </c>
      <c r="AB1879">
        <v>3.29</v>
      </c>
      <c r="AC1879" t="s">
        <v>973</v>
      </c>
      <c r="AD1879">
        <v>64.81</v>
      </c>
      <c r="AE1879" t="s">
        <v>44</v>
      </c>
      <c r="AF1879">
        <v>2.72</v>
      </c>
      <c r="AG1879">
        <v>0</v>
      </c>
      <c r="AH1879" t="s">
        <v>9732</v>
      </c>
      <c r="AI1879" s="4">
        <v>43039</v>
      </c>
    </row>
    <row r="1880" spans="1:35">
      <c r="A1880">
        <v>1879</v>
      </c>
      <c r="B1880" t="str">
        <f>"002799"</f>
        <v>002799</v>
      </c>
      <c r="C1880" t="s">
        <v>9733</v>
      </c>
      <c r="D1880" s="4">
        <v>43190</v>
      </c>
      <c r="E1880" t="s">
        <v>609</v>
      </c>
      <c r="F1880" t="s">
        <v>9734</v>
      </c>
      <c r="G1880">
        <v>5633</v>
      </c>
      <c r="H1880">
        <v>0.05</v>
      </c>
      <c r="I1880">
        <v>3.51</v>
      </c>
      <c r="J1880">
        <v>1.35</v>
      </c>
      <c r="K1880" t="s">
        <v>280</v>
      </c>
      <c r="L1880">
        <v>13.83</v>
      </c>
      <c r="M1880" t="s">
        <v>7623</v>
      </c>
      <c r="N1880" t="s">
        <v>9735</v>
      </c>
      <c r="O1880" t="s">
        <v>7623</v>
      </c>
      <c r="P1880" t="s">
        <v>3072</v>
      </c>
      <c r="Q1880">
        <v>16</v>
      </c>
      <c r="R1880" t="s">
        <v>1624</v>
      </c>
      <c r="S1880">
        <v>1.31</v>
      </c>
      <c r="T1880">
        <v>20.99</v>
      </c>
      <c r="U1880" t="s">
        <v>1362</v>
      </c>
      <c r="V1880" t="s">
        <v>48</v>
      </c>
      <c r="W1880" t="s">
        <v>492</v>
      </c>
      <c r="X1880">
        <v>1.35</v>
      </c>
      <c r="Y1880" t="s">
        <v>641</v>
      </c>
      <c r="Z1880" t="s">
        <v>641</v>
      </c>
      <c r="AA1880" t="s">
        <v>915</v>
      </c>
      <c r="AB1880">
        <v>4.1100000000000003</v>
      </c>
      <c r="AC1880" t="s">
        <v>666</v>
      </c>
      <c r="AD1880">
        <v>66.599999999999994</v>
      </c>
      <c r="AE1880" t="s">
        <v>3111</v>
      </c>
      <c r="AF1880">
        <v>0.99</v>
      </c>
      <c r="AG1880">
        <v>0</v>
      </c>
      <c r="AH1880">
        <v>0</v>
      </c>
      <c r="AI1880" s="4">
        <v>42529</v>
      </c>
    </row>
    <row r="1881" spans="1:35">
      <c r="A1881">
        <v>1880</v>
      </c>
      <c r="B1881" t="str">
        <f>"002537"</f>
        <v>002537</v>
      </c>
      <c r="C1881" t="s">
        <v>9736</v>
      </c>
      <c r="D1881" s="4">
        <v>43190</v>
      </c>
      <c r="E1881" t="s">
        <v>300</v>
      </c>
      <c r="F1881" t="s">
        <v>192</v>
      </c>
      <c r="G1881" t="s">
        <v>9737</v>
      </c>
      <c r="H1881">
        <v>0.08</v>
      </c>
      <c r="I1881">
        <v>5.55</v>
      </c>
      <c r="J1881">
        <v>1.35</v>
      </c>
      <c r="K1881" t="s">
        <v>250</v>
      </c>
      <c r="L1881">
        <v>46.2</v>
      </c>
      <c r="M1881" t="s">
        <v>1627</v>
      </c>
      <c r="N1881" t="s">
        <v>6468</v>
      </c>
      <c r="O1881" t="s">
        <v>282</v>
      </c>
      <c r="P1881" t="s">
        <v>9738</v>
      </c>
      <c r="Q1881">
        <v>0.99</v>
      </c>
      <c r="R1881" t="s">
        <v>521</v>
      </c>
      <c r="S1881">
        <v>0.79</v>
      </c>
      <c r="T1881">
        <v>21</v>
      </c>
      <c r="U1881" t="s">
        <v>580</v>
      </c>
      <c r="V1881" t="s">
        <v>5720</v>
      </c>
      <c r="W1881" t="s">
        <v>1774</v>
      </c>
      <c r="X1881">
        <v>1.35</v>
      </c>
      <c r="Y1881" t="s">
        <v>2241</v>
      </c>
      <c r="Z1881" t="s">
        <v>3605</v>
      </c>
      <c r="AA1881" t="s">
        <v>610</v>
      </c>
      <c r="AB1881">
        <v>1.68</v>
      </c>
      <c r="AC1881" t="s">
        <v>4013</v>
      </c>
      <c r="AD1881">
        <v>57.57</v>
      </c>
      <c r="AE1881" t="s">
        <v>3386</v>
      </c>
      <c r="AF1881">
        <v>3.76</v>
      </c>
      <c r="AG1881">
        <v>0</v>
      </c>
      <c r="AH1881">
        <v>0</v>
      </c>
      <c r="AI1881" s="4">
        <v>40553</v>
      </c>
    </row>
    <row r="1882" spans="1:35">
      <c r="A1882">
        <v>1881</v>
      </c>
      <c r="B1882" t="str">
        <f>"002049"</f>
        <v>002049</v>
      </c>
      <c r="C1882" t="s">
        <v>9739</v>
      </c>
      <c r="D1882" s="4">
        <v>43190</v>
      </c>
      <c r="E1882" t="s">
        <v>2445</v>
      </c>
      <c r="F1882" t="s">
        <v>2063</v>
      </c>
      <c r="G1882">
        <v>6240</v>
      </c>
      <c r="H1882">
        <v>0.08</v>
      </c>
      <c r="I1882">
        <v>5.76</v>
      </c>
      <c r="J1882">
        <v>1.35</v>
      </c>
      <c r="K1882" t="s">
        <v>1731</v>
      </c>
      <c r="L1882">
        <v>28.28</v>
      </c>
      <c r="M1882" t="s">
        <v>9740</v>
      </c>
      <c r="N1882">
        <v>0</v>
      </c>
      <c r="O1882" t="s">
        <v>9741</v>
      </c>
      <c r="P1882" t="s">
        <v>8307</v>
      </c>
      <c r="Q1882">
        <v>-11.31</v>
      </c>
      <c r="R1882" t="s">
        <v>449</v>
      </c>
      <c r="S1882">
        <v>3.5</v>
      </c>
      <c r="T1882">
        <v>25.65</v>
      </c>
      <c r="U1882" t="s">
        <v>428</v>
      </c>
      <c r="V1882" t="s">
        <v>1386</v>
      </c>
      <c r="W1882" t="s">
        <v>507</v>
      </c>
      <c r="X1882">
        <v>1.35</v>
      </c>
      <c r="Y1882" t="s">
        <v>1062</v>
      </c>
      <c r="Z1882" t="s">
        <v>519</v>
      </c>
      <c r="AA1882" t="s">
        <v>1938</v>
      </c>
      <c r="AB1882">
        <v>7.72</v>
      </c>
      <c r="AC1882" t="s">
        <v>2498</v>
      </c>
      <c r="AD1882">
        <v>67.98</v>
      </c>
      <c r="AE1882" t="s">
        <v>3900</v>
      </c>
      <c r="AF1882">
        <v>1.02</v>
      </c>
      <c r="AG1882">
        <v>0</v>
      </c>
      <c r="AH1882">
        <v>0</v>
      </c>
      <c r="AI1882" s="4">
        <v>38509</v>
      </c>
    </row>
    <row r="1883" spans="1:35">
      <c r="A1883">
        <v>1882</v>
      </c>
      <c r="B1883" t="str">
        <f>"603779"</f>
        <v>603779</v>
      </c>
      <c r="C1883" t="s">
        <v>9742</v>
      </c>
      <c r="D1883" s="4">
        <v>43190</v>
      </c>
      <c r="E1883" t="s">
        <v>985</v>
      </c>
      <c r="F1883" t="s">
        <v>9743</v>
      </c>
      <c r="G1883">
        <v>4161</v>
      </c>
      <c r="H1883">
        <v>0.08</v>
      </c>
      <c r="I1883">
        <v>6.01</v>
      </c>
      <c r="J1883">
        <v>1.34</v>
      </c>
      <c r="K1883" t="s">
        <v>1435</v>
      </c>
      <c r="L1883">
        <v>3.94</v>
      </c>
      <c r="M1883" t="s">
        <v>9744</v>
      </c>
      <c r="N1883">
        <v>0</v>
      </c>
      <c r="O1883" t="s">
        <v>9745</v>
      </c>
      <c r="P1883" t="s">
        <v>3148</v>
      </c>
      <c r="Q1883">
        <v>22.19</v>
      </c>
      <c r="R1883" t="s">
        <v>645</v>
      </c>
      <c r="S1883">
        <v>1.88</v>
      </c>
      <c r="T1883">
        <v>55.68</v>
      </c>
      <c r="U1883" t="s">
        <v>275</v>
      </c>
      <c r="V1883" t="s">
        <v>300</v>
      </c>
      <c r="W1883" t="s">
        <v>375</v>
      </c>
      <c r="X1883">
        <v>1.34</v>
      </c>
      <c r="Y1883" t="s">
        <v>1166</v>
      </c>
      <c r="Z1883" t="s">
        <v>999</v>
      </c>
      <c r="AA1883" t="s">
        <v>5845</v>
      </c>
      <c r="AB1883">
        <v>2.58</v>
      </c>
      <c r="AC1883" t="s">
        <v>538</v>
      </c>
      <c r="AD1883">
        <v>71.989999999999995</v>
      </c>
      <c r="AE1883" t="s">
        <v>189</v>
      </c>
      <c r="AF1883">
        <v>2.95</v>
      </c>
      <c r="AG1883">
        <v>0</v>
      </c>
      <c r="AH1883">
        <v>0</v>
      </c>
      <c r="AI1883" s="4">
        <v>42506</v>
      </c>
    </row>
    <row r="1884" spans="1:35">
      <c r="A1884">
        <v>1883</v>
      </c>
      <c r="B1884" t="str">
        <f>"600531"</f>
        <v>600531</v>
      </c>
      <c r="C1884" t="s">
        <v>9746</v>
      </c>
      <c r="D1884" s="4">
        <v>43190</v>
      </c>
      <c r="E1884" t="s">
        <v>1223</v>
      </c>
      <c r="F1884" t="s">
        <v>1223</v>
      </c>
      <c r="G1884" t="s">
        <v>779</v>
      </c>
      <c r="H1884">
        <v>0.04</v>
      </c>
      <c r="I1884">
        <v>2.96</v>
      </c>
      <c r="J1884">
        <v>1.34</v>
      </c>
      <c r="K1884" t="s">
        <v>1322</v>
      </c>
      <c r="L1884">
        <v>10.75</v>
      </c>
      <c r="M1884" t="s">
        <v>9456</v>
      </c>
      <c r="N1884" t="s">
        <v>9747</v>
      </c>
      <c r="O1884" t="s">
        <v>4140</v>
      </c>
      <c r="P1884" t="s">
        <v>8081</v>
      </c>
      <c r="Q1884">
        <v>-9.8000000000000007</v>
      </c>
      <c r="R1884" t="s">
        <v>2996</v>
      </c>
      <c r="S1884">
        <v>0.49</v>
      </c>
      <c r="T1884">
        <v>3.44</v>
      </c>
      <c r="U1884" t="s">
        <v>689</v>
      </c>
      <c r="V1884" t="s">
        <v>3069</v>
      </c>
      <c r="W1884" t="s">
        <v>1000</v>
      </c>
      <c r="X1884">
        <v>1.34</v>
      </c>
      <c r="Y1884" t="s">
        <v>635</v>
      </c>
      <c r="Z1884" t="s">
        <v>400</v>
      </c>
      <c r="AA1884" t="s">
        <v>323</v>
      </c>
      <c r="AB1884">
        <v>1.67</v>
      </c>
      <c r="AC1884" t="s">
        <v>638</v>
      </c>
      <c r="AD1884">
        <v>28.92</v>
      </c>
      <c r="AE1884" t="s">
        <v>263</v>
      </c>
      <c r="AF1884">
        <v>1.33</v>
      </c>
      <c r="AG1884">
        <v>0</v>
      </c>
      <c r="AH1884">
        <v>0</v>
      </c>
      <c r="AI1884" s="4">
        <v>37467</v>
      </c>
    </row>
    <row r="1885" spans="1:35">
      <c r="A1885">
        <v>1884</v>
      </c>
      <c r="B1885" t="str">
        <f>"600079"</f>
        <v>600079</v>
      </c>
      <c r="C1885" t="s">
        <v>9748</v>
      </c>
      <c r="D1885" s="4">
        <v>43190</v>
      </c>
      <c r="E1885" t="s">
        <v>1214</v>
      </c>
      <c r="F1885" t="s">
        <v>101</v>
      </c>
      <c r="G1885" t="s">
        <v>1763</v>
      </c>
      <c r="H1885">
        <v>0.13</v>
      </c>
      <c r="I1885">
        <v>8.6300000000000008</v>
      </c>
      <c r="J1885">
        <v>1.34</v>
      </c>
      <c r="K1885" t="s">
        <v>1233</v>
      </c>
      <c r="L1885">
        <v>33.28</v>
      </c>
      <c r="M1885" t="s">
        <v>1229</v>
      </c>
      <c r="N1885" t="s">
        <v>3291</v>
      </c>
      <c r="O1885" t="s">
        <v>137</v>
      </c>
      <c r="P1885" t="s">
        <v>1597</v>
      </c>
      <c r="Q1885">
        <v>-10.210000000000001</v>
      </c>
      <c r="R1885" t="s">
        <v>2241</v>
      </c>
      <c r="S1885">
        <v>3.75</v>
      </c>
      <c r="T1885">
        <v>41.02</v>
      </c>
      <c r="U1885" t="s">
        <v>3512</v>
      </c>
      <c r="V1885" t="s">
        <v>1540</v>
      </c>
      <c r="W1885" t="s">
        <v>2239</v>
      </c>
      <c r="X1885">
        <v>1.34</v>
      </c>
      <c r="Y1885" t="s">
        <v>3952</v>
      </c>
      <c r="Z1885" t="s">
        <v>398</v>
      </c>
      <c r="AA1885" t="s">
        <v>2982</v>
      </c>
      <c r="AB1885">
        <v>1.42</v>
      </c>
      <c r="AC1885" t="s">
        <v>246</v>
      </c>
      <c r="AD1885">
        <v>37.21</v>
      </c>
      <c r="AE1885" t="s">
        <v>1410</v>
      </c>
      <c r="AF1885">
        <v>3.65</v>
      </c>
      <c r="AG1885">
        <v>0</v>
      </c>
      <c r="AH1885">
        <v>0</v>
      </c>
      <c r="AI1885" s="4">
        <v>35587</v>
      </c>
    </row>
    <row r="1886" spans="1:35">
      <c r="A1886">
        <v>1885</v>
      </c>
      <c r="B1886" t="str">
        <f>"600037"</f>
        <v>600037</v>
      </c>
      <c r="C1886" t="s">
        <v>9749</v>
      </c>
      <c r="D1886" s="4">
        <v>43190</v>
      </c>
      <c r="E1886" t="s">
        <v>624</v>
      </c>
      <c r="F1886" t="s">
        <v>192</v>
      </c>
      <c r="G1886" t="s">
        <v>3789</v>
      </c>
      <c r="H1886">
        <v>0.12</v>
      </c>
      <c r="I1886">
        <v>9.06</v>
      </c>
      <c r="J1886">
        <v>1.34</v>
      </c>
      <c r="K1886" t="s">
        <v>943</v>
      </c>
      <c r="L1886">
        <v>-3.88</v>
      </c>
      <c r="M1886" t="s">
        <v>1855</v>
      </c>
      <c r="N1886" t="s">
        <v>4174</v>
      </c>
      <c r="O1886" t="s">
        <v>1855</v>
      </c>
      <c r="P1886" t="s">
        <v>1457</v>
      </c>
      <c r="Q1886">
        <v>-3.3</v>
      </c>
      <c r="R1886" t="s">
        <v>588</v>
      </c>
      <c r="S1886">
        <v>2.66</v>
      </c>
      <c r="T1886">
        <v>25.32</v>
      </c>
      <c r="U1886" t="s">
        <v>788</v>
      </c>
      <c r="V1886" t="s">
        <v>9750</v>
      </c>
      <c r="W1886" t="s">
        <v>1781</v>
      </c>
      <c r="X1886">
        <v>1.34</v>
      </c>
      <c r="Y1886" t="s">
        <v>370</v>
      </c>
      <c r="Z1886" t="s">
        <v>833</v>
      </c>
      <c r="AA1886" t="s">
        <v>521</v>
      </c>
      <c r="AB1886">
        <v>1.07</v>
      </c>
      <c r="AC1886" t="s">
        <v>1929</v>
      </c>
      <c r="AD1886">
        <v>83.2</v>
      </c>
      <c r="AE1886" t="s">
        <v>6920</v>
      </c>
      <c r="AF1886">
        <v>4.71</v>
      </c>
      <c r="AG1886">
        <v>0</v>
      </c>
      <c r="AH1886">
        <v>0</v>
      </c>
      <c r="AI1886" s="4">
        <v>36930</v>
      </c>
    </row>
    <row r="1887" spans="1:35">
      <c r="A1887">
        <v>1886</v>
      </c>
      <c r="B1887" t="str">
        <f>"002084"</f>
        <v>002084</v>
      </c>
      <c r="C1887" t="s">
        <v>9751</v>
      </c>
      <c r="D1887" s="4">
        <v>43190</v>
      </c>
      <c r="E1887" t="s">
        <v>169</v>
      </c>
      <c r="F1887" t="s">
        <v>338</v>
      </c>
      <c r="G1887" t="s">
        <v>892</v>
      </c>
      <c r="H1887">
        <v>0.04</v>
      </c>
      <c r="I1887">
        <v>3.14</v>
      </c>
      <c r="J1887">
        <v>1.34</v>
      </c>
      <c r="K1887" t="s">
        <v>1346</v>
      </c>
      <c r="L1887">
        <v>8.2899999999999991</v>
      </c>
      <c r="M1887" t="s">
        <v>8107</v>
      </c>
      <c r="N1887" t="s">
        <v>1558</v>
      </c>
      <c r="O1887" t="s">
        <v>8946</v>
      </c>
      <c r="P1887" t="s">
        <v>7447</v>
      </c>
      <c r="Q1887">
        <v>33.25</v>
      </c>
      <c r="R1887" t="s">
        <v>153</v>
      </c>
      <c r="S1887">
        <v>0.79</v>
      </c>
      <c r="T1887">
        <v>20.9</v>
      </c>
      <c r="U1887" t="s">
        <v>253</v>
      </c>
      <c r="V1887" t="s">
        <v>983</v>
      </c>
      <c r="W1887" t="s">
        <v>1382</v>
      </c>
      <c r="X1887">
        <v>1.34</v>
      </c>
      <c r="Y1887" t="s">
        <v>2148</v>
      </c>
      <c r="Z1887" t="s">
        <v>1849</v>
      </c>
      <c r="AA1887" t="s">
        <v>657</v>
      </c>
      <c r="AB1887">
        <v>1.43</v>
      </c>
      <c r="AC1887" t="s">
        <v>76</v>
      </c>
      <c r="AD1887">
        <v>66.23</v>
      </c>
      <c r="AE1887" t="s">
        <v>1874</v>
      </c>
      <c r="AF1887">
        <v>1.2</v>
      </c>
      <c r="AG1887">
        <v>0</v>
      </c>
      <c r="AH1887">
        <v>0</v>
      </c>
      <c r="AI1887" s="4">
        <v>39045</v>
      </c>
    </row>
    <row r="1888" spans="1:35">
      <c r="A1888">
        <v>1887</v>
      </c>
      <c r="B1888" t="str">
        <f>"600854"</f>
        <v>600854</v>
      </c>
      <c r="C1888" t="s">
        <v>9752</v>
      </c>
      <c r="D1888" s="4">
        <v>43190</v>
      </c>
      <c r="E1888" t="s">
        <v>2681</v>
      </c>
      <c r="F1888" t="s">
        <v>2681</v>
      </c>
      <c r="G1888" t="s">
        <v>2234</v>
      </c>
      <c r="H1888">
        <v>0.05</v>
      </c>
      <c r="I1888">
        <v>3.81</v>
      </c>
      <c r="J1888">
        <v>1.33</v>
      </c>
      <c r="K1888" t="s">
        <v>1733</v>
      </c>
      <c r="L1888">
        <v>446.92</v>
      </c>
      <c r="M1888" t="s">
        <v>9753</v>
      </c>
      <c r="N1888" t="s">
        <v>9754</v>
      </c>
      <c r="O1888" t="s">
        <v>9755</v>
      </c>
      <c r="P1888" t="s">
        <v>8417</v>
      </c>
      <c r="Q1888">
        <v>442.32</v>
      </c>
      <c r="R1888" t="s">
        <v>9756</v>
      </c>
      <c r="S1888">
        <v>-1.1499999999999999</v>
      </c>
      <c r="T1888">
        <v>31.86</v>
      </c>
      <c r="U1888" t="s">
        <v>352</v>
      </c>
      <c r="V1888" t="s">
        <v>625</v>
      </c>
      <c r="W1888" t="s">
        <v>958</v>
      </c>
      <c r="X1888">
        <v>1.33</v>
      </c>
      <c r="Y1888" t="s">
        <v>2392</v>
      </c>
      <c r="Z1888" t="s">
        <v>3321</v>
      </c>
      <c r="AA1888" t="s">
        <v>1475</v>
      </c>
      <c r="AB1888">
        <v>1.06</v>
      </c>
      <c r="AC1888" t="s">
        <v>691</v>
      </c>
      <c r="AD1888">
        <v>81.19</v>
      </c>
      <c r="AE1888" t="s">
        <v>391</v>
      </c>
      <c r="AF1888">
        <v>2.95</v>
      </c>
      <c r="AG1888">
        <v>0</v>
      </c>
      <c r="AH1888">
        <v>0</v>
      </c>
      <c r="AI1888" s="4">
        <v>34449</v>
      </c>
    </row>
    <row r="1889" spans="1:35">
      <c r="A1889">
        <v>1888</v>
      </c>
      <c r="B1889" t="str">
        <f>"603728"</f>
        <v>603728</v>
      </c>
      <c r="C1889" t="s">
        <v>9757</v>
      </c>
      <c r="D1889" s="4">
        <v>43190</v>
      </c>
      <c r="E1889" t="s">
        <v>104</v>
      </c>
      <c r="F1889" t="s">
        <v>603</v>
      </c>
      <c r="G1889">
        <v>4062</v>
      </c>
      <c r="H1889">
        <v>0.05</v>
      </c>
      <c r="I1889">
        <v>4.07</v>
      </c>
      <c r="J1889">
        <v>1.33</v>
      </c>
      <c r="K1889" t="s">
        <v>2224</v>
      </c>
      <c r="L1889">
        <v>0.34</v>
      </c>
      <c r="M1889" t="s">
        <v>8824</v>
      </c>
      <c r="N1889" t="s">
        <v>9366</v>
      </c>
      <c r="O1889" t="s">
        <v>3132</v>
      </c>
      <c r="P1889" t="s">
        <v>9758</v>
      </c>
      <c r="Q1889">
        <v>-3.56</v>
      </c>
      <c r="R1889" t="s">
        <v>1611</v>
      </c>
      <c r="S1889">
        <v>1.21</v>
      </c>
      <c r="T1889">
        <v>34.35</v>
      </c>
      <c r="U1889" t="s">
        <v>2291</v>
      </c>
      <c r="V1889" t="s">
        <v>983</v>
      </c>
      <c r="W1889" t="s">
        <v>1839</v>
      </c>
      <c r="X1889">
        <v>1.33</v>
      </c>
      <c r="Y1889" t="s">
        <v>106</v>
      </c>
      <c r="Z1889" t="s">
        <v>2392</v>
      </c>
      <c r="AA1889" t="s">
        <v>6324</v>
      </c>
      <c r="AB1889">
        <v>3.98</v>
      </c>
      <c r="AC1889" t="s">
        <v>646</v>
      </c>
      <c r="AD1889">
        <v>75.08</v>
      </c>
      <c r="AE1889" t="s">
        <v>3312</v>
      </c>
      <c r="AF1889">
        <v>1.77</v>
      </c>
      <c r="AG1889">
        <v>0</v>
      </c>
      <c r="AH1889">
        <v>0</v>
      </c>
      <c r="AI1889" s="4">
        <v>42864</v>
      </c>
    </row>
    <row r="1890" spans="1:35">
      <c r="A1890">
        <v>1889</v>
      </c>
      <c r="B1890" t="str">
        <f>"603100"</f>
        <v>603100</v>
      </c>
      <c r="C1890" t="s">
        <v>9759</v>
      </c>
      <c r="D1890" s="4">
        <v>43190</v>
      </c>
      <c r="E1890" t="s">
        <v>2468</v>
      </c>
      <c r="F1890" t="s">
        <v>507</v>
      </c>
      <c r="G1890" t="s">
        <v>708</v>
      </c>
      <c r="H1890">
        <v>7.0000000000000007E-2</v>
      </c>
      <c r="I1890">
        <v>5.12</v>
      </c>
      <c r="J1890">
        <v>1.33</v>
      </c>
      <c r="K1890" t="s">
        <v>1405</v>
      </c>
      <c r="L1890">
        <v>13.75</v>
      </c>
      <c r="M1890" t="s">
        <v>9760</v>
      </c>
      <c r="N1890" t="s">
        <v>6861</v>
      </c>
      <c r="O1890" t="s">
        <v>2427</v>
      </c>
      <c r="P1890" t="s">
        <v>9541</v>
      </c>
      <c r="Q1890">
        <v>12.5</v>
      </c>
      <c r="R1890" t="s">
        <v>130</v>
      </c>
      <c r="S1890">
        <v>1.99</v>
      </c>
      <c r="T1890">
        <v>32.42</v>
      </c>
      <c r="U1890" t="s">
        <v>3241</v>
      </c>
      <c r="V1890" t="s">
        <v>816</v>
      </c>
      <c r="W1890" t="s">
        <v>1481</v>
      </c>
      <c r="X1890">
        <v>1.33</v>
      </c>
      <c r="Y1890" t="s">
        <v>1908</v>
      </c>
      <c r="Z1890" t="s">
        <v>728</v>
      </c>
      <c r="AA1890" t="s">
        <v>364</v>
      </c>
      <c r="AB1890">
        <v>1.63</v>
      </c>
      <c r="AC1890" t="s">
        <v>418</v>
      </c>
      <c r="AD1890">
        <v>42.73</v>
      </c>
      <c r="AE1890" t="s">
        <v>3281</v>
      </c>
      <c r="AF1890">
        <v>1.79</v>
      </c>
      <c r="AG1890">
        <v>0</v>
      </c>
      <c r="AH1890">
        <v>0</v>
      </c>
      <c r="AI1890" s="4">
        <v>41856</v>
      </c>
    </row>
    <row r="1891" spans="1:35">
      <c r="A1891">
        <v>1890</v>
      </c>
      <c r="B1891" t="str">
        <f>"300240"</f>
        <v>300240</v>
      </c>
      <c r="C1891" t="s">
        <v>9761</v>
      </c>
      <c r="D1891" s="4">
        <v>43190</v>
      </c>
      <c r="E1891" t="s">
        <v>160</v>
      </c>
      <c r="F1891" t="s">
        <v>340</v>
      </c>
      <c r="G1891" t="s">
        <v>53</v>
      </c>
      <c r="H1891">
        <v>0.04</v>
      </c>
      <c r="I1891">
        <v>2.96</v>
      </c>
      <c r="J1891">
        <v>1.33</v>
      </c>
      <c r="K1891" t="s">
        <v>2428</v>
      </c>
      <c r="L1891">
        <v>30.18</v>
      </c>
      <c r="M1891" t="s">
        <v>6841</v>
      </c>
      <c r="N1891" t="s">
        <v>9762</v>
      </c>
      <c r="O1891" t="s">
        <v>9763</v>
      </c>
      <c r="P1891" t="s">
        <v>9764</v>
      </c>
      <c r="Q1891">
        <v>-8.36</v>
      </c>
      <c r="R1891" t="s">
        <v>2685</v>
      </c>
      <c r="S1891">
        <v>1.3</v>
      </c>
      <c r="T1891">
        <v>10.78</v>
      </c>
      <c r="U1891" t="s">
        <v>578</v>
      </c>
      <c r="V1891" t="s">
        <v>624</v>
      </c>
      <c r="W1891" t="s">
        <v>2661</v>
      </c>
      <c r="X1891">
        <v>1.33</v>
      </c>
      <c r="Y1891" t="s">
        <v>1496</v>
      </c>
      <c r="Z1891" t="s">
        <v>960</v>
      </c>
      <c r="AA1891" t="s">
        <v>8906</v>
      </c>
      <c r="AB1891">
        <v>1.93</v>
      </c>
      <c r="AC1891" t="s">
        <v>699</v>
      </c>
      <c r="AD1891">
        <v>47.8</v>
      </c>
      <c r="AE1891" t="s">
        <v>1011</v>
      </c>
      <c r="AF1891">
        <v>0.57999999999999996</v>
      </c>
      <c r="AG1891">
        <v>0</v>
      </c>
      <c r="AH1891">
        <v>0</v>
      </c>
      <c r="AI1891" s="4">
        <v>40730</v>
      </c>
    </row>
    <row r="1892" spans="1:35">
      <c r="A1892">
        <v>1891</v>
      </c>
      <c r="B1892" t="str">
        <f>"300149"</f>
        <v>300149</v>
      </c>
      <c r="C1892" t="s">
        <v>9765</v>
      </c>
      <c r="D1892" s="4">
        <v>43190</v>
      </c>
      <c r="E1892" t="s">
        <v>662</v>
      </c>
      <c r="F1892" t="s">
        <v>338</v>
      </c>
      <c r="G1892" t="s">
        <v>3620</v>
      </c>
      <c r="H1892">
        <v>0.03</v>
      </c>
      <c r="I1892">
        <v>1.92</v>
      </c>
      <c r="J1892">
        <v>1.33</v>
      </c>
      <c r="K1892" t="s">
        <v>9766</v>
      </c>
      <c r="L1892">
        <v>53.23</v>
      </c>
      <c r="M1892" t="s">
        <v>9767</v>
      </c>
      <c r="N1892" t="s">
        <v>8444</v>
      </c>
      <c r="O1892" t="s">
        <v>9767</v>
      </c>
      <c r="P1892" t="s">
        <v>9017</v>
      </c>
      <c r="Q1892">
        <v>-10.81</v>
      </c>
      <c r="R1892" t="s">
        <v>2774</v>
      </c>
      <c r="S1892">
        <v>0.61</v>
      </c>
      <c r="T1892">
        <v>48.32</v>
      </c>
      <c r="U1892" t="s">
        <v>295</v>
      </c>
      <c r="V1892" t="s">
        <v>289</v>
      </c>
      <c r="W1892" t="s">
        <v>93</v>
      </c>
      <c r="X1892">
        <v>1.33</v>
      </c>
      <c r="Y1892" t="s">
        <v>1004</v>
      </c>
      <c r="Z1892" t="s">
        <v>5163</v>
      </c>
      <c r="AA1892" t="s">
        <v>1860</v>
      </c>
      <c r="AB1892">
        <v>8.49</v>
      </c>
      <c r="AC1892" t="s">
        <v>2595</v>
      </c>
      <c r="AD1892">
        <v>77.209999999999994</v>
      </c>
      <c r="AE1892" t="s">
        <v>9768</v>
      </c>
      <c r="AF1892">
        <v>0.21</v>
      </c>
      <c r="AG1892">
        <v>0</v>
      </c>
      <c r="AH1892">
        <v>0</v>
      </c>
      <c r="AI1892" s="4">
        <v>40534</v>
      </c>
    </row>
    <row r="1893" spans="1:35">
      <c r="A1893">
        <v>1892</v>
      </c>
      <c r="B1893" t="str">
        <f>"002334"</f>
        <v>002334</v>
      </c>
      <c r="C1893" t="s">
        <v>9769</v>
      </c>
      <c r="D1893" s="4">
        <v>43190</v>
      </c>
      <c r="E1893" t="s">
        <v>496</v>
      </c>
      <c r="F1893" t="s">
        <v>108</v>
      </c>
      <c r="G1893">
        <v>9552</v>
      </c>
      <c r="H1893">
        <v>0.03</v>
      </c>
      <c r="I1893">
        <v>2.34</v>
      </c>
      <c r="J1893">
        <v>1.33</v>
      </c>
      <c r="K1893" t="s">
        <v>498</v>
      </c>
      <c r="L1893">
        <v>16.98</v>
      </c>
      <c r="M1893" t="s">
        <v>9770</v>
      </c>
      <c r="N1893">
        <v>0</v>
      </c>
      <c r="O1893" t="s">
        <v>6554</v>
      </c>
      <c r="P1893" t="s">
        <v>2994</v>
      </c>
      <c r="Q1893">
        <v>194.97</v>
      </c>
      <c r="R1893" t="s">
        <v>2192</v>
      </c>
      <c r="S1893">
        <v>0.9</v>
      </c>
      <c r="T1893">
        <v>35.78</v>
      </c>
      <c r="U1893" t="s">
        <v>817</v>
      </c>
      <c r="V1893" t="s">
        <v>1704</v>
      </c>
      <c r="W1893" t="s">
        <v>807</v>
      </c>
      <c r="X1893">
        <v>1.33</v>
      </c>
      <c r="Y1893" t="s">
        <v>1307</v>
      </c>
      <c r="Z1893" t="s">
        <v>926</v>
      </c>
      <c r="AA1893" t="s">
        <v>5113</v>
      </c>
      <c r="AB1893">
        <v>2.33</v>
      </c>
      <c r="AC1893" t="s">
        <v>187</v>
      </c>
      <c r="AD1893">
        <v>55.02</v>
      </c>
      <c r="AE1893" t="s">
        <v>296</v>
      </c>
      <c r="AF1893">
        <v>0.4</v>
      </c>
      <c r="AG1893">
        <v>0</v>
      </c>
      <c r="AH1893">
        <v>0</v>
      </c>
      <c r="AI1893" s="4">
        <v>40191</v>
      </c>
    </row>
    <row r="1894" spans="1:35">
      <c r="A1894">
        <v>1893</v>
      </c>
      <c r="B1894" t="str">
        <f>"002140"</f>
        <v>002140</v>
      </c>
      <c r="C1894" t="s">
        <v>9771</v>
      </c>
      <c r="D1894" s="4">
        <v>43190</v>
      </c>
      <c r="E1894" t="s">
        <v>4044</v>
      </c>
      <c r="F1894" t="s">
        <v>1768</v>
      </c>
      <c r="G1894" t="s">
        <v>1788</v>
      </c>
      <c r="H1894">
        <v>0.06</v>
      </c>
      <c r="I1894">
        <v>4.4400000000000004</v>
      </c>
      <c r="J1894">
        <v>1.33</v>
      </c>
      <c r="K1894" t="s">
        <v>78</v>
      </c>
      <c r="L1894">
        <v>31.04</v>
      </c>
      <c r="M1894" t="s">
        <v>7822</v>
      </c>
      <c r="N1894" t="s">
        <v>9358</v>
      </c>
      <c r="O1894" t="s">
        <v>3186</v>
      </c>
      <c r="P1894" t="s">
        <v>4479</v>
      </c>
      <c r="Q1894">
        <v>25.5</v>
      </c>
      <c r="R1894" t="s">
        <v>405</v>
      </c>
      <c r="S1894">
        <v>2.77</v>
      </c>
      <c r="T1894">
        <v>19.29</v>
      </c>
      <c r="U1894" t="s">
        <v>1878</v>
      </c>
      <c r="V1894" t="s">
        <v>1925</v>
      </c>
      <c r="W1894" t="s">
        <v>200</v>
      </c>
      <c r="X1894">
        <v>1.33</v>
      </c>
      <c r="Y1894" t="s">
        <v>763</v>
      </c>
      <c r="Z1894" t="s">
        <v>816</v>
      </c>
      <c r="AA1894" t="s">
        <v>1450</v>
      </c>
      <c r="AB1894">
        <v>1.67</v>
      </c>
      <c r="AC1894" t="s">
        <v>691</v>
      </c>
      <c r="AD1894">
        <v>32.44</v>
      </c>
      <c r="AE1894" t="s">
        <v>8295</v>
      </c>
      <c r="AF1894">
        <v>0.2</v>
      </c>
      <c r="AG1894">
        <v>0</v>
      </c>
      <c r="AH1894">
        <v>0</v>
      </c>
      <c r="AI1894" s="4">
        <v>39275</v>
      </c>
    </row>
    <row r="1895" spans="1:35">
      <c r="A1895">
        <v>1894</v>
      </c>
      <c r="B1895" t="str">
        <f>"000831"</f>
        <v>000831</v>
      </c>
      <c r="C1895" t="s">
        <v>9772</v>
      </c>
      <c r="D1895" s="4">
        <v>43190</v>
      </c>
      <c r="E1895" t="s">
        <v>6611</v>
      </c>
      <c r="F1895" t="s">
        <v>6611</v>
      </c>
      <c r="G1895">
        <v>9277</v>
      </c>
      <c r="H1895">
        <v>0.03</v>
      </c>
      <c r="I1895">
        <v>2.09</v>
      </c>
      <c r="J1895">
        <v>1.33</v>
      </c>
      <c r="K1895" t="s">
        <v>71</v>
      </c>
      <c r="L1895">
        <v>2.65</v>
      </c>
      <c r="M1895" t="s">
        <v>8752</v>
      </c>
      <c r="N1895" t="s">
        <v>6696</v>
      </c>
      <c r="O1895" t="s">
        <v>7165</v>
      </c>
      <c r="P1895" t="s">
        <v>8836</v>
      </c>
      <c r="Q1895">
        <v>226.51</v>
      </c>
      <c r="R1895" t="s">
        <v>1370</v>
      </c>
      <c r="S1895">
        <v>0.14000000000000001</v>
      </c>
      <c r="T1895">
        <v>33.31</v>
      </c>
      <c r="U1895" t="s">
        <v>1875</v>
      </c>
      <c r="V1895" t="s">
        <v>115</v>
      </c>
      <c r="W1895" t="s">
        <v>1626</v>
      </c>
      <c r="X1895">
        <v>1.33</v>
      </c>
      <c r="Y1895" t="s">
        <v>9773</v>
      </c>
      <c r="Z1895" t="s">
        <v>9774</v>
      </c>
      <c r="AA1895" t="s">
        <v>6597</v>
      </c>
      <c r="AB1895">
        <v>5.16</v>
      </c>
      <c r="AC1895" t="s">
        <v>1920</v>
      </c>
      <c r="AD1895">
        <v>93.02</v>
      </c>
      <c r="AE1895" t="s">
        <v>175</v>
      </c>
      <c r="AF1895">
        <v>0.75</v>
      </c>
      <c r="AG1895">
        <v>0</v>
      </c>
      <c r="AH1895">
        <v>0</v>
      </c>
      <c r="AI1895" s="4">
        <v>36049</v>
      </c>
    </row>
    <row r="1896" spans="1:35">
      <c r="A1896">
        <v>1895</v>
      </c>
      <c r="B1896" t="str">
        <f>"000715"</f>
        <v>000715</v>
      </c>
      <c r="C1896" t="s">
        <v>9775</v>
      </c>
      <c r="D1896" s="4">
        <v>43190</v>
      </c>
      <c r="E1896" t="s">
        <v>234</v>
      </c>
      <c r="F1896" t="s">
        <v>234</v>
      </c>
      <c r="G1896" t="s">
        <v>2323</v>
      </c>
      <c r="H1896">
        <v>0.06</v>
      </c>
      <c r="I1896">
        <v>4.62</v>
      </c>
      <c r="J1896">
        <v>1.33</v>
      </c>
      <c r="K1896" t="s">
        <v>491</v>
      </c>
      <c r="L1896">
        <v>5.16</v>
      </c>
      <c r="M1896" t="s">
        <v>9776</v>
      </c>
      <c r="N1896" t="s">
        <v>7271</v>
      </c>
      <c r="O1896" t="s">
        <v>4798</v>
      </c>
      <c r="P1896" t="s">
        <v>9777</v>
      </c>
      <c r="Q1896">
        <v>6.66</v>
      </c>
      <c r="R1896" t="s">
        <v>633</v>
      </c>
      <c r="S1896">
        <v>2</v>
      </c>
      <c r="T1896">
        <v>19.149999999999999</v>
      </c>
      <c r="U1896" t="s">
        <v>2568</v>
      </c>
      <c r="V1896" t="s">
        <v>1094</v>
      </c>
      <c r="W1896" t="s">
        <v>3570</v>
      </c>
      <c r="X1896">
        <v>1.33</v>
      </c>
      <c r="Y1896" t="s">
        <v>3117</v>
      </c>
      <c r="Z1896" t="s">
        <v>2921</v>
      </c>
      <c r="AA1896" t="s">
        <v>2142</v>
      </c>
      <c r="AB1896">
        <v>1.52</v>
      </c>
      <c r="AC1896" t="s">
        <v>101</v>
      </c>
      <c r="AD1896">
        <v>58.84</v>
      </c>
      <c r="AE1896" t="s">
        <v>1964</v>
      </c>
      <c r="AF1896">
        <v>1.1399999999999999</v>
      </c>
      <c r="AG1896">
        <v>0</v>
      </c>
      <c r="AH1896">
        <v>0</v>
      </c>
      <c r="AI1896" s="4">
        <v>35558</v>
      </c>
    </row>
    <row r="1897" spans="1:35">
      <c r="A1897">
        <v>1896</v>
      </c>
      <c r="B1897" t="str">
        <f>"603110"</f>
        <v>603110</v>
      </c>
      <c r="C1897" t="s">
        <v>9778</v>
      </c>
      <c r="D1897" s="4">
        <v>43190</v>
      </c>
      <c r="E1897" t="s">
        <v>1016</v>
      </c>
      <c r="F1897" t="s">
        <v>2364</v>
      </c>
      <c r="G1897">
        <v>1922</v>
      </c>
      <c r="H1897">
        <v>0.06</v>
      </c>
      <c r="I1897">
        <v>4.2699999999999996</v>
      </c>
      <c r="J1897">
        <v>1.32</v>
      </c>
      <c r="K1897" t="s">
        <v>651</v>
      </c>
      <c r="L1897">
        <v>24.88</v>
      </c>
      <c r="M1897" t="s">
        <v>9779</v>
      </c>
      <c r="N1897">
        <v>0</v>
      </c>
      <c r="O1897" t="s">
        <v>8560</v>
      </c>
      <c r="P1897" t="s">
        <v>9780</v>
      </c>
      <c r="Q1897">
        <v>3.64</v>
      </c>
      <c r="R1897" t="s">
        <v>470</v>
      </c>
      <c r="S1897">
        <v>1.49</v>
      </c>
      <c r="T1897">
        <v>27.38</v>
      </c>
      <c r="U1897" t="s">
        <v>500</v>
      </c>
      <c r="V1897" t="s">
        <v>3471</v>
      </c>
      <c r="W1897" t="s">
        <v>372</v>
      </c>
      <c r="X1897">
        <v>1.32</v>
      </c>
      <c r="Y1897" t="s">
        <v>9781</v>
      </c>
      <c r="Z1897" t="s">
        <v>9782</v>
      </c>
      <c r="AA1897" t="s">
        <v>4151</v>
      </c>
      <c r="AB1897">
        <v>3.53</v>
      </c>
      <c r="AC1897" t="s">
        <v>852</v>
      </c>
      <c r="AD1897">
        <v>87.25</v>
      </c>
      <c r="AE1897" t="s">
        <v>1664</v>
      </c>
      <c r="AF1897">
        <v>1.66</v>
      </c>
      <c r="AG1897">
        <v>0</v>
      </c>
      <c r="AH1897">
        <v>0</v>
      </c>
      <c r="AI1897" s="4">
        <v>43021</v>
      </c>
    </row>
    <row r="1898" spans="1:35">
      <c r="A1898">
        <v>1897</v>
      </c>
      <c r="B1898" t="str">
        <f>"600575"</f>
        <v>600575</v>
      </c>
      <c r="C1898" t="s">
        <v>9783</v>
      </c>
      <c r="D1898" s="4">
        <v>43190</v>
      </c>
      <c r="E1898" t="s">
        <v>1803</v>
      </c>
      <c r="F1898" t="s">
        <v>1285</v>
      </c>
      <c r="G1898" t="s">
        <v>9784</v>
      </c>
      <c r="H1898">
        <v>0.03</v>
      </c>
      <c r="I1898">
        <v>2.16</v>
      </c>
      <c r="J1898">
        <v>1.32</v>
      </c>
      <c r="K1898" t="s">
        <v>826</v>
      </c>
      <c r="L1898">
        <v>4.17</v>
      </c>
      <c r="M1898" t="s">
        <v>84</v>
      </c>
      <c r="N1898" t="s">
        <v>5172</v>
      </c>
      <c r="O1898" t="s">
        <v>993</v>
      </c>
      <c r="P1898" t="s">
        <v>804</v>
      </c>
      <c r="Q1898">
        <v>-11.27</v>
      </c>
      <c r="R1898" t="s">
        <v>9785</v>
      </c>
      <c r="S1898">
        <v>-0.17</v>
      </c>
      <c r="T1898">
        <v>11.28</v>
      </c>
      <c r="U1898" t="s">
        <v>2634</v>
      </c>
      <c r="V1898" t="s">
        <v>1350</v>
      </c>
      <c r="W1898" t="s">
        <v>1254</v>
      </c>
      <c r="X1898">
        <v>1.32</v>
      </c>
      <c r="Y1898" t="s">
        <v>1592</v>
      </c>
      <c r="Z1898" t="s">
        <v>1601</v>
      </c>
      <c r="AA1898" t="s">
        <v>756</v>
      </c>
      <c r="AB1898">
        <v>1.72</v>
      </c>
      <c r="AC1898" t="s">
        <v>9786</v>
      </c>
      <c r="AD1898">
        <v>51.04</v>
      </c>
      <c r="AE1898" t="s">
        <v>573</v>
      </c>
      <c r="AF1898">
        <v>1.29</v>
      </c>
      <c r="AG1898">
        <v>0</v>
      </c>
      <c r="AH1898">
        <v>0</v>
      </c>
      <c r="AI1898" s="4">
        <v>37708</v>
      </c>
    </row>
    <row r="1899" spans="1:35">
      <c r="A1899">
        <v>1898</v>
      </c>
      <c r="B1899" t="str">
        <f>"600284"</f>
        <v>600284</v>
      </c>
      <c r="C1899" t="s">
        <v>9787</v>
      </c>
      <c r="D1899" s="4">
        <v>43190</v>
      </c>
      <c r="E1899" t="s">
        <v>2421</v>
      </c>
      <c r="F1899" t="s">
        <v>2421</v>
      </c>
      <c r="G1899">
        <v>8722</v>
      </c>
      <c r="H1899">
        <v>0.08</v>
      </c>
      <c r="I1899">
        <v>5.51</v>
      </c>
      <c r="J1899">
        <v>1.32</v>
      </c>
      <c r="K1899" t="s">
        <v>2398</v>
      </c>
      <c r="L1899">
        <v>38.119999999999997</v>
      </c>
      <c r="M1899" t="s">
        <v>9788</v>
      </c>
      <c r="N1899" t="s">
        <v>9789</v>
      </c>
      <c r="O1899" t="s">
        <v>8859</v>
      </c>
      <c r="P1899" t="s">
        <v>9790</v>
      </c>
      <c r="Q1899">
        <v>7</v>
      </c>
      <c r="R1899" t="s">
        <v>789</v>
      </c>
      <c r="S1899">
        <v>2.12</v>
      </c>
      <c r="T1899">
        <v>7.05</v>
      </c>
      <c r="U1899" t="s">
        <v>558</v>
      </c>
      <c r="V1899" t="s">
        <v>4179</v>
      </c>
      <c r="W1899" t="s">
        <v>802</v>
      </c>
      <c r="X1899">
        <v>1.32</v>
      </c>
      <c r="Y1899" t="s">
        <v>2167</v>
      </c>
      <c r="Z1899" t="s">
        <v>1133</v>
      </c>
      <c r="AA1899" t="s">
        <v>1792</v>
      </c>
      <c r="AB1899">
        <v>0.87</v>
      </c>
      <c r="AC1899" t="s">
        <v>1735</v>
      </c>
      <c r="AD1899">
        <v>49.1</v>
      </c>
      <c r="AE1899" t="s">
        <v>578</v>
      </c>
      <c r="AF1899">
        <v>2.0499999999999998</v>
      </c>
      <c r="AG1899">
        <v>0</v>
      </c>
      <c r="AH1899">
        <v>0</v>
      </c>
      <c r="AI1899" s="4">
        <v>38062</v>
      </c>
    </row>
    <row r="1900" spans="1:35">
      <c r="A1900">
        <v>1899</v>
      </c>
      <c r="B1900" t="str">
        <f>"300264"</f>
        <v>300264</v>
      </c>
      <c r="C1900" t="s">
        <v>9791</v>
      </c>
      <c r="D1900" s="4">
        <v>43190</v>
      </c>
      <c r="E1900" t="s">
        <v>2608</v>
      </c>
      <c r="F1900" t="s">
        <v>301</v>
      </c>
      <c r="G1900" t="s">
        <v>1448</v>
      </c>
      <c r="H1900">
        <v>0.02</v>
      </c>
      <c r="I1900">
        <v>1.33</v>
      </c>
      <c r="J1900">
        <v>1.32</v>
      </c>
      <c r="K1900" t="s">
        <v>9792</v>
      </c>
      <c r="L1900">
        <v>170.79</v>
      </c>
      <c r="M1900" t="s">
        <v>9793</v>
      </c>
      <c r="N1900" t="s">
        <v>7517</v>
      </c>
      <c r="O1900" t="s">
        <v>4525</v>
      </c>
      <c r="P1900" t="s">
        <v>4127</v>
      </c>
      <c r="Q1900">
        <v>164.7</v>
      </c>
      <c r="R1900" t="s">
        <v>9523</v>
      </c>
      <c r="S1900">
        <v>0.04</v>
      </c>
      <c r="T1900">
        <v>32.44</v>
      </c>
      <c r="U1900" t="s">
        <v>1946</v>
      </c>
      <c r="V1900" t="s">
        <v>1652</v>
      </c>
      <c r="W1900" t="s">
        <v>8623</v>
      </c>
      <c r="X1900">
        <v>1.32</v>
      </c>
      <c r="Y1900" t="s">
        <v>707</v>
      </c>
      <c r="Z1900" t="s">
        <v>139</v>
      </c>
      <c r="AA1900" t="s">
        <v>9794</v>
      </c>
      <c r="AB1900">
        <v>4.16</v>
      </c>
      <c r="AC1900" t="s">
        <v>2413</v>
      </c>
      <c r="AD1900">
        <v>59.94</v>
      </c>
      <c r="AE1900" t="s">
        <v>4979</v>
      </c>
      <c r="AF1900">
        <v>0.23</v>
      </c>
      <c r="AG1900">
        <v>0</v>
      </c>
      <c r="AH1900">
        <v>0</v>
      </c>
      <c r="AI1900" s="4">
        <v>40802</v>
      </c>
    </row>
    <row r="1901" spans="1:35">
      <c r="A1901">
        <v>1900</v>
      </c>
      <c r="B1901" t="str">
        <f>"300179"</f>
        <v>300179</v>
      </c>
      <c r="C1901" t="s">
        <v>9795</v>
      </c>
      <c r="D1901" s="4">
        <v>43190</v>
      </c>
      <c r="E1901" t="s">
        <v>2563</v>
      </c>
      <c r="F1901" t="s">
        <v>90</v>
      </c>
      <c r="G1901" t="s">
        <v>5650</v>
      </c>
      <c r="H1901">
        <v>0.02</v>
      </c>
      <c r="I1901">
        <v>1.56</v>
      </c>
      <c r="J1901">
        <v>1.32</v>
      </c>
      <c r="K1901" t="s">
        <v>7069</v>
      </c>
      <c r="L1901">
        <v>25.87</v>
      </c>
      <c r="M1901" t="s">
        <v>7804</v>
      </c>
      <c r="N1901" t="s">
        <v>9796</v>
      </c>
      <c r="O1901" t="s">
        <v>4716</v>
      </c>
      <c r="P1901" t="s">
        <v>4450</v>
      </c>
      <c r="Q1901">
        <v>-17.8</v>
      </c>
      <c r="R1901" t="s">
        <v>1905</v>
      </c>
      <c r="S1901">
        <v>0.4</v>
      </c>
      <c r="T1901">
        <v>47.15</v>
      </c>
      <c r="U1901" t="s">
        <v>699</v>
      </c>
      <c r="V1901" t="s">
        <v>504</v>
      </c>
      <c r="W1901" t="s">
        <v>603</v>
      </c>
      <c r="X1901">
        <v>1.32</v>
      </c>
      <c r="Y1901" t="s">
        <v>492</v>
      </c>
      <c r="Z1901" t="s">
        <v>1210</v>
      </c>
      <c r="AA1901" t="s">
        <v>6662</v>
      </c>
      <c r="AB1901">
        <v>3.47</v>
      </c>
      <c r="AC1901" t="s">
        <v>2428</v>
      </c>
      <c r="AD1901">
        <v>75.8</v>
      </c>
      <c r="AE1901" t="s">
        <v>7076</v>
      </c>
      <c r="AF1901">
        <v>0.14000000000000001</v>
      </c>
      <c r="AG1901">
        <v>0</v>
      </c>
      <c r="AH1901">
        <v>0</v>
      </c>
      <c r="AI1901" s="4">
        <v>40589</v>
      </c>
    </row>
    <row r="1902" spans="1:35">
      <c r="A1902">
        <v>1901</v>
      </c>
      <c r="B1902" t="str">
        <f>"300040"</f>
        <v>300040</v>
      </c>
      <c r="C1902" t="s">
        <v>9797</v>
      </c>
      <c r="D1902" s="4">
        <v>43190</v>
      </c>
      <c r="E1902" t="s">
        <v>1789</v>
      </c>
      <c r="F1902" t="s">
        <v>1245</v>
      </c>
      <c r="G1902" t="s">
        <v>4216</v>
      </c>
      <c r="H1902">
        <v>7.0000000000000007E-2</v>
      </c>
      <c r="I1902">
        <v>5.5</v>
      </c>
      <c r="J1902">
        <v>1.32</v>
      </c>
      <c r="K1902" t="s">
        <v>1860</v>
      </c>
      <c r="L1902">
        <v>-17.62</v>
      </c>
      <c r="M1902" t="s">
        <v>8697</v>
      </c>
      <c r="N1902" t="s">
        <v>427</v>
      </c>
      <c r="O1902" t="s">
        <v>878</v>
      </c>
      <c r="P1902" t="s">
        <v>9798</v>
      </c>
      <c r="Q1902">
        <v>5.46</v>
      </c>
      <c r="R1902" t="s">
        <v>3894</v>
      </c>
      <c r="S1902">
        <v>2</v>
      </c>
      <c r="T1902">
        <v>31.85</v>
      </c>
      <c r="U1902" t="s">
        <v>2989</v>
      </c>
      <c r="V1902" t="s">
        <v>3356</v>
      </c>
      <c r="W1902" t="s">
        <v>1223</v>
      </c>
      <c r="X1902">
        <v>1.32</v>
      </c>
      <c r="Y1902" t="s">
        <v>1101</v>
      </c>
      <c r="Z1902" t="s">
        <v>1033</v>
      </c>
      <c r="AA1902" t="s">
        <v>4760</v>
      </c>
      <c r="AB1902">
        <v>1</v>
      </c>
      <c r="AC1902" t="s">
        <v>183</v>
      </c>
      <c r="AD1902">
        <v>50.95</v>
      </c>
      <c r="AE1902" t="s">
        <v>1477</v>
      </c>
      <c r="AF1902">
        <v>2.36</v>
      </c>
      <c r="AG1902">
        <v>0</v>
      </c>
      <c r="AH1902">
        <v>0</v>
      </c>
      <c r="AI1902" s="4">
        <v>40186</v>
      </c>
    </row>
    <row r="1903" spans="1:35">
      <c r="A1903">
        <v>1902</v>
      </c>
      <c r="B1903" t="str">
        <f>"002758"</f>
        <v>002758</v>
      </c>
      <c r="C1903" t="s">
        <v>9799</v>
      </c>
      <c r="D1903" s="4">
        <v>43190</v>
      </c>
      <c r="E1903" t="s">
        <v>118</v>
      </c>
      <c r="F1903" t="s">
        <v>345</v>
      </c>
      <c r="G1903">
        <v>6786</v>
      </c>
      <c r="H1903">
        <v>0.04</v>
      </c>
      <c r="I1903">
        <v>2.72</v>
      </c>
      <c r="J1903">
        <v>1.32</v>
      </c>
      <c r="K1903" t="s">
        <v>69</v>
      </c>
      <c r="L1903">
        <v>19.649999999999999</v>
      </c>
      <c r="M1903" t="s">
        <v>9800</v>
      </c>
      <c r="N1903">
        <v>0</v>
      </c>
      <c r="O1903" t="s">
        <v>9801</v>
      </c>
      <c r="P1903" t="s">
        <v>1707</v>
      </c>
      <c r="Q1903">
        <v>-24.26</v>
      </c>
      <c r="R1903" t="s">
        <v>454</v>
      </c>
      <c r="S1903">
        <v>0.94</v>
      </c>
      <c r="T1903">
        <v>13.07</v>
      </c>
      <c r="U1903" t="s">
        <v>405</v>
      </c>
      <c r="V1903" t="s">
        <v>7533</v>
      </c>
      <c r="W1903" t="s">
        <v>669</v>
      </c>
      <c r="X1903">
        <v>1.32</v>
      </c>
      <c r="Y1903" t="s">
        <v>941</v>
      </c>
      <c r="Z1903" t="s">
        <v>1779</v>
      </c>
      <c r="AA1903" t="s">
        <v>9802</v>
      </c>
      <c r="AB1903">
        <v>3.44</v>
      </c>
      <c r="AC1903" t="s">
        <v>105</v>
      </c>
      <c r="AD1903">
        <v>47.81</v>
      </c>
      <c r="AE1903" t="s">
        <v>657</v>
      </c>
      <c r="AF1903">
        <v>0.66</v>
      </c>
      <c r="AG1903">
        <v>0</v>
      </c>
      <c r="AH1903">
        <v>0</v>
      </c>
      <c r="AI1903" s="4">
        <v>42151</v>
      </c>
    </row>
    <row r="1904" spans="1:35">
      <c r="A1904">
        <v>1903</v>
      </c>
      <c r="B1904" t="str">
        <f>"002559"</f>
        <v>002559</v>
      </c>
      <c r="C1904" t="s">
        <v>9803</v>
      </c>
      <c r="D1904" s="4">
        <v>43190</v>
      </c>
      <c r="E1904" t="s">
        <v>2751</v>
      </c>
      <c r="F1904" t="s">
        <v>1152</v>
      </c>
      <c r="G1904">
        <v>7630</v>
      </c>
      <c r="H1904">
        <v>0.06</v>
      </c>
      <c r="I1904">
        <v>4.2</v>
      </c>
      <c r="J1904">
        <v>1.32</v>
      </c>
      <c r="K1904" t="s">
        <v>1977</v>
      </c>
      <c r="L1904">
        <v>11.52</v>
      </c>
      <c r="M1904" t="s">
        <v>5181</v>
      </c>
      <c r="N1904" t="s">
        <v>9804</v>
      </c>
      <c r="O1904" t="s">
        <v>7519</v>
      </c>
      <c r="P1904" t="s">
        <v>9805</v>
      </c>
      <c r="Q1904">
        <v>23.32</v>
      </c>
      <c r="R1904" t="s">
        <v>349</v>
      </c>
      <c r="S1904">
        <v>0.93</v>
      </c>
      <c r="T1904">
        <v>26.26</v>
      </c>
      <c r="U1904" t="s">
        <v>306</v>
      </c>
      <c r="V1904" t="s">
        <v>1062</v>
      </c>
      <c r="W1904" t="s">
        <v>104</v>
      </c>
      <c r="X1904">
        <v>1.32</v>
      </c>
      <c r="Y1904" t="s">
        <v>2693</v>
      </c>
      <c r="Z1904" t="s">
        <v>2456</v>
      </c>
      <c r="AA1904" t="s">
        <v>9806</v>
      </c>
      <c r="AB1904">
        <v>1.72</v>
      </c>
      <c r="AC1904" t="s">
        <v>1244</v>
      </c>
      <c r="AD1904">
        <v>67.3</v>
      </c>
      <c r="AE1904" t="s">
        <v>1013</v>
      </c>
      <c r="AF1904">
        <v>2.16</v>
      </c>
      <c r="AG1904">
        <v>0</v>
      </c>
      <c r="AH1904">
        <v>0</v>
      </c>
      <c r="AI1904" s="4">
        <v>40605</v>
      </c>
    </row>
    <row r="1905" spans="1:35">
      <c r="A1905">
        <v>1904</v>
      </c>
      <c r="B1905" t="str">
        <f>"002393"</f>
        <v>002393</v>
      </c>
      <c r="C1905" t="s">
        <v>9807</v>
      </c>
      <c r="D1905" s="4">
        <v>43190</v>
      </c>
      <c r="E1905" t="s">
        <v>1366</v>
      </c>
      <c r="F1905" t="s">
        <v>1366</v>
      </c>
      <c r="G1905">
        <v>8428</v>
      </c>
      <c r="H1905">
        <v>0.22</v>
      </c>
      <c r="I1905">
        <v>16.809999999999999</v>
      </c>
      <c r="J1905">
        <v>1.32</v>
      </c>
      <c r="K1905" t="s">
        <v>1939</v>
      </c>
      <c r="L1905">
        <v>38.19</v>
      </c>
      <c r="M1905" t="s">
        <v>2660</v>
      </c>
      <c r="N1905" t="s">
        <v>9808</v>
      </c>
      <c r="O1905" t="s">
        <v>9809</v>
      </c>
      <c r="P1905" t="s">
        <v>9810</v>
      </c>
      <c r="Q1905">
        <v>0.54</v>
      </c>
      <c r="R1905" t="s">
        <v>2131</v>
      </c>
      <c r="S1905">
        <v>4.49</v>
      </c>
      <c r="T1905">
        <v>67.069999999999993</v>
      </c>
      <c r="U1905" t="s">
        <v>3160</v>
      </c>
      <c r="V1905" t="s">
        <v>728</v>
      </c>
      <c r="W1905" t="s">
        <v>147</v>
      </c>
      <c r="X1905">
        <v>1.32</v>
      </c>
      <c r="Y1905" t="s">
        <v>3894</v>
      </c>
      <c r="Z1905" t="s">
        <v>563</v>
      </c>
      <c r="AA1905" t="s">
        <v>4322</v>
      </c>
      <c r="AB1905">
        <v>1.42</v>
      </c>
      <c r="AC1905" t="s">
        <v>313</v>
      </c>
      <c r="AD1905">
        <v>81.83</v>
      </c>
      <c r="AE1905" t="s">
        <v>115</v>
      </c>
      <c r="AF1905">
        <v>9.27</v>
      </c>
      <c r="AG1905">
        <v>0</v>
      </c>
      <c r="AH1905">
        <v>0</v>
      </c>
      <c r="AI1905" s="4">
        <v>40291</v>
      </c>
    </row>
    <row r="1906" spans="1:35">
      <c r="A1906">
        <v>1905</v>
      </c>
      <c r="B1906" t="str">
        <f>"600869"</f>
        <v>600869</v>
      </c>
      <c r="C1906" t="s">
        <v>9811</v>
      </c>
      <c r="D1906" s="4">
        <v>43190</v>
      </c>
      <c r="E1906" t="s">
        <v>728</v>
      </c>
      <c r="F1906" t="s">
        <v>789</v>
      </c>
      <c r="G1906" t="s">
        <v>2550</v>
      </c>
      <c r="H1906">
        <v>0.03</v>
      </c>
      <c r="I1906">
        <v>2.38</v>
      </c>
      <c r="J1906">
        <v>1.31</v>
      </c>
      <c r="K1906" t="s">
        <v>1263</v>
      </c>
      <c r="L1906">
        <v>22.1</v>
      </c>
      <c r="M1906" t="s">
        <v>9618</v>
      </c>
      <c r="N1906" t="s">
        <v>3581</v>
      </c>
      <c r="O1906" t="s">
        <v>1459</v>
      </c>
      <c r="P1906" t="s">
        <v>9812</v>
      </c>
      <c r="Q1906">
        <v>492.98</v>
      </c>
      <c r="R1906" t="s">
        <v>613</v>
      </c>
      <c r="S1906">
        <v>0.52</v>
      </c>
      <c r="T1906">
        <v>14.46</v>
      </c>
      <c r="U1906" t="s">
        <v>1750</v>
      </c>
      <c r="V1906" t="s">
        <v>1465</v>
      </c>
      <c r="W1906" t="s">
        <v>261</v>
      </c>
      <c r="X1906">
        <v>1.31</v>
      </c>
      <c r="Y1906" t="s">
        <v>932</v>
      </c>
      <c r="Z1906" t="s">
        <v>3199</v>
      </c>
      <c r="AA1906" t="s">
        <v>2212</v>
      </c>
      <c r="AB1906">
        <v>2.08</v>
      </c>
      <c r="AC1906" t="s">
        <v>7694</v>
      </c>
      <c r="AD1906">
        <v>28.99</v>
      </c>
      <c r="AE1906" t="s">
        <v>820</v>
      </c>
      <c r="AF1906">
        <v>0.76</v>
      </c>
      <c r="AG1906">
        <v>0</v>
      </c>
      <c r="AH1906">
        <v>0</v>
      </c>
      <c r="AI1906" s="4">
        <v>34736</v>
      </c>
    </row>
    <row r="1907" spans="1:35">
      <c r="A1907">
        <v>1906</v>
      </c>
      <c r="B1907" t="str">
        <f>"600748"</f>
        <v>600748</v>
      </c>
      <c r="C1907" t="s">
        <v>9813</v>
      </c>
      <c r="D1907" s="4">
        <v>43190</v>
      </c>
      <c r="E1907" t="s">
        <v>980</v>
      </c>
      <c r="F1907" t="s">
        <v>1384</v>
      </c>
      <c r="G1907" t="s">
        <v>9814</v>
      </c>
      <c r="H1907">
        <v>7.0000000000000007E-2</v>
      </c>
      <c r="I1907">
        <v>5.44</v>
      </c>
      <c r="J1907">
        <v>1.31</v>
      </c>
      <c r="K1907" t="s">
        <v>1307</v>
      </c>
      <c r="L1907">
        <v>25.07</v>
      </c>
      <c r="M1907" t="s">
        <v>1860</v>
      </c>
      <c r="N1907" t="s">
        <v>9815</v>
      </c>
      <c r="O1907" t="s">
        <v>1264</v>
      </c>
      <c r="P1907" t="s">
        <v>1376</v>
      </c>
      <c r="Q1907">
        <v>11.54</v>
      </c>
      <c r="R1907" t="s">
        <v>773</v>
      </c>
      <c r="S1907">
        <v>2.38</v>
      </c>
      <c r="T1907">
        <v>37</v>
      </c>
      <c r="U1907" t="s">
        <v>2314</v>
      </c>
      <c r="V1907" t="s">
        <v>9816</v>
      </c>
      <c r="W1907" t="s">
        <v>9817</v>
      </c>
      <c r="X1907">
        <v>1.31</v>
      </c>
      <c r="Y1907" t="s">
        <v>5714</v>
      </c>
      <c r="Z1907" t="s">
        <v>1114</v>
      </c>
      <c r="AA1907" t="s">
        <v>252</v>
      </c>
      <c r="AB1907">
        <v>0.93</v>
      </c>
      <c r="AC1907" t="s">
        <v>1254</v>
      </c>
      <c r="AD1907">
        <v>25.36</v>
      </c>
      <c r="AE1907" t="s">
        <v>313</v>
      </c>
      <c r="AF1907">
        <v>1.69</v>
      </c>
      <c r="AG1907">
        <v>0</v>
      </c>
      <c r="AH1907">
        <v>0</v>
      </c>
      <c r="AI1907" s="4">
        <v>35333</v>
      </c>
    </row>
    <row r="1908" spans="1:35">
      <c r="A1908">
        <v>1907</v>
      </c>
      <c r="B1908" t="str">
        <f>"600642"</f>
        <v>600642</v>
      </c>
      <c r="C1908" t="s">
        <v>9818</v>
      </c>
      <c r="D1908" s="4">
        <v>43190</v>
      </c>
      <c r="E1908" t="s">
        <v>152</v>
      </c>
      <c r="F1908" t="s">
        <v>152</v>
      </c>
      <c r="G1908" t="s">
        <v>3323</v>
      </c>
      <c r="H1908">
        <v>7.0000000000000007E-2</v>
      </c>
      <c r="I1908">
        <v>5.64</v>
      </c>
      <c r="J1908">
        <v>1.31</v>
      </c>
      <c r="K1908" t="s">
        <v>9819</v>
      </c>
      <c r="L1908">
        <v>14.1</v>
      </c>
      <c r="M1908" t="s">
        <v>3471</v>
      </c>
      <c r="N1908" t="s">
        <v>1689</v>
      </c>
      <c r="O1908" t="s">
        <v>318</v>
      </c>
      <c r="P1908" t="s">
        <v>678</v>
      </c>
      <c r="Q1908">
        <v>-33.450000000000003</v>
      </c>
      <c r="R1908" t="s">
        <v>2005</v>
      </c>
      <c r="S1908">
        <v>1.01</v>
      </c>
      <c r="T1908">
        <v>6.04</v>
      </c>
      <c r="U1908" t="s">
        <v>9820</v>
      </c>
      <c r="V1908" t="s">
        <v>463</v>
      </c>
      <c r="W1908" t="s">
        <v>4912</v>
      </c>
      <c r="X1908">
        <v>1.31</v>
      </c>
      <c r="Y1908" t="s">
        <v>1385</v>
      </c>
      <c r="Z1908" t="s">
        <v>465</v>
      </c>
      <c r="AA1908" t="s">
        <v>4691</v>
      </c>
      <c r="AB1908">
        <v>0.91</v>
      </c>
      <c r="AC1908" t="s">
        <v>1454</v>
      </c>
      <c r="AD1908">
        <v>45.87</v>
      </c>
      <c r="AE1908" t="s">
        <v>236</v>
      </c>
      <c r="AF1908">
        <v>0.71</v>
      </c>
      <c r="AG1908">
        <v>0</v>
      </c>
      <c r="AH1908">
        <v>0</v>
      </c>
      <c r="AI1908" s="4">
        <v>34075</v>
      </c>
    </row>
    <row r="1909" spans="1:35">
      <c r="A1909">
        <v>1908</v>
      </c>
      <c r="B1909" t="str">
        <f>"300190"</f>
        <v>300190</v>
      </c>
      <c r="C1909" t="s">
        <v>9821</v>
      </c>
      <c r="D1909" s="4">
        <v>43190</v>
      </c>
      <c r="E1909" t="s">
        <v>1414</v>
      </c>
      <c r="F1909" t="s">
        <v>2177</v>
      </c>
      <c r="G1909" t="s">
        <v>6402</v>
      </c>
      <c r="H1909">
        <v>0.06</v>
      </c>
      <c r="I1909">
        <v>4.4400000000000004</v>
      </c>
      <c r="J1909">
        <v>1.31</v>
      </c>
      <c r="K1909" t="s">
        <v>976</v>
      </c>
      <c r="L1909">
        <v>11.83</v>
      </c>
      <c r="M1909" t="s">
        <v>9822</v>
      </c>
      <c r="N1909" t="s">
        <v>2566</v>
      </c>
      <c r="O1909" t="s">
        <v>9823</v>
      </c>
      <c r="P1909" t="s">
        <v>9824</v>
      </c>
      <c r="Q1909">
        <v>42.43</v>
      </c>
      <c r="R1909" t="s">
        <v>1309</v>
      </c>
      <c r="S1909">
        <v>0.56999999999999995</v>
      </c>
      <c r="T1909">
        <v>36.06</v>
      </c>
      <c r="U1909" t="s">
        <v>1081</v>
      </c>
      <c r="V1909" t="s">
        <v>4697</v>
      </c>
      <c r="W1909" t="s">
        <v>3376</v>
      </c>
      <c r="X1909">
        <v>1.31</v>
      </c>
      <c r="Y1909" t="s">
        <v>865</v>
      </c>
      <c r="Z1909" t="s">
        <v>1082</v>
      </c>
      <c r="AA1909" t="s">
        <v>1496</v>
      </c>
      <c r="AB1909">
        <v>1.1299999999999999</v>
      </c>
      <c r="AC1909" t="s">
        <v>1314</v>
      </c>
      <c r="AD1909">
        <v>60.14</v>
      </c>
      <c r="AE1909" t="s">
        <v>1785</v>
      </c>
      <c r="AF1909">
        <v>2.8</v>
      </c>
      <c r="AG1909">
        <v>0</v>
      </c>
      <c r="AH1909">
        <v>0</v>
      </c>
      <c r="AI1909" s="4">
        <v>40618</v>
      </c>
    </row>
    <row r="1910" spans="1:35">
      <c r="A1910">
        <v>1909</v>
      </c>
      <c r="B1910" t="str">
        <f>"002048"</f>
        <v>002048</v>
      </c>
      <c r="C1910" t="s">
        <v>9825</v>
      </c>
      <c r="D1910" s="4">
        <v>43190</v>
      </c>
      <c r="E1910" t="s">
        <v>2517</v>
      </c>
      <c r="F1910" t="s">
        <v>348</v>
      </c>
      <c r="G1910" t="s">
        <v>974</v>
      </c>
      <c r="H1910">
        <v>0.16</v>
      </c>
      <c r="I1910">
        <v>12.47</v>
      </c>
      <c r="J1910">
        <v>1.31</v>
      </c>
      <c r="K1910" t="s">
        <v>693</v>
      </c>
      <c r="L1910">
        <v>-11.93</v>
      </c>
      <c r="M1910" t="s">
        <v>669</v>
      </c>
      <c r="N1910" t="s">
        <v>5571</v>
      </c>
      <c r="O1910" t="s">
        <v>669</v>
      </c>
      <c r="P1910" t="s">
        <v>197</v>
      </c>
      <c r="Q1910">
        <v>-45.64</v>
      </c>
      <c r="R1910" t="s">
        <v>431</v>
      </c>
      <c r="S1910">
        <v>5.67</v>
      </c>
      <c r="T1910">
        <v>19.86</v>
      </c>
      <c r="U1910" t="s">
        <v>899</v>
      </c>
      <c r="V1910" t="s">
        <v>4501</v>
      </c>
      <c r="W1910" t="s">
        <v>774</v>
      </c>
      <c r="X1910">
        <v>1.31</v>
      </c>
      <c r="Y1910" t="s">
        <v>832</v>
      </c>
      <c r="Z1910" t="s">
        <v>8225</v>
      </c>
      <c r="AA1910" t="s">
        <v>1047</v>
      </c>
      <c r="AB1910">
        <v>0.94</v>
      </c>
      <c r="AC1910" t="s">
        <v>4501</v>
      </c>
      <c r="AD1910">
        <v>52.88</v>
      </c>
      <c r="AE1910" t="s">
        <v>158</v>
      </c>
      <c r="AF1910">
        <v>4.3099999999999996</v>
      </c>
      <c r="AG1910">
        <v>0</v>
      </c>
      <c r="AH1910">
        <v>0</v>
      </c>
      <c r="AI1910" s="4">
        <v>38506</v>
      </c>
    </row>
    <row r="1911" spans="1:35">
      <c r="A1911">
        <v>1910</v>
      </c>
      <c r="B1911" t="str">
        <f>"000880"</f>
        <v>000880</v>
      </c>
      <c r="C1911" t="s">
        <v>9826</v>
      </c>
      <c r="D1911" s="4">
        <v>43190</v>
      </c>
      <c r="E1911" t="s">
        <v>4871</v>
      </c>
      <c r="F1911" t="s">
        <v>1370</v>
      </c>
      <c r="G1911">
        <v>7217</v>
      </c>
      <c r="H1911">
        <v>0.06</v>
      </c>
      <c r="I1911">
        <v>4.88</v>
      </c>
      <c r="J1911">
        <v>1.31</v>
      </c>
      <c r="K1911" t="s">
        <v>483</v>
      </c>
      <c r="L1911">
        <v>41.22</v>
      </c>
      <c r="M1911" t="s">
        <v>9827</v>
      </c>
      <c r="N1911" t="s">
        <v>9828</v>
      </c>
      <c r="O1911" t="s">
        <v>9612</v>
      </c>
      <c r="P1911" t="s">
        <v>8618</v>
      </c>
      <c r="Q1911">
        <v>365</v>
      </c>
      <c r="R1911" t="s">
        <v>750</v>
      </c>
      <c r="S1911">
        <v>1.42</v>
      </c>
      <c r="T1911">
        <v>16.010000000000002</v>
      </c>
      <c r="U1911" t="s">
        <v>1486</v>
      </c>
      <c r="V1911" t="s">
        <v>1244</v>
      </c>
      <c r="W1911" t="s">
        <v>250</v>
      </c>
      <c r="X1911">
        <v>1.31</v>
      </c>
      <c r="Y1911" t="s">
        <v>1213</v>
      </c>
      <c r="Z1911" t="s">
        <v>565</v>
      </c>
      <c r="AA1911" t="s">
        <v>1689</v>
      </c>
      <c r="AB1911">
        <v>1.53</v>
      </c>
      <c r="AC1911" t="s">
        <v>1214</v>
      </c>
      <c r="AD1911">
        <v>35.86</v>
      </c>
      <c r="AE1911" t="s">
        <v>2580</v>
      </c>
      <c r="AF1911">
        <v>2.17</v>
      </c>
      <c r="AG1911">
        <v>0</v>
      </c>
      <c r="AH1911">
        <v>0</v>
      </c>
      <c r="AI1911" s="4">
        <v>35887</v>
      </c>
    </row>
    <row r="1912" spans="1:35">
      <c r="A1912">
        <v>1911</v>
      </c>
      <c r="B1912" t="str">
        <f>"000766"</f>
        <v>000766</v>
      </c>
      <c r="C1912" t="s">
        <v>9829</v>
      </c>
      <c r="D1912" s="4">
        <v>43190</v>
      </c>
      <c r="E1912" t="s">
        <v>1084</v>
      </c>
      <c r="F1912" t="s">
        <v>2586</v>
      </c>
      <c r="G1912" t="s">
        <v>2229</v>
      </c>
      <c r="H1912">
        <v>0.06</v>
      </c>
      <c r="I1912">
        <v>4.59</v>
      </c>
      <c r="J1912">
        <v>1.31</v>
      </c>
      <c r="K1912" t="s">
        <v>204</v>
      </c>
      <c r="L1912">
        <v>82.73</v>
      </c>
      <c r="M1912" t="s">
        <v>9830</v>
      </c>
      <c r="N1912" t="s">
        <v>6605</v>
      </c>
      <c r="O1912" t="s">
        <v>9831</v>
      </c>
      <c r="P1912" t="s">
        <v>9832</v>
      </c>
      <c r="Q1912">
        <v>-1.98</v>
      </c>
      <c r="R1912" t="s">
        <v>9833</v>
      </c>
      <c r="S1912">
        <v>-0.28999999999999998</v>
      </c>
      <c r="T1912">
        <v>80.03</v>
      </c>
      <c r="U1912" t="s">
        <v>2639</v>
      </c>
      <c r="V1912" t="s">
        <v>1101</v>
      </c>
      <c r="W1912" t="s">
        <v>285</v>
      </c>
      <c r="X1912">
        <v>1.31</v>
      </c>
      <c r="Y1912" t="s">
        <v>1214</v>
      </c>
      <c r="Z1912" t="s">
        <v>903</v>
      </c>
      <c r="AA1912" t="s">
        <v>662</v>
      </c>
      <c r="AB1912">
        <v>2.96</v>
      </c>
      <c r="AC1912" t="s">
        <v>1233</v>
      </c>
      <c r="AD1912">
        <v>76.150000000000006</v>
      </c>
      <c r="AE1912" t="s">
        <v>1397</v>
      </c>
      <c r="AF1912">
        <v>3.77</v>
      </c>
      <c r="AG1912">
        <v>0</v>
      </c>
      <c r="AH1912">
        <v>0</v>
      </c>
      <c r="AI1912" s="4">
        <v>35550</v>
      </c>
    </row>
    <row r="1913" spans="1:35">
      <c r="A1913">
        <v>1912</v>
      </c>
      <c r="B1913" t="str">
        <f>"603117"</f>
        <v>603117</v>
      </c>
      <c r="C1913" t="s">
        <v>9834</v>
      </c>
      <c r="D1913" s="4">
        <v>43190</v>
      </c>
      <c r="E1913" t="s">
        <v>2112</v>
      </c>
      <c r="F1913" t="s">
        <v>478</v>
      </c>
      <c r="G1913">
        <v>9824</v>
      </c>
      <c r="H1913">
        <v>0.06</v>
      </c>
      <c r="I1913">
        <v>5</v>
      </c>
      <c r="J1913">
        <v>1.3</v>
      </c>
      <c r="K1913" t="s">
        <v>255</v>
      </c>
      <c r="L1913">
        <v>97.03</v>
      </c>
      <c r="M1913" t="s">
        <v>8827</v>
      </c>
      <c r="N1913" t="s">
        <v>6187</v>
      </c>
      <c r="O1913" t="s">
        <v>2261</v>
      </c>
      <c r="P1913" t="s">
        <v>3058</v>
      </c>
      <c r="Q1913">
        <v>52.04</v>
      </c>
      <c r="R1913" t="s">
        <v>2095</v>
      </c>
      <c r="S1913">
        <v>1.41</v>
      </c>
      <c r="T1913">
        <v>55.6</v>
      </c>
      <c r="U1913" t="s">
        <v>1858</v>
      </c>
      <c r="V1913" t="s">
        <v>4697</v>
      </c>
      <c r="W1913" t="s">
        <v>1375</v>
      </c>
      <c r="X1913">
        <v>1.3</v>
      </c>
      <c r="Y1913" t="s">
        <v>2523</v>
      </c>
      <c r="Z1913" t="s">
        <v>2280</v>
      </c>
      <c r="AA1913" t="s">
        <v>641</v>
      </c>
      <c r="AB1913">
        <v>1.42</v>
      </c>
      <c r="AC1913" t="s">
        <v>1029</v>
      </c>
      <c r="AD1913">
        <v>44.02</v>
      </c>
      <c r="AE1913" t="s">
        <v>250</v>
      </c>
      <c r="AF1913">
        <v>2.56</v>
      </c>
      <c r="AG1913">
        <v>0</v>
      </c>
      <c r="AH1913">
        <v>0</v>
      </c>
      <c r="AI1913" s="4">
        <v>42184</v>
      </c>
    </row>
    <row r="1914" spans="1:35">
      <c r="A1914">
        <v>1913</v>
      </c>
      <c r="B1914" t="str">
        <f>"601991"</f>
        <v>601991</v>
      </c>
      <c r="C1914" t="s">
        <v>9835</v>
      </c>
      <c r="D1914" s="4">
        <v>43190</v>
      </c>
      <c r="E1914" t="s">
        <v>5782</v>
      </c>
      <c r="F1914" t="s">
        <v>1948</v>
      </c>
      <c r="G1914">
        <v>0</v>
      </c>
      <c r="H1914">
        <v>0.03</v>
      </c>
      <c r="I1914">
        <v>2.99</v>
      </c>
      <c r="J1914">
        <v>1.3</v>
      </c>
      <c r="K1914" t="s">
        <v>1278</v>
      </c>
      <c r="L1914">
        <v>13.62</v>
      </c>
      <c r="M1914" t="s">
        <v>1223</v>
      </c>
      <c r="N1914" t="s">
        <v>1365</v>
      </c>
      <c r="O1914" t="s">
        <v>602</v>
      </c>
      <c r="P1914" t="s">
        <v>2922</v>
      </c>
      <c r="Q1914">
        <v>-14.19</v>
      </c>
      <c r="R1914" t="s">
        <v>6837</v>
      </c>
      <c r="S1914">
        <v>0.32</v>
      </c>
      <c r="T1914">
        <v>17.989999999999998</v>
      </c>
      <c r="U1914" t="s">
        <v>9836</v>
      </c>
      <c r="V1914" t="s">
        <v>2338</v>
      </c>
      <c r="W1914" t="s">
        <v>1883</v>
      </c>
      <c r="X1914">
        <v>1.3</v>
      </c>
      <c r="Y1914" t="s">
        <v>9837</v>
      </c>
      <c r="Z1914" t="s">
        <v>9628</v>
      </c>
      <c r="AA1914" t="s">
        <v>9838</v>
      </c>
      <c r="AB1914">
        <v>1.01</v>
      </c>
      <c r="AC1914" t="s">
        <v>4168</v>
      </c>
      <c r="AD1914">
        <v>22.01</v>
      </c>
      <c r="AE1914" t="s">
        <v>4462</v>
      </c>
      <c r="AF1914">
        <v>1.01</v>
      </c>
      <c r="AG1914">
        <v>0</v>
      </c>
      <c r="AH1914" t="s">
        <v>2028</v>
      </c>
      <c r="AI1914" s="4">
        <v>39071</v>
      </c>
    </row>
    <row r="1915" spans="1:35">
      <c r="A1915">
        <v>1914</v>
      </c>
      <c r="B1915" t="str">
        <f>"601567"</f>
        <v>601567</v>
      </c>
      <c r="C1915" t="s">
        <v>9839</v>
      </c>
      <c r="D1915" s="4">
        <v>43190</v>
      </c>
      <c r="E1915" t="s">
        <v>162</v>
      </c>
      <c r="F1915" t="s">
        <v>173</v>
      </c>
      <c r="G1915" t="s">
        <v>9840</v>
      </c>
      <c r="H1915">
        <v>7.0000000000000007E-2</v>
      </c>
      <c r="I1915">
        <v>5.07</v>
      </c>
      <c r="J1915">
        <v>1.3</v>
      </c>
      <c r="K1915" t="s">
        <v>973</v>
      </c>
      <c r="L1915">
        <v>24.46</v>
      </c>
      <c r="M1915" t="s">
        <v>1038</v>
      </c>
      <c r="N1915" t="s">
        <v>9841</v>
      </c>
      <c r="O1915" t="s">
        <v>595</v>
      </c>
      <c r="P1915" t="s">
        <v>3236</v>
      </c>
      <c r="Q1915">
        <v>2.61</v>
      </c>
      <c r="R1915" t="s">
        <v>1504</v>
      </c>
      <c r="S1915">
        <v>1.51</v>
      </c>
      <c r="T1915">
        <v>30.78</v>
      </c>
      <c r="U1915" t="s">
        <v>1279</v>
      </c>
      <c r="V1915" t="s">
        <v>1081</v>
      </c>
      <c r="W1915" t="s">
        <v>164</v>
      </c>
      <c r="X1915">
        <v>1.3</v>
      </c>
      <c r="Y1915" t="s">
        <v>225</v>
      </c>
      <c r="Z1915" t="s">
        <v>2917</v>
      </c>
      <c r="AA1915" t="s">
        <v>1052</v>
      </c>
      <c r="AB1915">
        <v>1.61</v>
      </c>
      <c r="AC1915" t="s">
        <v>1023</v>
      </c>
      <c r="AD1915">
        <v>55.35</v>
      </c>
      <c r="AE1915" t="s">
        <v>1396</v>
      </c>
      <c r="AF1915">
        <v>2.27</v>
      </c>
      <c r="AG1915">
        <v>0</v>
      </c>
      <c r="AH1915">
        <v>0</v>
      </c>
      <c r="AI1915" s="4">
        <v>40709</v>
      </c>
    </row>
    <row r="1916" spans="1:35">
      <c r="A1916">
        <v>1915</v>
      </c>
      <c r="B1916" t="str">
        <f>"601369"</f>
        <v>601369</v>
      </c>
      <c r="C1916" t="s">
        <v>9842</v>
      </c>
      <c r="D1916" s="4">
        <v>43190</v>
      </c>
      <c r="E1916" t="s">
        <v>76</v>
      </c>
      <c r="F1916" t="s">
        <v>76</v>
      </c>
      <c r="G1916" t="s">
        <v>9843</v>
      </c>
      <c r="H1916">
        <v>0.05</v>
      </c>
      <c r="I1916">
        <v>3.76</v>
      </c>
      <c r="J1916">
        <v>1.3</v>
      </c>
      <c r="K1916" t="s">
        <v>295</v>
      </c>
      <c r="L1916">
        <v>35.9</v>
      </c>
      <c r="M1916" t="s">
        <v>9844</v>
      </c>
      <c r="N1916" t="s">
        <v>8974</v>
      </c>
      <c r="O1916" t="s">
        <v>804</v>
      </c>
      <c r="P1916" t="s">
        <v>9845</v>
      </c>
      <c r="Q1916">
        <v>39.6</v>
      </c>
      <c r="R1916" t="s">
        <v>983</v>
      </c>
      <c r="S1916">
        <v>0.97</v>
      </c>
      <c r="T1916">
        <v>25.69</v>
      </c>
      <c r="U1916" t="s">
        <v>1751</v>
      </c>
      <c r="V1916" t="s">
        <v>410</v>
      </c>
      <c r="W1916" t="s">
        <v>833</v>
      </c>
      <c r="X1916">
        <v>1.3</v>
      </c>
      <c r="Y1916" t="s">
        <v>1086</v>
      </c>
      <c r="Z1916" t="s">
        <v>4995</v>
      </c>
      <c r="AA1916" t="s">
        <v>633</v>
      </c>
      <c r="AB1916">
        <v>1.67</v>
      </c>
      <c r="AC1916" t="s">
        <v>1701</v>
      </c>
      <c r="AD1916">
        <v>37.880000000000003</v>
      </c>
      <c r="AE1916" t="s">
        <v>891</v>
      </c>
      <c r="AF1916">
        <v>1.1399999999999999</v>
      </c>
      <c r="AG1916">
        <v>0</v>
      </c>
      <c r="AH1916">
        <v>0</v>
      </c>
      <c r="AI1916" s="4">
        <v>40296</v>
      </c>
    </row>
    <row r="1917" spans="1:35">
      <c r="A1917">
        <v>1916</v>
      </c>
      <c r="B1917" t="str">
        <f>"600996"</f>
        <v>600996</v>
      </c>
      <c r="C1917" t="s">
        <v>9846</v>
      </c>
      <c r="D1917" s="4">
        <v>43190</v>
      </c>
      <c r="E1917" t="s">
        <v>919</v>
      </c>
      <c r="F1917" t="s">
        <v>1810</v>
      </c>
      <c r="G1917">
        <v>5357</v>
      </c>
      <c r="H1917">
        <v>0.05</v>
      </c>
      <c r="I1917">
        <v>4.08</v>
      </c>
      <c r="J1917">
        <v>1.3</v>
      </c>
      <c r="K1917" t="s">
        <v>2056</v>
      </c>
      <c r="L1917">
        <v>42.82</v>
      </c>
      <c r="M1917" t="s">
        <v>5138</v>
      </c>
      <c r="N1917">
        <v>0</v>
      </c>
      <c r="O1917" t="s">
        <v>9847</v>
      </c>
      <c r="P1917" t="s">
        <v>9848</v>
      </c>
      <c r="Q1917">
        <v>5.96</v>
      </c>
      <c r="R1917" t="s">
        <v>162</v>
      </c>
      <c r="S1917">
        <v>1.37</v>
      </c>
      <c r="T1917">
        <v>30.09</v>
      </c>
      <c r="U1917" t="s">
        <v>3556</v>
      </c>
      <c r="V1917" t="s">
        <v>451</v>
      </c>
      <c r="W1917" t="s">
        <v>1248</v>
      </c>
      <c r="X1917">
        <v>1.3</v>
      </c>
      <c r="Y1917" t="s">
        <v>5794</v>
      </c>
      <c r="Z1917" t="s">
        <v>2267</v>
      </c>
      <c r="AA1917" t="s">
        <v>155</v>
      </c>
      <c r="AB1917">
        <v>1.81</v>
      </c>
      <c r="AC1917" t="s">
        <v>2105</v>
      </c>
      <c r="AD1917">
        <v>46.69</v>
      </c>
      <c r="AE1917" t="s">
        <v>847</v>
      </c>
      <c r="AF1917">
        <v>1.54</v>
      </c>
      <c r="AG1917">
        <v>0</v>
      </c>
      <c r="AH1917">
        <v>0</v>
      </c>
      <c r="AI1917" s="4">
        <v>42730</v>
      </c>
    </row>
    <row r="1918" spans="1:35">
      <c r="A1918">
        <v>1917</v>
      </c>
      <c r="B1918" t="str">
        <f>"600592"</f>
        <v>600592</v>
      </c>
      <c r="C1918" t="s">
        <v>9849</v>
      </c>
      <c r="D1918" s="4">
        <v>43190</v>
      </c>
      <c r="E1918" t="s">
        <v>150</v>
      </c>
      <c r="F1918" t="s">
        <v>150</v>
      </c>
      <c r="G1918" t="s">
        <v>210</v>
      </c>
      <c r="H1918">
        <v>0.06</v>
      </c>
      <c r="I1918">
        <v>4.74</v>
      </c>
      <c r="J1918">
        <v>1.3</v>
      </c>
      <c r="K1918" t="s">
        <v>122</v>
      </c>
      <c r="L1918">
        <v>37.840000000000003</v>
      </c>
      <c r="M1918" t="s">
        <v>3663</v>
      </c>
      <c r="N1918" t="s">
        <v>2850</v>
      </c>
      <c r="O1918" t="s">
        <v>9850</v>
      </c>
      <c r="P1918" t="s">
        <v>9851</v>
      </c>
      <c r="Q1918">
        <v>171.61</v>
      </c>
      <c r="R1918" t="s">
        <v>1806</v>
      </c>
      <c r="S1918">
        <v>1.19</v>
      </c>
      <c r="T1918">
        <v>28.09</v>
      </c>
      <c r="U1918" t="s">
        <v>725</v>
      </c>
      <c r="V1918" t="s">
        <v>584</v>
      </c>
      <c r="W1918" t="s">
        <v>690</v>
      </c>
      <c r="X1918">
        <v>1.3</v>
      </c>
      <c r="Y1918" t="s">
        <v>1978</v>
      </c>
      <c r="Z1918" t="s">
        <v>301</v>
      </c>
      <c r="AA1918" t="s">
        <v>1483</v>
      </c>
      <c r="AB1918">
        <v>1.28</v>
      </c>
      <c r="AC1918" t="s">
        <v>308</v>
      </c>
      <c r="AD1918">
        <v>69.17</v>
      </c>
      <c r="AE1918" t="s">
        <v>1993</v>
      </c>
      <c r="AF1918">
        <v>1.74</v>
      </c>
      <c r="AG1918">
        <v>0</v>
      </c>
      <c r="AH1918">
        <v>0</v>
      </c>
      <c r="AI1918" s="4">
        <v>37473</v>
      </c>
    </row>
    <row r="1919" spans="1:35">
      <c r="A1919">
        <v>1918</v>
      </c>
      <c r="B1919" t="str">
        <f>"600101"</f>
        <v>600101</v>
      </c>
      <c r="C1919" t="s">
        <v>9852</v>
      </c>
      <c r="D1919" s="4">
        <v>43190</v>
      </c>
      <c r="E1919" t="s">
        <v>144</v>
      </c>
      <c r="F1919" t="s">
        <v>144</v>
      </c>
      <c r="G1919">
        <v>8292</v>
      </c>
      <c r="H1919">
        <v>0.08</v>
      </c>
      <c r="I1919">
        <v>6.5</v>
      </c>
      <c r="J1919">
        <v>1.3</v>
      </c>
      <c r="K1919" t="s">
        <v>498</v>
      </c>
      <c r="L1919">
        <v>13.25</v>
      </c>
      <c r="M1919" t="s">
        <v>9853</v>
      </c>
      <c r="N1919" t="s">
        <v>6597</v>
      </c>
      <c r="O1919" t="s">
        <v>3009</v>
      </c>
      <c r="P1919" t="s">
        <v>6310</v>
      </c>
      <c r="Q1919">
        <v>9.82</v>
      </c>
      <c r="R1919" t="s">
        <v>613</v>
      </c>
      <c r="S1919">
        <v>3.57</v>
      </c>
      <c r="T1919">
        <v>13.55</v>
      </c>
      <c r="U1919" t="s">
        <v>756</v>
      </c>
      <c r="V1919" t="s">
        <v>1405</v>
      </c>
      <c r="W1919" t="s">
        <v>308</v>
      </c>
      <c r="X1919">
        <v>1.3</v>
      </c>
      <c r="Y1919" t="s">
        <v>2250</v>
      </c>
      <c r="Z1919" t="s">
        <v>1761</v>
      </c>
      <c r="AA1919" t="s">
        <v>1152</v>
      </c>
      <c r="AB1919">
        <v>1.01</v>
      </c>
      <c r="AC1919" t="s">
        <v>576</v>
      </c>
      <c r="AD1919">
        <v>69.010000000000005</v>
      </c>
      <c r="AE1919" t="s">
        <v>1703</v>
      </c>
      <c r="AF1919">
        <v>1.5</v>
      </c>
      <c r="AG1919">
        <v>0</v>
      </c>
      <c r="AH1919">
        <v>0</v>
      </c>
      <c r="AI1919" s="4">
        <v>35608</v>
      </c>
    </row>
    <row r="1920" spans="1:35">
      <c r="A1920">
        <v>1919</v>
      </c>
      <c r="B1920" t="str">
        <f>"603012"</f>
        <v>603012</v>
      </c>
      <c r="C1920" t="s">
        <v>9854</v>
      </c>
      <c r="D1920" s="4">
        <v>43190</v>
      </c>
      <c r="E1920" t="s">
        <v>1909</v>
      </c>
      <c r="F1920" t="s">
        <v>1909</v>
      </c>
      <c r="G1920" t="s">
        <v>1755</v>
      </c>
      <c r="H1920">
        <v>0.05</v>
      </c>
      <c r="I1920">
        <v>4.0599999999999996</v>
      </c>
      <c r="J1920">
        <v>1.29</v>
      </c>
      <c r="K1920" t="s">
        <v>2889</v>
      </c>
      <c r="L1920">
        <v>29.54</v>
      </c>
      <c r="M1920" t="s">
        <v>7682</v>
      </c>
      <c r="N1920" t="s">
        <v>9855</v>
      </c>
      <c r="O1920" t="s">
        <v>7760</v>
      </c>
      <c r="P1920" t="s">
        <v>6462</v>
      </c>
      <c r="Q1920">
        <v>18.75</v>
      </c>
      <c r="R1920" t="s">
        <v>2421</v>
      </c>
      <c r="S1920">
        <v>1.52</v>
      </c>
      <c r="T1920">
        <v>37.049999999999997</v>
      </c>
      <c r="U1920" t="s">
        <v>1581</v>
      </c>
      <c r="V1920" t="s">
        <v>238</v>
      </c>
      <c r="W1920" t="s">
        <v>2268</v>
      </c>
      <c r="X1920">
        <v>1.29</v>
      </c>
      <c r="Y1920" t="s">
        <v>1025</v>
      </c>
      <c r="Z1920" t="s">
        <v>602</v>
      </c>
      <c r="AA1920" t="s">
        <v>3768</v>
      </c>
      <c r="AB1920">
        <v>1.56</v>
      </c>
      <c r="AC1920" t="s">
        <v>1504</v>
      </c>
      <c r="AD1920">
        <v>65.38</v>
      </c>
      <c r="AE1920" t="s">
        <v>2683</v>
      </c>
      <c r="AF1920">
        <v>1.35</v>
      </c>
      <c r="AG1920">
        <v>0</v>
      </c>
      <c r="AH1920">
        <v>0</v>
      </c>
      <c r="AI1920" s="4">
        <v>42083</v>
      </c>
    </row>
    <row r="1921" spans="1:35">
      <c r="A1921">
        <v>1920</v>
      </c>
      <c r="B1921" t="str">
        <f>"600979"</f>
        <v>600979</v>
      </c>
      <c r="C1921" t="s">
        <v>9856</v>
      </c>
      <c r="D1921" s="4">
        <v>43190</v>
      </c>
      <c r="E1921" t="s">
        <v>4224</v>
      </c>
      <c r="F1921" t="s">
        <v>2061</v>
      </c>
      <c r="G1921" t="s">
        <v>2234</v>
      </c>
      <c r="H1921">
        <v>0.05</v>
      </c>
      <c r="I1921">
        <v>3.75</v>
      </c>
      <c r="J1921">
        <v>1.29</v>
      </c>
      <c r="K1921" t="s">
        <v>2563</v>
      </c>
      <c r="L1921">
        <v>10.84</v>
      </c>
      <c r="M1921" t="s">
        <v>3899</v>
      </c>
      <c r="N1921" t="s">
        <v>3991</v>
      </c>
      <c r="O1921" t="s">
        <v>9857</v>
      </c>
      <c r="P1921" t="s">
        <v>9858</v>
      </c>
      <c r="Q1921">
        <v>-2.02</v>
      </c>
      <c r="R1921" t="s">
        <v>1671</v>
      </c>
      <c r="S1921">
        <v>0.71</v>
      </c>
      <c r="T1921">
        <v>25.31</v>
      </c>
      <c r="U1921" t="s">
        <v>3702</v>
      </c>
      <c r="V1921" t="s">
        <v>391</v>
      </c>
      <c r="W1921" t="s">
        <v>2736</v>
      </c>
      <c r="X1921">
        <v>1.29</v>
      </c>
      <c r="Y1921" t="s">
        <v>1305</v>
      </c>
      <c r="Z1921" t="s">
        <v>141</v>
      </c>
      <c r="AA1921" t="s">
        <v>774</v>
      </c>
      <c r="AB1921">
        <v>1.23</v>
      </c>
      <c r="AC1921" t="s">
        <v>431</v>
      </c>
      <c r="AD1921">
        <v>45.77</v>
      </c>
      <c r="AE1921" t="s">
        <v>1101</v>
      </c>
      <c r="AF1921">
        <v>1.93</v>
      </c>
      <c r="AG1921">
        <v>0</v>
      </c>
      <c r="AH1921">
        <v>0</v>
      </c>
      <c r="AI1921" s="4">
        <v>38236</v>
      </c>
    </row>
    <row r="1922" spans="1:35">
      <c r="A1922">
        <v>1921</v>
      </c>
      <c r="B1922" t="str">
        <f>"600909"</f>
        <v>600909</v>
      </c>
      <c r="C1922" t="s">
        <v>9859</v>
      </c>
      <c r="D1922" s="4">
        <v>43190</v>
      </c>
      <c r="E1922" t="s">
        <v>3562</v>
      </c>
      <c r="F1922" t="s">
        <v>158</v>
      </c>
      <c r="G1922" t="s">
        <v>6893</v>
      </c>
      <c r="H1922">
        <v>0.04</v>
      </c>
      <c r="I1922">
        <v>3.42</v>
      </c>
      <c r="J1922">
        <v>1.29</v>
      </c>
      <c r="K1922" t="s">
        <v>749</v>
      </c>
      <c r="L1922">
        <v>-6.35</v>
      </c>
      <c r="M1922" t="s">
        <v>1264</v>
      </c>
      <c r="N1922" t="s">
        <v>372</v>
      </c>
      <c r="O1922" t="s">
        <v>1264</v>
      </c>
      <c r="P1922" t="s">
        <v>1689</v>
      </c>
      <c r="Q1922">
        <v>-3.96</v>
      </c>
      <c r="R1922" t="s">
        <v>514</v>
      </c>
      <c r="S1922">
        <v>0.59</v>
      </c>
      <c r="T1922">
        <v>0</v>
      </c>
      <c r="U1922" t="s">
        <v>7029</v>
      </c>
      <c r="V1922">
        <v>0</v>
      </c>
      <c r="W1922" t="s">
        <v>1799</v>
      </c>
      <c r="X1922">
        <v>1.29</v>
      </c>
      <c r="Y1922" t="s">
        <v>9574</v>
      </c>
      <c r="Z1922">
        <v>0</v>
      </c>
      <c r="AA1922">
        <v>0</v>
      </c>
      <c r="AB1922">
        <v>1.66</v>
      </c>
      <c r="AC1922" t="s">
        <v>410</v>
      </c>
      <c r="AD1922">
        <v>26.45</v>
      </c>
      <c r="AE1922" t="s">
        <v>3217</v>
      </c>
      <c r="AF1922">
        <v>1.41</v>
      </c>
      <c r="AG1922">
        <v>0</v>
      </c>
      <c r="AH1922">
        <v>0</v>
      </c>
      <c r="AI1922" s="4">
        <v>42710</v>
      </c>
    </row>
    <row r="1923" spans="1:35">
      <c r="A1923">
        <v>1922</v>
      </c>
      <c r="B1923" t="str">
        <f>"600675"</f>
        <v>600675</v>
      </c>
      <c r="C1923" t="s">
        <v>9860</v>
      </c>
      <c r="D1923" s="4">
        <v>43190</v>
      </c>
      <c r="E1923" t="s">
        <v>3386</v>
      </c>
      <c r="F1923" t="s">
        <v>516</v>
      </c>
      <c r="G1923" t="s">
        <v>2312</v>
      </c>
      <c r="H1923">
        <v>0.01</v>
      </c>
      <c r="I1923">
        <v>3.93</v>
      </c>
      <c r="J1923">
        <v>1.29</v>
      </c>
      <c r="K1923" t="s">
        <v>835</v>
      </c>
      <c r="L1923">
        <v>-31.81</v>
      </c>
      <c r="M1923" t="s">
        <v>9861</v>
      </c>
      <c r="N1923" t="s">
        <v>9862</v>
      </c>
      <c r="O1923" t="s">
        <v>9863</v>
      </c>
      <c r="P1923" t="s">
        <v>8870</v>
      </c>
      <c r="Q1923">
        <v>299.18</v>
      </c>
      <c r="R1923" t="s">
        <v>300</v>
      </c>
      <c r="S1923">
        <v>0.26</v>
      </c>
      <c r="T1923">
        <v>16.82</v>
      </c>
      <c r="U1923" t="s">
        <v>927</v>
      </c>
      <c r="V1923" t="s">
        <v>5122</v>
      </c>
      <c r="W1923" t="s">
        <v>2519</v>
      </c>
      <c r="X1923">
        <v>1.29</v>
      </c>
      <c r="Y1923" t="s">
        <v>2799</v>
      </c>
      <c r="Z1923" t="s">
        <v>2491</v>
      </c>
      <c r="AA1923" t="s">
        <v>3303</v>
      </c>
      <c r="AB1923">
        <v>1.27</v>
      </c>
      <c r="AC1923" t="s">
        <v>4558</v>
      </c>
      <c r="AD1923">
        <v>13.51</v>
      </c>
      <c r="AE1923" t="s">
        <v>7782</v>
      </c>
      <c r="AF1923">
        <v>2.56</v>
      </c>
      <c r="AG1923">
        <v>0</v>
      </c>
      <c r="AH1923">
        <v>0</v>
      </c>
      <c r="AI1923" s="4">
        <v>34236</v>
      </c>
    </row>
    <row r="1924" spans="1:35">
      <c r="A1924">
        <v>1923</v>
      </c>
      <c r="B1924" t="str">
        <f>"600667"</f>
        <v>600667</v>
      </c>
      <c r="C1924" t="s">
        <v>9864</v>
      </c>
      <c r="D1924" s="4">
        <v>43190</v>
      </c>
      <c r="E1924" t="s">
        <v>576</v>
      </c>
      <c r="F1924" t="s">
        <v>1033</v>
      </c>
      <c r="G1924" t="s">
        <v>5991</v>
      </c>
      <c r="H1924">
        <v>0.04</v>
      </c>
      <c r="I1924">
        <v>2.79</v>
      </c>
      <c r="J1924">
        <v>1.29</v>
      </c>
      <c r="K1924" t="s">
        <v>816</v>
      </c>
      <c r="L1924">
        <v>61.11</v>
      </c>
      <c r="M1924" t="s">
        <v>280</v>
      </c>
      <c r="N1924" t="s">
        <v>9865</v>
      </c>
      <c r="O1924" t="s">
        <v>322</v>
      </c>
      <c r="P1924" t="s">
        <v>9866</v>
      </c>
      <c r="Q1924">
        <v>89.05</v>
      </c>
      <c r="R1924" t="s">
        <v>1584</v>
      </c>
      <c r="S1924">
        <v>0.28999999999999998</v>
      </c>
      <c r="T1924">
        <v>11.92</v>
      </c>
      <c r="U1924" t="s">
        <v>1982</v>
      </c>
      <c r="V1924" t="s">
        <v>3449</v>
      </c>
      <c r="W1924" t="s">
        <v>1061</v>
      </c>
      <c r="X1924">
        <v>1.29</v>
      </c>
      <c r="Y1924" t="s">
        <v>590</v>
      </c>
      <c r="Z1924" t="s">
        <v>6654</v>
      </c>
      <c r="AA1924" t="s">
        <v>876</v>
      </c>
      <c r="AB1924">
        <v>2.56</v>
      </c>
      <c r="AC1924" t="s">
        <v>1878</v>
      </c>
      <c r="AD1924">
        <v>33.31</v>
      </c>
      <c r="AE1924" t="s">
        <v>1285</v>
      </c>
      <c r="AF1924">
        <v>1.49</v>
      </c>
      <c r="AG1924">
        <v>0</v>
      </c>
      <c r="AH1924">
        <v>0</v>
      </c>
      <c r="AI1924" s="4">
        <v>34178</v>
      </c>
    </row>
    <row r="1925" spans="1:35">
      <c r="A1925">
        <v>1924</v>
      </c>
      <c r="B1925" t="str">
        <f>"600644"</f>
        <v>600644</v>
      </c>
      <c r="C1925" t="s">
        <v>9867</v>
      </c>
      <c r="D1925" s="4">
        <v>43190</v>
      </c>
      <c r="E1925" t="s">
        <v>2587</v>
      </c>
      <c r="F1925" t="s">
        <v>2587</v>
      </c>
      <c r="G1925" t="s">
        <v>3438</v>
      </c>
      <c r="H1925">
        <v>0.03</v>
      </c>
      <c r="I1925">
        <v>2.4</v>
      </c>
      <c r="J1925">
        <v>1.29</v>
      </c>
      <c r="K1925" t="s">
        <v>1731</v>
      </c>
      <c r="L1925">
        <v>6.2</v>
      </c>
      <c r="M1925" t="s">
        <v>8543</v>
      </c>
      <c r="N1925">
        <v>0</v>
      </c>
      <c r="O1925" t="s">
        <v>9868</v>
      </c>
      <c r="P1925" t="s">
        <v>9869</v>
      </c>
      <c r="Q1925">
        <v>-44.03</v>
      </c>
      <c r="R1925" t="s">
        <v>9870</v>
      </c>
      <c r="S1925">
        <v>-1.36</v>
      </c>
      <c r="T1925">
        <v>21.44</v>
      </c>
      <c r="U1925" t="s">
        <v>1161</v>
      </c>
      <c r="V1925" t="s">
        <v>1695</v>
      </c>
      <c r="W1925" t="s">
        <v>173</v>
      </c>
      <c r="X1925">
        <v>1.29</v>
      </c>
      <c r="Y1925" t="s">
        <v>833</v>
      </c>
      <c r="Z1925" t="s">
        <v>1506</v>
      </c>
      <c r="AA1925" t="s">
        <v>3900</v>
      </c>
      <c r="AB1925">
        <v>1.9</v>
      </c>
      <c r="AC1925" t="s">
        <v>101</v>
      </c>
      <c r="AD1925">
        <v>42.52</v>
      </c>
      <c r="AE1925" t="s">
        <v>176</v>
      </c>
      <c r="AF1925">
        <v>2.57</v>
      </c>
      <c r="AG1925">
        <v>0</v>
      </c>
      <c r="AH1925">
        <v>0</v>
      </c>
      <c r="AI1925" s="4">
        <v>34085</v>
      </c>
    </row>
    <row r="1926" spans="1:35">
      <c r="A1926">
        <v>1925</v>
      </c>
      <c r="B1926" t="str">
        <f>"600630"</f>
        <v>600630</v>
      </c>
      <c r="C1926" t="s">
        <v>9871</v>
      </c>
      <c r="D1926" s="4">
        <v>43190</v>
      </c>
      <c r="E1926" t="s">
        <v>599</v>
      </c>
      <c r="F1926" t="s">
        <v>599</v>
      </c>
      <c r="G1926">
        <v>5417</v>
      </c>
      <c r="H1926">
        <v>0.06</v>
      </c>
      <c r="I1926">
        <v>4.32</v>
      </c>
      <c r="J1926">
        <v>1.29</v>
      </c>
      <c r="K1926" t="s">
        <v>1079</v>
      </c>
      <c r="L1926">
        <v>13.75</v>
      </c>
      <c r="M1926" t="s">
        <v>5139</v>
      </c>
      <c r="N1926">
        <v>0</v>
      </c>
      <c r="O1926" t="s">
        <v>9872</v>
      </c>
      <c r="P1926" t="s">
        <v>5671</v>
      </c>
      <c r="Q1926">
        <v>10.39</v>
      </c>
      <c r="R1926" t="s">
        <v>155</v>
      </c>
      <c r="S1926">
        <v>1.07</v>
      </c>
      <c r="T1926">
        <v>28.46</v>
      </c>
      <c r="U1926" t="s">
        <v>512</v>
      </c>
      <c r="V1926" t="s">
        <v>449</v>
      </c>
      <c r="W1926" t="s">
        <v>186</v>
      </c>
      <c r="X1926">
        <v>1.29</v>
      </c>
      <c r="Y1926" t="s">
        <v>1651</v>
      </c>
      <c r="Z1926" t="s">
        <v>1487</v>
      </c>
      <c r="AA1926" t="s">
        <v>2084</v>
      </c>
      <c r="AB1926">
        <v>1.67</v>
      </c>
      <c r="AC1926" t="s">
        <v>980</v>
      </c>
      <c r="AD1926">
        <v>71.069999999999993</v>
      </c>
      <c r="AE1926" t="s">
        <v>2537</v>
      </c>
      <c r="AF1926">
        <v>2.2000000000000002</v>
      </c>
      <c r="AG1926">
        <v>0</v>
      </c>
      <c r="AH1926">
        <v>0</v>
      </c>
      <c r="AI1926" s="4">
        <v>34009</v>
      </c>
    </row>
    <row r="1927" spans="1:35">
      <c r="A1927">
        <v>1926</v>
      </c>
      <c r="B1927" t="str">
        <f>"300696"</f>
        <v>300696</v>
      </c>
      <c r="C1927" t="s">
        <v>9873</v>
      </c>
      <c r="D1927" s="4">
        <v>43190</v>
      </c>
      <c r="E1927" t="s">
        <v>642</v>
      </c>
      <c r="F1927" t="s">
        <v>9370</v>
      </c>
      <c r="G1927">
        <v>1155</v>
      </c>
      <c r="H1927">
        <v>0.08</v>
      </c>
      <c r="I1927">
        <v>5.87</v>
      </c>
      <c r="J1927">
        <v>1.29</v>
      </c>
      <c r="K1927" t="s">
        <v>9874</v>
      </c>
      <c r="L1927">
        <v>8.98</v>
      </c>
      <c r="M1927" t="s">
        <v>9122</v>
      </c>
      <c r="N1927" t="s">
        <v>4328</v>
      </c>
      <c r="O1927" t="s">
        <v>1466</v>
      </c>
      <c r="P1927" t="s">
        <v>9875</v>
      </c>
      <c r="Q1927">
        <v>11.37</v>
      </c>
      <c r="R1927" t="s">
        <v>595</v>
      </c>
      <c r="S1927">
        <v>0.97</v>
      </c>
      <c r="T1927">
        <v>74.709999999999994</v>
      </c>
      <c r="U1927" t="s">
        <v>1957</v>
      </c>
      <c r="V1927" t="s">
        <v>106</v>
      </c>
      <c r="W1927" t="s">
        <v>93</v>
      </c>
      <c r="X1927">
        <v>1.29</v>
      </c>
      <c r="Y1927" t="s">
        <v>9876</v>
      </c>
      <c r="Z1927" t="s">
        <v>9877</v>
      </c>
      <c r="AA1927" t="s">
        <v>9878</v>
      </c>
      <c r="AB1927">
        <v>5.13</v>
      </c>
      <c r="AC1927" t="s">
        <v>918</v>
      </c>
      <c r="AD1927">
        <v>91.8</v>
      </c>
      <c r="AE1927" t="s">
        <v>5374</v>
      </c>
      <c r="AF1927">
        <v>3.7</v>
      </c>
      <c r="AG1927">
        <v>0</v>
      </c>
      <c r="AH1927">
        <v>0</v>
      </c>
      <c r="AI1927" s="4">
        <v>42969</v>
      </c>
    </row>
    <row r="1928" spans="1:35">
      <c r="A1928">
        <v>1927</v>
      </c>
      <c r="B1928" t="str">
        <f>"300515"</f>
        <v>300515</v>
      </c>
      <c r="C1928" t="s">
        <v>9879</v>
      </c>
      <c r="D1928" s="4">
        <v>43190</v>
      </c>
      <c r="E1928" t="s">
        <v>293</v>
      </c>
      <c r="F1928" t="s">
        <v>9880</v>
      </c>
      <c r="G1928">
        <v>5383</v>
      </c>
      <c r="H1928">
        <v>0.03</v>
      </c>
      <c r="I1928">
        <v>2.21</v>
      </c>
      <c r="J1928">
        <v>1.29</v>
      </c>
      <c r="K1928" t="s">
        <v>9881</v>
      </c>
      <c r="L1928">
        <v>-8.39</v>
      </c>
      <c r="M1928" t="s">
        <v>2967</v>
      </c>
      <c r="N1928" t="s">
        <v>5090</v>
      </c>
      <c r="O1928" t="s">
        <v>2967</v>
      </c>
      <c r="P1928" t="s">
        <v>9334</v>
      </c>
      <c r="Q1928">
        <v>-24.05</v>
      </c>
      <c r="R1928" t="s">
        <v>322</v>
      </c>
      <c r="S1928">
        <v>0.56000000000000005</v>
      </c>
      <c r="T1928">
        <v>57.68</v>
      </c>
      <c r="U1928" t="s">
        <v>318</v>
      </c>
      <c r="V1928" t="s">
        <v>3027</v>
      </c>
      <c r="W1928" t="s">
        <v>9882</v>
      </c>
      <c r="X1928">
        <v>1.29</v>
      </c>
      <c r="Y1928" t="s">
        <v>9883</v>
      </c>
      <c r="Z1928" t="s">
        <v>8388</v>
      </c>
      <c r="AA1928" t="s">
        <v>3974</v>
      </c>
      <c r="AB1928">
        <v>4.95</v>
      </c>
      <c r="AC1928" t="s">
        <v>2625</v>
      </c>
      <c r="AD1928">
        <v>84.13</v>
      </c>
      <c r="AE1928" t="s">
        <v>804</v>
      </c>
      <c r="AF1928">
        <v>0.55000000000000004</v>
      </c>
      <c r="AG1928">
        <v>0</v>
      </c>
      <c r="AH1928">
        <v>0</v>
      </c>
      <c r="AI1928" s="4">
        <v>42529</v>
      </c>
    </row>
    <row r="1929" spans="1:35">
      <c r="A1929">
        <v>1928</v>
      </c>
      <c r="B1929" t="str">
        <f>"300269"</f>
        <v>300269</v>
      </c>
      <c r="C1929" t="s">
        <v>9884</v>
      </c>
      <c r="D1929" s="4">
        <v>43190</v>
      </c>
      <c r="E1929" t="s">
        <v>1480</v>
      </c>
      <c r="F1929" t="s">
        <v>1968</v>
      </c>
      <c r="G1929" t="s">
        <v>6078</v>
      </c>
      <c r="H1929">
        <v>0.02</v>
      </c>
      <c r="I1929">
        <v>8.01</v>
      </c>
      <c r="J1929">
        <v>1.29</v>
      </c>
      <c r="K1929" t="s">
        <v>1868</v>
      </c>
      <c r="L1929">
        <v>14.87</v>
      </c>
      <c r="M1929" t="s">
        <v>9885</v>
      </c>
      <c r="N1929" t="s">
        <v>5510</v>
      </c>
      <c r="O1929" t="s">
        <v>9886</v>
      </c>
      <c r="P1929" t="s">
        <v>8719</v>
      </c>
      <c r="Q1929">
        <v>-79.319999999999993</v>
      </c>
      <c r="R1929" t="s">
        <v>1018</v>
      </c>
      <c r="S1929">
        <v>0.82</v>
      </c>
      <c r="T1929">
        <v>28.74</v>
      </c>
      <c r="U1929" t="s">
        <v>9297</v>
      </c>
      <c r="V1929" t="s">
        <v>2523</v>
      </c>
      <c r="W1929" t="s">
        <v>1770</v>
      </c>
      <c r="X1929">
        <v>1.29</v>
      </c>
      <c r="Y1929" t="s">
        <v>756</v>
      </c>
      <c r="Z1929" t="s">
        <v>570</v>
      </c>
      <c r="AA1929" t="s">
        <v>2577</v>
      </c>
      <c r="AB1929">
        <v>0.92</v>
      </c>
      <c r="AC1929" t="s">
        <v>3605</v>
      </c>
      <c r="AD1929">
        <v>61.71</v>
      </c>
      <c r="AE1929" t="s">
        <v>1258</v>
      </c>
      <c r="AF1929">
        <v>6.48</v>
      </c>
      <c r="AG1929">
        <v>0</v>
      </c>
      <c r="AH1929">
        <v>0</v>
      </c>
      <c r="AI1929" s="4">
        <v>40828</v>
      </c>
    </row>
    <row r="1930" spans="1:35">
      <c r="A1930">
        <v>1929</v>
      </c>
      <c r="B1930" t="str">
        <f>"002686"</f>
        <v>002686</v>
      </c>
      <c r="C1930" t="s">
        <v>9887</v>
      </c>
      <c r="D1930" s="4">
        <v>43190</v>
      </c>
      <c r="E1930" t="s">
        <v>1563</v>
      </c>
      <c r="F1930" t="s">
        <v>90</v>
      </c>
      <c r="G1930" t="s">
        <v>6919</v>
      </c>
      <c r="H1930">
        <v>0.04</v>
      </c>
      <c r="I1930">
        <v>3.44</v>
      </c>
      <c r="J1930">
        <v>1.29</v>
      </c>
      <c r="K1930" t="s">
        <v>1184</v>
      </c>
      <c r="L1930">
        <v>32.96</v>
      </c>
      <c r="M1930" t="s">
        <v>8507</v>
      </c>
      <c r="N1930" t="s">
        <v>4624</v>
      </c>
      <c r="O1930" t="s">
        <v>7698</v>
      </c>
      <c r="P1930" t="s">
        <v>5438</v>
      </c>
      <c r="Q1930">
        <v>18.350000000000001</v>
      </c>
      <c r="R1930" t="s">
        <v>3471</v>
      </c>
      <c r="S1930">
        <v>1.22</v>
      </c>
      <c r="T1930">
        <v>29.84</v>
      </c>
      <c r="U1930" t="s">
        <v>818</v>
      </c>
      <c r="V1930" t="s">
        <v>855</v>
      </c>
      <c r="W1930" t="s">
        <v>2647</v>
      </c>
      <c r="X1930">
        <v>1.29</v>
      </c>
      <c r="Y1930" t="s">
        <v>263</v>
      </c>
      <c r="Z1930" t="s">
        <v>978</v>
      </c>
      <c r="AA1930" t="s">
        <v>104</v>
      </c>
      <c r="AB1930">
        <v>2.29</v>
      </c>
      <c r="AC1930" t="s">
        <v>391</v>
      </c>
      <c r="AD1930">
        <v>46.48</v>
      </c>
      <c r="AE1930" t="s">
        <v>169</v>
      </c>
      <c r="AF1930">
        <v>1.1399999999999999</v>
      </c>
      <c r="AG1930">
        <v>0</v>
      </c>
      <c r="AH1930">
        <v>0</v>
      </c>
      <c r="AI1930" s="4">
        <v>41093</v>
      </c>
    </row>
    <row r="1931" spans="1:35">
      <c r="A1931">
        <v>1930</v>
      </c>
      <c r="B1931" t="str">
        <f>"002438"</f>
        <v>002438</v>
      </c>
      <c r="C1931" t="s">
        <v>9888</v>
      </c>
      <c r="D1931" s="4">
        <v>43190</v>
      </c>
      <c r="E1931" t="s">
        <v>1436</v>
      </c>
      <c r="F1931" t="s">
        <v>1968</v>
      </c>
      <c r="G1931" t="s">
        <v>210</v>
      </c>
      <c r="H1931">
        <v>0.05</v>
      </c>
      <c r="I1931">
        <v>3.59</v>
      </c>
      <c r="J1931">
        <v>1.29</v>
      </c>
      <c r="K1931" t="s">
        <v>2889</v>
      </c>
      <c r="L1931">
        <v>61.57</v>
      </c>
      <c r="M1931" t="s">
        <v>8575</v>
      </c>
      <c r="N1931" t="s">
        <v>1321</v>
      </c>
      <c r="O1931" t="s">
        <v>9889</v>
      </c>
      <c r="P1931" t="s">
        <v>9127</v>
      </c>
      <c r="Q1931">
        <v>49.3</v>
      </c>
      <c r="R1931" t="s">
        <v>2953</v>
      </c>
      <c r="S1931">
        <v>0.81</v>
      </c>
      <c r="T1931">
        <v>30.77</v>
      </c>
      <c r="U1931" t="s">
        <v>583</v>
      </c>
      <c r="V1931" t="s">
        <v>510</v>
      </c>
      <c r="W1931" t="s">
        <v>92</v>
      </c>
      <c r="X1931">
        <v>1.29</v>
      </c>
      <c r="Y1931" t="s">
        <v>982</v>
      </c>
      <c r="Z1931" t="s">
        <v>602</v>
      </c>
      <c r="AA1931" t="s">
        <v>1626</v>
      </c>
      <c r="AB1931">
        <v>1.69</v>
      </c>
      <c r="AC1931" t="s">
        <v>867</v>
      </c>
      <c r="AD1931">
        <v>58.88</v>
      </c>
      <c r="AE1931" t="s">
        <v>1414</v>
      </c>
      <c r="AF1931">
        <v>1.68</v>
      </c>
      <c r="AG1931">
        <v>0</v>
      </c>
      <c r="AH1931">
        <v>0</v>
      </c>
      <c r="AI1931" s="4">
        <v>40352</v>
      </c>
    </row>
    <row r="1932" spans="1:35">
      <c r="A1932">
        <v>1931</v>
      </c>
      <c r="B1932" t="str">
        <f>"000920"</f>
        <v>000920</v>
      </c>
      <c r="C1932" t="s">
        <v>9890</v>
      </c>
      <c r="D1932" s="4">
        <v>43190</v>
      </c>
      <c r="E1932" t="s">
        <v>662</v>
      </c>
      <c r="F1932" t="s">
        <v>662</v>
      </c>
      <c r="G1932" t="s">
        <v>2258</v>
      </c>
      <c r="H1932">
        <v>0.03</v>
      </c>
      <c r="I1932">
        <v>1.94</v>
      </c>
      <c r="J1932">
        <v>1.29</v>
      </c>
      <c r="K1932" t="s">
        <v>1417</v>
      </c>
      <c r="L1932">
        <v>-14.27</v>
      </c>
      <c r="M1932" t="s">
        <v>9891</v>
      </c>
      <c r="N1932" t="s">
        <v>4057</v>
      </c>
      <c r="O1932" t="s">
        <v>9892</v>
      </c>
      <c r="P1932" t="s">
        <v>1635</v>
      </c>
      <c r="Q1932">
        <v>-66.94</v>
      </c>
      <c r="R1932" t="s">
        <v>486</v>
      </c>
      <c r="S1932">
        <v>0.64</v>
      </c>
      <c r="T1932">
        <v>39.44</v>
      </c>
      <c r="U1932" t="s">
        <v>1343</v>
      </c>
      <c r="V1932" t="s">
        <v>196</v>
      </c>
      <c r="W1932" t="s">
        <v>1012</v>
      </c>
      <c r="X1932">
        <v>1.29</v>
      </c>
      <c r="Y1932" t="s">
        <v>130</v>
      </c>
      <c r="Z1932" t="s">
        <v>1018</v>
      </c>
      <c r="AA1932" t="s">
        <v>1067</v>
      </c>
      <c r="AB1932">
        <v>3.12</v>
      </c>
      <c r="AC1932" t="s">
        <v>5930</v>
      </c>
      <c r="AD1932">
        <v>47.99</v>
      </c>
      <c r="AE1932">
        <v>0</v>
      </c>
      <c r="AF1932">
        <v>0</v>
      </c>
      <c r="AG1932">
        <v>0</v>
      </c>
      <c r="AH1932">
        <v>0</v>
      </c>
      <c r="AI1932" s="4">
        <v>36327</v>
      </c>
    </row>
    <row r="1933" spans="1:35">
      <c r="A1933">
        <v>1932</v>
      </c>
      <c r="B1933" t="str">
        <f>"000886"</f>
        <v>000886</v>
      </c>
      <c r="C1933" t="s">
        <v>9893</v>
      </c>
      <c r="D1933" s="4">
        <v>43190</v>
      </c>
      <c r="E1933" t="s">
        <v>3630</v>
      </c>
      <c r="F1933" t="s">
        <v>2032</v>
      </c>
      <c r="G1933" t="s">
        <v>2234</v>
      </c>
      <c r="H1933">
        <v>0.03</v>
      </c>
      <c r="I1933">
        <v>2.69</v>
      </c>
      <c r="J1933">
        <v>1.29</v>
      </c>
      <c r="K1933" t="s">
        <v>282</v>
      </c>
      <c r="L1933">
        <v>-42.33</v>
      </c>
      <c r="M1933" t="s">
        <v>3987</v>
      </c>
      <c r="N1933" t="s">
        <v>9894</v>
      </c>
      <c r="O1933" t="s">
        <v>9895</v>
      </c>
      <c r="P1933" t="s">
        <v>9196</v>
      </c>
      <c r="Q1933">
        <v>-37.909999999999997</v>
      </c>
      <c r="R1933" t="s">
        <v>1229</v>
      </c>
      <c r="S1933">
        <v>0.2</v>
      </c>
      <c r="T1933">
        <v>59.69</v>
      </c>
      <c r="U1933" t="s">
        <v>2238</v>
      </c>
      <c r="V1933" t="s">
        <v>316</v>
      </c>
      <c r="W1933" t="s">
        <v>355</v>
      </c>
      <c r="X1933">
        <v>1.29</v>
      </c>
      <c r="Y1933" t="s">
        <v>2647</v>
      </c>
      <c r="Z1933" t="s">
        <v>943</v>
      </c>
      <c r="AA1933" t="s">
        <v>7424</v>
      </c>
      <c r="AB1933">
        <v>1.77</v>
      </c>
      <c r="AC1933" t="s">
        <v>1908</v>
      </c>
      <c r="AD1933">
        <v>81.95</v>
      </c>
      <c r="AE1933" t="s">
        <v>3184</v>
      </c>
      <c r="AF1933">
        <v>0.95</v>
      </c>
      <c r="AG1933">
        <v>0</v>
      </c>
      <c r="AH1933">
        <v>0</v>
      </c>
      <c r="AI1933" s="4">
        <v>35818</v>
      </c>
    </row>
    <row r="1934" spans="1:35">
      <c r="A1934">
        <v>1933</v>
      </c>
      <c r="B1934" t="str">
        <f>"002790"</f>
        <v>002790</v>
      </c>
      <c r="C1934" t="s">
        <v>9896</v>
      </c>
      <c r="D1934" s="4">
        <v>43190</v>
      </c>
      <c r="E1934" t="s">
        <v>134</v>
      </c>
      <c r="F1934" t="s">
        <v>8251</v>
      </c>
      <c r="G1934">
        <v>2422</v>
      </c>
      <c r="H1934">
        <v>7.0000000000000007E-2</v>
      </c>
      <c r="I1934">
        <v>5.44</v>
      </c>
      <c r="J1934">
        <v>1.28</v>
      </c>
      <c r="K1934" t="s">
        <v>905</v>
      </c>
      <c r="L1934">
        <v>-2.0699999999999998</v>
      </c>
      <c r="M1934" t="s">
        <v>9897</v>
      </c>
      <c r="N1934" t="s">
        <v>9898</v>
      </c>
      <c r="O1934" t="s">
        <v>9899</v>
      </c>
      <c r="P1934" t="s">
        <v>9900</v>
      </c>
      <c r="Q1934">
        <v>-44.69</v>
      </c>
      <c r="R1934" t="s">
        <v>1088</v>
      </c>
      <c r="S1934">
        <v>1.88</v>
      </c>
      <c r="T1934">
        <v>27.1</v>
      </c>
      <c r="U1934" t="s">
        <v>1062</v>
      </c>
      <c r="V1934" t="s">
        <v>192</v>
      </c>
      <c r="W1934" t="s">
        <v>3027</v>
      </c>
      <c r="X1934">
        <v>1.28</v>
      </c>
      <c r="Y1934" t="s">
        <v>745</v>
      </c>
      <c r="Z1934" t="s">
        <v>84</v>
      </c>
      <c r="AA1934" t="s">
        <v>9901</v>
      </c>
      <c r="AB1934">
        <v>1.95</v>
      </c>
      <c r="AC1934" t="s">
        <v>80</v>
      </c>
      <c r="AD1934">
        <v>90.94</v>
      </c>
      <c r="AE1934" t="s">
        <v>1117</v>
      </c>
      <c r="AF1934">
        <v>2.23</v>
      </c>
      <c r="AG1934">
        <v>0</v>
      </c>
      <c r="AH1934">
        <v>0</v>
      </c>
      <c r="AI1934" s="4">
        <v>42437</v>
      </c>
    </row>
    <row r="1935" spans="1:35">
      <c r="A1935">
        <v>1934</v>
      </c>
      <c r="B1935" t="str">
        <f>"002567"</f>
        <v>002567</v>
      </c>
      <c r="C1935" t="s">
        <v>9902</v>
      </c>
      <c r="D1935" s="4">
        <v>43190</v>
      </c>
      <c r="E1935" t="s">
        <v>7297</v>
      </c>
      <c r="F1935" t="s">
        <v>1444</v>
      </c>
      <c r="G1935" t="s">
        <v>168</v>
      </c>
      <c r="H1935">
        <v>0.05</v>
      </c>
      <c r="I1935">
        <v>4.01</v>
      </c>
      <c r="J1935">
        <v>1.28</v>
      </c>
      <c r="K1935" t="s">
        <v>2238</v>
      </c>
      <c r="L1935">
        <v>7.32</v>
      </c>
      <c r="M1935" t="s">
        <v>9903</v>
      </c>
      <c r="N1935" t="s">
        <v>2682</v>
      </c>
      <c r="O1935" t="s">
        <v>1910</v>
      </c>
      <c r="P1935" t="s">
        <v>9904</v>
      </c>
      <c r="Q1935">
        <v>-19.78</v>
      </c>
      <c r="R1935" t="s">
        <v>544</v>
      </c>
      <c r="S1935">
        <v>0.83</v>
      </c>
      <c r="T1935">
        <v>8.84</v>
      </c>
      <c r="U1935" t="s">
        <v>3565</v>
      </c>
      <c r="V1935" t="s">
        <v>865</v>
      </c>
      <c r="W1935" t="s">
        <v>1752</v>
      </c>
      <c r="X1935">
        <v>1.28</v>
      </c>
      <c r="Y1935" t="s">
        <v>449</v>
      </c>
      <c r="Z1935" t="s">
        <v>702</v>
      </c>
      <c r="AA1935" t="s">
        <v>1484</v>
      </c>
      <c r="AB1935">
        <v>1.1000000000000001</v>
      </c>
      <c r="AC1935" t="s">
        <v>312</v>
      </c>
      <c r="AD1935">
        <v>56.39</v>
      </c>
      <c r="AE1935" t="s">
        <v>1367</v>
      </c>
      <c r="AF1935">
        <v>1.89</v>
      </c>
      <c r="AG1935">
        <v>0</v>
      </c>
      <c r="AH1935">
        <v>0</v>
      </c>
      <c r="AI1935" s="4">
        <v>40627</v>
      </c>
    </row>
    <row r="1936" spans="1:35">
      <c r="A1936">
        <v>1935</v>
      </c>
      <c r="B1936" t="str">
        <f>"002541"</f>
        <v>002541</v>
      </c>
      <c r="C1936" t="s">
        <v>9905</v>
      </c>
      <c r="D1936" s="4">
        <v>43190</v>
      </c>
      <c r="E1936" t="s">
        <v>1037</v>
      </c>
      <c r="F1936" t="s">
        <v>1968</v>
      </c>
      <c r="G1936" t="s">
        <v>1440</v>
      </c>
      <c r="H1936">
        <v>0.1</v>
      </c>
      <c r="I1936">
        <v>7.75</v>
      </c>
      <c r="J1936">
        <v>1.28</v>
      </c>
      <c r="K1936" t="s">
        <v>147</v>
      </c>
      <c r="L1936">
        <v>42.27</v>
      </c>
      <c r="M1936" t="s">
        <v>8566</v>
      </c>
      <c r="N1936" t="s">
        <v>9906</v>
      </c>
      <c r="O1936" t="s">
        <v>9907</v>
      </c>
      <c r="P1936" t="s">
        <v>9908</v>
      </c>
      <c r="Q1936">
        <v>8.41</v>
      </c>
      <c r="R1936" t="s">
        <v>924</v>
      </c>
      <c r="S1936">
        <v>2.5099999999999998</v>
      </c>
      <c r="T1936">
        <v>16.64</v>
      </c>
      <c r="U1936" t="s">
        <v>4996</v>
      </c>
      <c r="V1936" t="s">
        <v>1087</v>
      </c>
      <c r="W1936" t="s">
        <v>80</v>
      </c>
      <c r="X1936">
        <v>1.28</v>
      </c>
      <c r="Y1936" t="s">
        <v>3733</v>
      </c>
      <c r="Z1936" t="s">
        <v>762</v>
      </c>
      <c r="AA1936" t="s">
        <v>745</v>
      </c>
      <c r="AB1936">
        <v>1.04</v>
      </c>
      <c r="AC1936" t="s">
        <v>1517</v>
      </c>
      <c r="AD1936">
        <v>44.79</v>
      </c>
      <c r="AE1936" t="s">
        <v>316</v>
      </c>
      <c r="AF1936">
        <v>4.07</v>
      </c>
      <c r="AG1936">
        <v>0</v>
      </c>
      <c r="AH1936">
        <v>0</v>
      </c>
      <c r="AI1936" s="4">
        <v>40561</v>
      </c>
    </row>
    <row r="1937" spans="1:35">
      <c r="A1937">
        <v>1936</v>
      </c>
      <c r="B1937" t="str">
        <f>"002510"</f>
        <v>002510</v>
      </c>
      <c r="C1937" t="s">
        <v>9909</v>
      </c>
      <c r="D1937" s="4">
        <v>43190</v>
      </c>
      <c r="E1937" t="s">
        <v>724</v>
      </c>
      <c r="F1937" t="s">
        <v>46</v>
      </c>
      <c r="G1937">
        <v>8282</v>
      </c>
      <c r="H1937">
        <v>0.03</v>
      </c>
      <c r="I1937">
        <v>2.67</v>
      </c>
      <c r="J1937">
        <v>1.28</v>
      </c>
      <c r="K1937" t="s">
        <v>330</v>
      </c>
      <c r="L1937">
        <v>1.78</v>
      </c>
      <c r="M1937" t="s">
        <v>2986</v>
      </c>
      <c r="N1937" t="s">
        <v>9910</v>
      </c>
      <c r="O1937" t="s">
        <v>7518</v>
      </c>
      <c r="P1937" t="s">
        <v>9911</v>
      </c>
      <c r="Q1937">
        <v>25.28</v>
      </c>
      <c r="R1937" t="s">
        <v>1274</v>
      </c>
      <c r="S1937">
        <v>0.92</v>
      </c>
      <c r="T1937">
        <v>20</v>
      </c>
      <c r="U1937" t="s">
        <v>1925</v>
      </c>
      <c r="V1937" t="s">
        <v>1308</v>
      </c>
      <c r="W1937" t="s">
        <v>895</v>
      </c>
      <c r="X1937">
        <v>1.28</v>
      </c>
      <c r="Y1937" t="s">
        <v>244</v>
      </c>
      <c r="Z1937" t="s">
        <v>2291</v>
      </c>
      <c r="AA1937" t="s">
        <v>2755</v>
      </c>
      <c r="AB1937">
        <v>1.67</v>
      </c>
      <c r="AC1937" t="s">
        <v>223</v>
      </c>
      <c r="AD1937">
        <v>50.32</v>
      </c>
      <c r="AE1937" t="s">
        <v>456</v>
      </c>
      <c r="AF1937">
        <v>0.66</v>
      </c>
      <c r="AG1937">
        <v>0</v>
      </c>
      <c r="AH1937">
        <v>0</v>
      </c>
      <c r="AI1937" s="4">
        <v>40507</v>
      </c>
    </row>
    <row r="1938" spans="1:35">
      <c r="A1938">
        <v>1937</v>
      </c>
      <c r="B1938" t="str">
        <f>"000408"</f>
        <v>000408</v>
      </c>
      <c r="C1938" t="s">
        <v>9912</v>
      </c>
      <c r="D1938" s="4">
        <v>43190</v>
      </c>
      <c r="E1938" t="s">
        <v>119</v>
      </c>
      <c r="F1938" t="s">
        <v>922</v>
      </c>
      <c r="G1938" t="s">
        <v>3138</v>
      </c>
      <c r="H1938">
        <v>0.04</v>
      </c>
      <c r="I1938">
        <v>3.32</v>
      </c>
      <c r="J1938">
        <v>1.28</v>
      </c>
      <c r="K1938" t="s">
        <v>1995</v>
      </c>
      <c r="L1938">
        <v>20.18</v>
      </c>
      <c r="M1938" t="s">
        <v>651</v>
      </c>
      <c r="N1938">
        <v>0</v>
      </c>
      <c r="O1938" t="s">
        <v>533</v>
      </c>
      <c r="P1938" t="s">
        <v>9913</v>
      </c>
      <c r="Q1938">
        <v>190.09</v>
      </c>
      <c r="R1938" t="s">
        <v>313</v>
      </c>
      <c r="S1938">
        <v>1.57</v>
      </c>
      <c r="T1938">
        <v>68.69</v>
      </c>
      <c r="U1938" t="s">
        <v>231</v>
      </c>
      <c r="V1938" t="s">
        <v>1211</v>
      </c>
      <c r="W1938" t="s">
        <v>2535</v>
      </c>
      <c r="X1938">
        <v>1.28</v>
      </c>
      <c r="Y1938" t="s">
        <v>982</v>
      </c>
      <c r="Z1938" t="s">
        <v>192</v>
      </c>
      <c r="AA1938" t="s">
        <v>9914</v>
      </c>
      <c r="AB1938">
        <v>3.78</v>
      </c>
      <c r="AC1938" t="s">
        <v>1592</v>
      </c>
      <c r="AD1938">
        <v>84.41</v>
      </c>
      <c r="AE1938" t="s">
        <v>699</v>
      </c>
      <c r="AF1938">
        <v>0.54</v>
      </c>
      <c r="AG1938">
        <v>0</v>
      </c>
      <c r="AH1938">
        <v>0</v>
      </c>
      <c r="AI1938" s="4">
        <v>35244</v>
      </c>
    </row>
    <row r="1939" spans="1:35">
      <c r="A1939">
        <v>1938</v>
      </c>
      <c r="B1939" t="str">
        <f>"603606"</f>
        <v>603606</v>
      </c>
      <c r="C1939" t="s">
        <v>9915</v>
      </c>
      <c r="D1939" s="4">
        <v>43190</v>
      </c>
      <c r="E1939" t="s">
        <v>442</v>
      </c>
      <c r="F1939" t="s">
        <v>324</v>
      </c>
      <c r="G1939" t="s">
        <v>2135</v>
      </c>
      <c r="H1939">
        <v>0.04</v>
      </c>
      <c r="I1939">
        <v>3.14</v>
      </c>
      <c r="J1939">
        <v>1.27</v>
      </c>
      <c r="K1939" t="s">
        <v>108</v>
      </c>
      <c r="L1939">
        <v>61.12</v>
      </c>
      <c r="M1939" t="s">
        <v>9916</v>
      </c>
      <c r="N1939" t="s">
        <v>9917</v>
      </c>
      <c r="O1939" t="s">
        <v>9918</v>
      </c>
      <c r="P1939" t="s">
        <v>214</v>
      </c>
      <c r="Q1939">
        <v>160.49</v>
      </c>
      <c r="R1939" t="s">
        <v>349</v>
      </c>
      <c r="S1939">
        <v>0.77</v>
      </c>
      <c r="T1939">
        <v>16.940000000000001</v>
      </c>
      <c r="U1939" t="s">
        <v>570</v>
      </c>
      <c r="V1939" t="s">
        <v>2273</v>
      </c>
      <c r="W1939" t="s">
        <v>156</v>
      </c>
      <c r="X1939">
        <v>1.27</v>
      </c>
      <c r="Y1939" t="s">
        <v>173</v>
      </c>
      <c r="Z1939" t="s">
        <v>624</v>
      </c>
      <c r="AA1939" t="s">
        <v>9919</v>
      </c>
      <c r="AB1939">
        <v>2.36</v>
      </c>
      <c r="AC1939" t="s">
        <v>847</v>
      </c>
      <c r="AD1939">
        <v>52.93</v>
      </c>
      <c r="AE1939" t="s">
        <v>2264</v>
      </c>
      <c r="AF1939">
        <v>1.23</v>
      </c>
      <c r="AG1939">
        <v>0</v>
      </c>
      <c r="AH1939">
        <v>0</v>
      </c>
      <c r="AI1939" s="4">
        <v>41927</v>
      </c>
    </row>
    <row r="1940" spans="1:35">
      <c r="A1940">
        <v>1939</v>
      </c>
      <c r="B1940" t="str">
        <f>"600576"</f>
        <v>600576</v>
      </c>
      <c r="C1940" t="s">
        <v>9920</v>
      </c>
      <c r="D1940" s="4">
        <v>43190</v>
      </c>
      <c r="E1940" t="s">
        <v>690</v>
      </c>
      <c r="F1940" t="s">
        <v>988</v>
      </c>
      <c r="G1940">
        <v>7651</v>
      </c>
      <c r="H1940">
        <v>0.04</v>
      </c>
      <c r="I1940">
        <v>2.93</v>
      </c>
      <c r="J1940">
        <v>1.27</v>
      </c>
      <c r="K1940" t="s">
        <v>745</v>
      </c>
      <c r="L1940">
        <v>-3.08</v>
      </c>
      <c r="M1940" t="s">
        <v>7425</v>
      </c>
      <c r="N1940" t="s">
        <v>6965</v>
      </c>
      <c r="O1940" t="s">
        <v>9921</v>
      </c>
      <c r="P1940" t="s">
        <v>4387</v>
      </c>
      <c r="Q1940">
        <v>-7.66</v>
      </c>
      <c r="R1940" t="s">
        <v>321</v>
      </c>
      <c r="S1940">
        <v>0.26</v>
      </c>
      <c r="T1940">
        <v>33.92</v>
      </c>
      <c r="U1940" t="s">
        <v>114</v>
      </c>
      <c r="V1940" t="s">
        <v>147</v>
      </c>
      <c r="W1940" t="s">
        <v>6697</v>
      </c>
      <c r="X1940">
        <v>1.27</v>
      </c>
      <c r="Y1940" t="s">
        <v>998</v>
      </c>
      <c r="Z1940" t="s">
        <v>1288</v>
      </c>
      <c r="AA1940" t="s">
        <v>9922</v>
      </c>
      <c r="AB1940">
        <v>1.77</v>
      </c>
      <c r="AC1940" t="s">
        <v>183</v>
      </c>
      <c r="AD1940">
        <v>88.06</v>
      </c>
      <c r="AE1940" t="s">
        <v>625</v>
      </c>
      <c r="AF1940">
        <v>1.84</v>
      </c>
      <c r="AG1940">
        <v>0</v>
      </c>
      <c r="AH1940">
        <v>0</v>
      </c>
      <c r="AI1940" s="4">
        <v>37672</v>
      </c>
    </row>
    <row r="1941" spans="1:35">
      <c r="A1941">
        <v>1940</v>
      </c>
      <c r="B1941" t="str">
        <f>"600337"</f>
        <v>600337</v>
      </c>
      <c r="C1941" t="s">
        <v>9923</v>
      </c>
      <c r="D1941" s="4">
        <v>43190</v>
      </c>
      <c r="E1941" t="s">
        <v>1678</v>
      </c>
      <c r="F1941" t="s">
        <v>584</v>
      </c>
      <c r="G1941" t="s">
        <v>9924</v>
      </c>
      <c r="H1941">
        <v>0.04</v>
      </c>
      <c r="I1941">
        <v>2.81</v>
      </c>
      <c r="J1941">
        <v>1.27</v>
      </c>
      <c r="K1941" t="s">
        <v>1094</v>
      </c>
      <c r="L1941">
        <v>32.69</v>
      </c>
      <c r="M1941" t="s">
        <v>9925</v>
      </c>
      <c r="N1941" t="s">
        <v>9926</v>
      </c>
      <c r="O1941" t="s">
        <v>9927</v>
      </c>
      <c r="P1941" t="s">
        <v>9928</v>
      </c>
      <c r="Q1941">
        <v>32.75</v>
      </c>
      <c r="R1941" t="s">
        <v>983</v>
      </c>
      <c r="S1941">
        <v>0.89</v>
      </c>
      <c r="T1941">
        <v>55.21</v>
      </c>
      <c r="U1941" t="s">
        <v>7088</v>
      </c>
      <c r="V1941" t="s">
        <v>524</v>
      </c>
      <c r="W1941" t="s">
        <v>855</v>
      </c>
      <c r="X1941">
        <v>1.27</v>
      </c>
      <c r="Y1941" t="s">
        <v>578</v>
      </c>
      <c r="Z1941" t="s">
        <v>1343</v>
      </c>
      <c r="AA1941" t="s">
        <v>1243</v>
      </c>
      <c r="AB1941">
        <v>2.0299999999999998</v>
      </c>
      <c r="AC1941" t="s">
        <v>573</v>
      </c>
      <c r="AD1941">
        <v>68.62</v>
      </c>
      <c r="AE1941" t="s">
        <v>176</v>
      </c>
      <c r="AF1941">
        <v>0.78</v>
      </c>
      <c r="AG1941">
        <v>0</v>
      </c>
      <c r="AH1941">
        <v>0</v>
      </c>
      <c r="AI1941" s="4">
        <v>36857</v>
      </c>
    </row>
    <row r="1942" spans="1:35">
      <c r="A1942">
        <v>1941</v>
      </c>
      <c r="B1942" t="str">
        <f>"600307"</f>
        <v>600307</v>
      </c>
      <c r="C1942" t="s">
        <v>9929</v>
      </c>
      <c r="D1942" s="4">
        <v>43190</v>
      </c>
      <c r="E1942" t="s">
        <v>2868</v>
      </c>
      <c r="F1942" t="s">
        <v>2868</v>
      </c>
      <c r="G1942" t="s">
        <v>5021</v>
      </c>
      <c r="H1942">
        <v>0.02</v>
      </c>
      <c r="I1942">
        <v>1.55</v>
      </c>
      <c r="J1942">
        <v>1.27</v>
      </c>
      <c r="K1942" t="s">
        <v>4164</v>
      </c>
      <c r="L1942">
        <v>7.61</v>
      </c>
      <c r="M1942" t="s">
        <v>2360</v>
      </c>
      <c r="N1942" t="s">
        <v>7443</v>
      </c>
      <c r="O1942" t="s">
        <v>1038</v>
      </c>
      <c r="P1942" t="s">
        <v>2360</v>
      </c>
      <c r="Q1942">
        <v>-45.06</v>
      </c>
      <c r="R1942" t="s">
        <v>9930</v>
      </c>
      <c r="S1942">
        <v>-0.76</v>
      </c>
      <c r="T1942">
        <v>9.8800000000000008</v>
      </c>
      <c r="U1942" t="s">
        <v>6420</v>
      </c>
      <c r="V1942" t="s">
        <v>580</v>
      </c>
      <c r="W1942" t="s">
        <v>2863</v>
      </c>
      <c r="X1942">
        <v>1.27</v>
      </c>
      <c r="Y1942" t="s">
        <v>3213</v>
      </c>
      <c r="Z1942" t="s">
        <v>3463</v>
      </c>
      <c r="AA1942" t="s">
        <v>2523</v>
      </c>
      <c r="AB1942">
        <v>1.33</v>
      </c>
      <c r="AC1942" t="s">
        <v>7752</v>
      </c>
      <c r="AD1942">
        <v>24.1</v>
      </c>
      <c r="AE1942" t="s">
        <v>1857</v>
      </c>
      <c r="AF1942">
        <v>1.1000000000000001</v>
      </c>
      <c r="AG1942">
        <v>0</v>
      </c>
      <c r="AH1942">
        <v>0</v>
      </c>
      <c r="AI1942" s="4">
        <v>36880</v>
      </c>
    </row>
    <row r="1943" spans="1:35">
      <c r="A1943">
        <v>1942</v>
      </c>
      <c r="B1943" t="str">
        <f>"600010"</f>
        <v>600010</v>
      </c>
      <c r="C1943" t="s">
        <v>9931</v>
      </c>
      <c r="D1943" s="4">
        <v>43190</v>
      </c>
      <c r="E1943" t="s">
        <v>397</v>
      </c>
      <c r="F1943" t="s">
        <v>9932</v>
      </c>
      <c r="G1943" t="s">
        <v>5644</v>
      </c>
      <c r="H1943">
        <v>0.01</v>
      </c>
      <c r="I1943">
        <v>1.1000000000000001</v>
      </c>
      <c r="J1943">
        <v>1.27</v>
      </c>
      <c r="K1943" t="s">
        <v>719</v>
      </c>
      <c r="L1943">
        <v>22.18</v>
      </c>
      <c r="M1943" t="s">
        <v>1375</v>
      </c>
      <c r="N1943" t="s">
        <v>9933</v>
      </c>
      <c r="O1943" t="s">
        <v>1375</v>
      </c>
      <c r="P1943" t="s">
        <v>1909</v>
      </c>
      <c r="Q1943">
        <v>222.19</v>
      </c>
      <c r="R1943" t="s">
        <v>1343</v>
      </c>
      <c r="S1943">
        <v>0.04</v>
      </c>
      <c r="T1943">
        <v>18.32</v>
      </c>
      <c r="U1943" t="s">
        <v>9934</v>
      </c>
      <c r="V1943" t="s">
        <v>9935</v>
      </c>
      <c r="W1943" t="s">
        <v>1118</v>
      </c>
      <c r="X1943">
        <v>1.27</v>
      </c>
      <c r="Y1943" t="s">
        <v>3314</v>
      </c>
      <c r="Z1943" t="s">
        <v>8787</v>
      </c>
      <c r="AA1943" t="s">
        <v>5501</v>
      </c>
      <c r="AB1943">
        <v>1.4</v>
      </c>
      <c r="AC1943" t="s">
        <v>9936</v>
      </c>
      <c r="AD1943">
        <v>34.11</v>
      </c>
      <c r="AE1943" t="s">
        <v>538</v>
      </c>
      <c r="AF1943">
        <v>0.03</v>
      </c>
      <c r="AG1943">
        <v>0</v>
      </c>
      <c r="AH1943">
        <v>0</v>
      </c>
      <c r="AI1943" s="4">
        <v>36959</v>
      </c>
    </row>
    <row r="1944" spans="1:35">
      <c r="A1944">
        <v>1943</v>
      </c>
      <c r="B1944" t="str">
        <f>"300639"</f>
        <v>300639</v>
      </c>
      <c r="C1944" t="s">
        <v>9937</v>
      </c>
      <c r="D1944" s="4">
        <v>43190</v>
      </c>
      <c r="E1944" t="s">
        <v>1366</v>
      </c>
      <c r="F1944" t="s">
        <v>9938</v>
      </c>
      <c r="G1944">
        <v>1337</v>
      </c>
      <c r="H1944">
        <v>7.0000000000000007E-2</v>
      </c>
      <c r="I1944">
        <v>5.13</v>
      </c>
      <c r="J1944">
        <v>1.27</v>
      </c>
      <c r="K1944" t="s">
        <v>1459</v>
      </c>
      <c r="L1944">
        <v>23.07</v>
      </c>
      <c r="M1944" t="s">
        <v>6606</v>
      </c>
      <c r="N1944" t="s">
        <v>9939</v>
      </c>
      <c r="O1944" t="s">
        <v>3361</v>
      </c>
      <c r="P1944" t="s">
        <v>5120</v>
      </c>
      <c r="Q1944">
        <v>25.36</v>
      </c>
      <c r="R1944" t="s">
        <v>314</v>
      </c>
      <c r="S1944">
        <v>1.7</v>
      </c>
      <c r="T1944">
        <v>82.62</v>
      </c>
      <c r="U1944" t="s">
        <v>973</v>
      </c>
      <c r="V1944" t="s">
        <v>1903</v>
      </c>
      <c r="W1944" t="s">
        <v>594</v>
      </c>
      <c r="X1944">
        <v>1.27</v>
      </c>
      <c r="Y1944" t="s">
        <v>9940</v>
      </c>
      <c r="Z1944" t="s">
        <v>9941</v>
      </c>
      <c r="AA1944" t="s">
        <v>9942</v>
      </c>
      <c r="AB1944">
        <v>3.58</v>
      </c>
      <c r="AC1944" t="s">
        <v>5928</v>
      </c>
      <c r="AD1944">
        <v>85.17</v>
      </c>
      <c r="AE1944" t="s">
        <v>734</v>
      </c>
      <c r="AF1944">
        <v>2.48</v>
      </c>
      <c r="AG1944">
        <v>0</v>
      </c>
      <c r="AH1944">
        <v>0</v>
      </c>
      <c r="AI1944" s="4">
        <v>42837</v>
      </c>
    </row>
    <row r="1945" spans="1:35">
      <c r="A1945">
        <v>1944</v>
      </c>
      <c r="B1945" t="str">
        <f>"300222"</f>
        <v>300222</v>
      </c>
      <c r="C1945" t="s">
        <v>9943</v>
      </c>
      <c r="D1945" s="4">
        <v>43190</v>
      </c>
      <c r="E1945" t="s">
        <v>1651</v>
      </c>
      <c r="F1945" t="s">
        <v>1578</v>
      </c>
      <c r="G1945">
        <v>7582</v>
      </c>
      <c r="H1945">
        <v>7.0000000000000007E-2</v>
      </c>
      <c r="I1945">
        <v>5.64</v>
      </c>
      <c r="J1945">
        <v>1.27</v>
      </c>
      <c r="K1945" t="s">
        <v>647</v>
      </c>
      <c r="L1945">
        <v>37.65</v>
      </c>
      <c r="M1945" t="s">
        <v>5056</v>
      </c>
      <c r="N1945" t="s">
        <v>6979</v>
      </c>
      <c r="O1945" t="s">
        <v>9944</v>
      </c>
      <c r="P1945" t="s">
        <v>9945</v>
      </c>
      <c r="Q1945">
        <v>8.3000000000000007</v>
      </c>
      <c r="R1945" t="s">
        <v>1774</v>
      </c>
      <c r="S1945">
        <v>1.1000000000000001</v>
      </c>
      <c r="T1945">
        <v>37.54</v>
      </c>
      <c r="U1945" t="s">
        <v>3577</v>
      </c>
      <c r="V1945" t="s">
        <v>1127</v>
      </c>
      <c r="W1945" t="s">
        <v>148</v>
      </c>
      <c r="X1945">
        <v>1.27</v>
      </c>
      <c r="Y1945" t="s">
        <v>2328</v>
      </c>
      <c r="Z1945" t="s">
        <v>1678</v>
      </c>
      <c r="AA1945" t="s">
        <v>321</v>
      </c>
      <c r="AB1945">
        <v>2.9</v>
      </c>
      <c r="AC1945" t="s">
        <v>351</v>
      </c>
      <c r="AD1945">
        <v>67.86</v>
      </c>
      <c r="AE1945" t="s">
        <v>1329</v>
      </c>
      <c r="AF1945">
        <v>3.89</v>
      </c>
      <c r="AG1945">
        <v>0</v>
      </c>
      <c r="AH1945">
        <v>0</v>
      </c>
      <c r="AI1945" s="4">
        <v>40688</v>
      </c>
    </row>
    <row r="1946" spans="1:35">
      <c r="A1946">
        <v>1945</v>
      </c>
      <c r="B1946" t="str">
        <f>"002777"</f>
        <v>002777</v>
      </c>
      <c r="C1946" t="s">
        <v>9946</v>
      </c>
      <c r="D1946" s="4">
        <v>43190</v>
      </c>
      <c r="E1946" t="s">
        <v>1855</v>
      </c>
      <c r="F1946" t="s">
        <v>9947</v>
      </c>
      <c r="G1946">
        <v>5982</v>
      </c>
      <c r="H1946">
        <v>0.05</v>
      </c>
      <c r="I1946">
        <v>5.54</v>
      </c>
      <c r="J1946">
        <v>1.27</v>
      </c>
      <c r="K1946" t="s">
        <v>209</v>
      </c>
      <c r="L1946">
        <v>30.65</v>
      </c>
      <c r="M1946" t="s">
        <v>9081</v>
      </c>
      <c r="N1946">
        <v>0</v>
      </c>
      <c r="O1946" t="s">
        <v>6755</v>
      </c>
      <c r="P1946" t="s">
        <v>9948</v>
      </c>
      <c r="Q1946">
        <v>21.11</v>
      </c>
      <c r="R1946" t="s">
        <v>95</v>
      </c>
      <c r="S1946">
        <v>1.1200000000000001</v>
      </c>
      <c r="T1946">
        <v>36.46</v>
      </c>
      <c r="U1946" t="s">
        <v>115</v>
      </c>
      <c r="V1946" t="s">
        <v>263</v>
      </c>
      <c r="W1946" t="s">
        <v>8450</v>
      </c>
      <c r="X1946">
        <v>1.27</v>
      </c>
      <c r="Y1946" t="s">
        <v>1276</v>
      </c>
      <c r="Z1946" t="s">
        <v>1685</v>
      </c>
      <c r="AA1946" t="s">
        <v>9949</v>
      </c>
      <c r="AB1946">
        <v>4.8499999999999996</v>
      </c>
      <c r="AC1946" t="s">
        <v>3839</v>
      </c>
      <c r="AD1946">
        <v>56.58</v>
      </c>
      <c r="AE1946" t="s">
        <v>1166</v>
      </c>
      <c r="AF1946">
        <v>3.16</v>
      </c>
      <c r="AG1946">
        <v>0</v>
      </c>
      <c r="AH1946">
        <v>0</v>
      </c>
      <c r="AI1946" s="4">
        <v>42369</v>
      </c>
    </row>
    <row r="1947" spans="1:35">
      <c r="A1947">
        <v>1946</v>
      </c>
      <c r="B1947" t="str">
        <f>"002501"</f>
        <v>002501</v>
      </c>
      <c r="C1947" t="s">
        <v>9950</v>
      </c>
      <c r="D1947" s="4">
        <v>43190</v>
      </c>
      <c r="E1947" t="s">
        <v>264</v>
      </c>
      <c r="F1947" t="s">
        <v>895</v>
      </c>
      <c r="G1947" t="s">
        <v>1122</v>
      </c>
      <c r="H1947">
        <v>0.09</v>
      </c>
      <c r="I1947">
        <v>6.67</v>
      </c>
      <c r="J1947">
        <v>1.27</v>
      </c>
      <c r="K1947" t="s">
        <v>1652</v>
      </c>
      <c r="L1947">
        <v>-8.5399999999999991</v>
      </c>
      <c r="M1947" t="s">
        <v>282</v>
      </c>
      <c r="N1947">
        <v>0</v>
      </c>
      <c r="O1947" t="s">
        <v>282</v>
      </c>
      <c r="P1947" t="s">
        <v>198</v>
      </c>
      <c r="Q1947">
        <v>0.52</v>
      </c>
      <c r="R1947" t="s">
        <v>578</v>
      </c>
      <c r="S1947">
        <v>1.87</v>
      </c>
      <c r="T1947">
        <v>37.61</v>
      </c>
      <c r="U1947" t="s">
        <v>2016</v>
      </c>
      <c r="V1947" t="s">
        <v>1284</v>
      </c>
      <c r="W1947" t="s">
        <v>795</v>
      </c>
      <c r="X1947">
        <v>1.27</v>
      </c>
      <c r="Y1947" t="s">
        <v>2641</v>
      </c>
      <c r="Z1947" t="s">
        <v>888</v>
      </c>
      <c r="AA1947" t="s">
        <v>1675</v>
      </c>
      <c r="AB1947">
        <v>0.88</v>
      </c>
      <c r="AC1947" t="s">
        <v>6876</v>
      </c>
      <c r="AD1947">
        <v>48.83</v>
      </c>
      <c r="AE1947" t="s">
        <v>1032</v>
      </c>
      <c r="AF1947">
        <v>3.54</v>
      </c>
      <c r="AG1947">
        <v>0</v>
      </c>
      <c r="AH1947">
        <v>0</v>
      </c>
      <c r="AI1947" s="4">
        <v>40499</v>
      </c>
    </row>
    <row r="1948" spans="1:35">
      <c r="A1948">
        <v>1947</v>
      </c>
      <c r="B1948" t="str">
        <f>"002356"</f>
        <v>002356</v>
      </c>
      <c r="C1948" t="s">
        <v>9951</v>
      </c>
      <c r="D1948" s="4">
        <v>43190</v>
      </c>
      <c r="E1948" t="s">
        <v>1048</v>
      </c>
      <c r="F1948" t="s">
        <v>1732</v>
      </c>
      <c r="G1948" t="s">
        <v>6919</v>
      </c>
      <c r="H1948">
        <v>7.0000000000000007E-2</v>
      </c>
      <c r="I1948">
        <v>5.87</v>
      </c>
      <c r="J1948">
        <v>1.27</v>
      </c>
      <c r="K1948" t="s">
        <v>3490</v>
      </c>
      <c r="L1948">
        <v>-19.690000000000001</v>
      </c>
      <c r="M1948" t="s">
        <v>4783</v>
      </c>
      <c r="N1948" t="s">
        <v>5907</v>
      </c>
      <c r="O1948" t="s">
        <v>9952</v>
      </c>
      <c r="P1948" t="s">
        <v>9953</v>
      </c>
      <c r="Q1948">
        <v>48.33</v>
      </c>
      <c r="R1948" t="s">
        <v>2792</v>
      </c>
      <c r="S1948">
        <v>1.55</v>
      </c>
      <c r="T1948">
        <v>55.94</v>
      </c>
      <c r="U1948" t="s">
        <v>2942</v>
      </c>
      <c r="V1948" t="s">
        <v>4558</v>
      </c>
      <c r="W1948" t="s">
        <v>698</v>
      </c>
      <c r="X1948">
        <v>1.27</v>
      </c>
      <c r="Y1948" t="s">
        <v>893</v>
      </c>
      <c r="Z1948" t="s">
        <v>1211</v>
      </c>
      <c r="AA1948" t="s">
        <v>690</v>
      </c>
      <c r="AB1948">
        <v>3.23</v>
      </c>
      <c r="AC1948" t="s">
        <v>754</v>
      </c>
      <c r="AD1948">
        <v>27.39</v>
      </c>
      <c r="AE1948" t="s">
        <v>895</v>
      </c>
      <c r="AF1948">
        <v>3.23</v>
      </c>
      <c r="AG1948">
        <v>0</v>
      </c>
      <c r="AH1948">
        <v>0</v>
      </c>
      <c r="AI1948" s="4">
        <v>40218</v>
      </c>
    </row>
    <row r="1949" spans="1:35">
      <c r="A1949">
        <v>1948</v>
      </c>
      <c r="B1949" t="str">
        <f>"002270"</f>
        <v>002270</v>
      </c>
      <c r="C1949" t="s">
        <v>9954</v>
      </c>
      <c r="D1949" s="4">
        <v>43190</v>
      </c>
      <c r="E1949" t="s">
        <v>169</v>
      </c>
      <c r="F1949" t="s">
        <v>188</v>
      </c>
      <c r="G1949" t="s">
        <v>779</v>
      </c>
      <c r="H1949">
        <v>0.06</v>
      </c>
      <c r="I1949">
        <v>4.3499999999999996</v>
      </c>
      <c r="J1949">
        <v>1.27</v>
      </c>
      <c r="K1949" t="s">
        <v>382</v>
      </c>
      <c r="L1949">
        <v>-20</v>
      </c>
      <c r="M1949" t="s">
        <v>9955</v>
      </c>
      <c r="N1949">
        <v>0</v>
      </c>
      <c r="O1949" t="s">
        <v>9538</v>
      </c>
      <c r="P1949" t="s">
        <v>9956</v>
      </c>
      <c r="Q1949">
        <v>-14.75</v>
      </c>
      <c r="R1949" t="s">
        <v>354</v>
      </c>
      <c r="S1949">
        <v>2.2599999999999998</v>
      </c>
      <c r="T1949">
        <v>56.5</v>
      </c>
      <c r="U1949" t="s">
        <v>570</v>
      </c>
      <c r="V1949" t="s">
        <v>1687</v>
      </c>
      <c r="W1949" t="s">
        <v>89</v>
      </c>
      <c r="X1949">
        <v>1.27</v>
      </c>
      <c r="Y1949" t="s">
        <v>2139</v>
      </c>
      <c r="Z1949" t="s">
        <v>2984</v>
      </c>
      <c r="AA1949" t="s">
        <v>9957</v>
      </c>
      <c r="AB1949">
        <v>2.0299999999999998</v>
      </c>
      <c r="AC1949" t="s">
        <v>1875</v>
      </c>
      <c r="AD1949">
        <v>72.62</v>
      </c>
      <c r="AE1949" t="s">
        <v>5864</v>
      </c>
      <c r="AF1949">
        <v>1.89</v>
      </c>
      <c r="AG1949">
        <v>0</v>
      </c>
      <c r="AH1949">
        <v>0</v>
      </c>
      <c r="AI1949" s="4">
        <v>39696</v>
      </c>
    </row>
    <row r="1950" spans="1:35">
      <c r="A1950">
        <v>1949</v>
      </c>
      <c r="B1950" t="str">
        <f>"002153"</f>
        <v>002153</v>
      </c>
      <c r="C1950" t="s">
        <v>9958</v>
      </c>
      <c r="D1950" s="4">
        <v>43190</v>
      </c>
      <c r="E1950" t="s">
        <v>295</v>
      </c>
      <c r="F1950" t="s">
        <v>616</v>
      </c>
      <c r="G1950" t="s">
        <v>3048</v>
      </c>
      <c r="H1950">
        <v>0.06</v>
      </c>
      <c r="I1950">
        <v>4.8899999999999997</v>
      </c>
      <c r="J1950">
        <v>1.27</v>
      </c>
      <c r="K1950" t="s">
        <v>68</v>
      </c>
      <c r="L1950">
        <v>-3.18</v>
      </c>
      <c r="M1950" t="s">
        <v>9959</v>
      </c>
      <c r="N1950" t="s">
        <v>3467</v>
      </c>
      <c r="O1950" t="s">
        <v>2155</v>
      </c>
      <c r="P1950" t="s">
        <v>9960</v>
      </c>
      <c r="Q1950">
        <v>6.58</v>
      </c>
      <c r="R1950" t="s">
        <v>2542</v>
      </c>
      <c r="S1950">
        <v>2.2799999999999998</v>
      </c>
      <c r="T1950">
        <v>50.2</v>
      </c>
      <c r="U1950" t="s">
        <v>2227</v>
      </c>
      <c r="V1950" t="s">
        <v>528</v>
      </c>
      <c r="W1950" t="s">
        <v>1797</v>
      </c>
      <c r="X1950">
        <v>1.27</v>
      </c>
      <c r="Y1950" t="s">
        <v>1190</v>
      </c>
      <c r="Z1950" t="s">
        <v>538</v>
      </c>
      <c r="AA1950" t="s">
        <v>2774</v>
      </c>
      <c r="AB1950">
        <v>5.3</v>
      </c>
      <c r="AC1950" t="s">
        <v>1388</v>
      </c>
      <c r="AD1950">
        <v>74.64</v>
      </c>
      <c r="AE1950" t="s">
        <v>298</v>
      </c>
      <c r="AF1950">
        <v>1.56</v>
      </c>
      <c r="AG1950">
        <v>0</v>
      </c>
      <c r="AH1950">
        <v>0</v>
      </c>
      <c r="AI1950" s="4">
        <v>39307</v>
      </c>
    </row>
    <row r="1951" spans="1:35">
      <c r="A1951">
        <v>1950</v>
      </c>
      <c r="B1951" t="str">
        <f>"002144"</f>
        <v>002144</v>
      </c>
      <c r="C1951" t="s">
        <v>9961</v>
      </c>
      <c r="D1951" s="4">
        <v>43190</v>
      </c>
      <c r="E1951" t="s">
        <v>1597</v>
      </c>
      <c r="F1951" t="s">
        <v>993</v>
      </c>
      <c r="G1951">
        <v>6578</v>
      </c>
      <c r="H1951">
        <v>0.12</v>
      </c>
      <c r="I1951">
        <v>9.41</v>
      </c>
      <c r="J1951">
        <v>1.27</v>
      </c>
      <c r="K1951" t="s">
        <v>802</v>
      </c>
      <c r="L1951">
        <v>-12.52</v>
      </c>
      <c r="M1951" t="s">
        <v>9962</v>
      </c>
      <c r="N1951" t="s">
        <v>9963</v>
      </c>
      <c r="O1951" t="s">
        <v>4826</v>
      </c>
      <c r="P1951" t="s">
        <v>9964</v>
      </c>
      <c r="Q1951">
        <v>3.35</v>
      </c>
      <c r="R1951" t="s">
        <v>1088</v>
      </c>
      <c r="S1951">
        <v>3.18</v>
      </c>
      <c r="T1951">
        <v>26.37</v>
      </c>
      <c r="U1951" t="s">
        <v>119</v>
      </c>
      <c r="V1951" t="s">
        <v>541</v>
      </c>
      <c r="W1951" t="s">
        <v>2507</v>
      </c>
      <c r="X1951">
        <v>1.27</v>
      </c>
      <c r="Y1951" t="s">
        <v>47</v>
      </c>
      <c r="Z1951" t="s">
        <v>91</v>
      </c>
      <c r="AA1951" t="s">
        <v>9965</v>
      </c>
      <c r="AB1951">
        <v>1.1200000000000001</v>
      </c>
      <c r="AC1951" t="s">
        <v>298</v>
      </c>
      <c r="AD1951">
        <v>83.46</v>
      </c>
      <c r="AE1951" t="s">
        <v>1394</v>
      </c>
      <c r="AF1951">
        <v>3.95</v>
      </c>
      <c r="AG1951">
        <v>0</v>
      </c>
      <c r="AH1951">
        <v>0</v>
      </c>
      <c r="AI1951" s="4">
        <v>39297</v>
      </c>
    </row>
    <row r="1952" spans="1:35">
      <c r="A1952">
        <v>1951</v>
      </c>
      <c r="B1952" t="str">
        <f>"603183"</f>
        <v>603183</v>
      </c>
      <c r="C1952" t="s">
        <v>9966</v>
      </c>
      <c r="D1952" s="4">
        <v>43190</v>
      </c>
      <c r="E1952" t="s">
        <v>2360</v>
      </c>
      <c r="F1952" t="s">
        <v>9967</v>
      </c>
      <c r="G1952">
        <v>1361</v>
      </c>
      <c r="H1952">
        <v>7.0000000000000007E-2</v>
      </c>
      <c r="I1952">
        <v>5.14</v>
      </c>
      <c r="J1952">
        <v>1.26</v>
      </c>
      <c r="K1952" t="s">
        <v>1728</v>
      </c>
      <c r="L1952">
        <v>3.8</v>
      </c>
      <c r="M1952" t="s">
        <v>4647</v>
      </c>
      <c r="N1952" t="s">
        <v>2945</v>
      </c>
      <c r="O1952" t="s">
        <v>9968</v>
      </c>
      <c r="P1952" t="s">
        <v>3508</v>
      </c>
      <c r="Q1952">
        <v>-27.45</v>
      </c>
      <c r="R1952" t="s">
        <v>986</v>
      </c>
      <c r="S1952">
        <v>1.69</v>
      </c>
      <c r="T1952">
        <v>41.5</v>
      </c>
      <c r="U1952" t="s">
        <v>539</v>
      </c>
      <c r="V1952" t="s">
        <v>6809</v>
      </c>
      <c r="W1952" t="s">
        <v>9969</v>
      </c>
      <c r="X1952">
        <v>1.26</v>
      </c>
      <c r="Y1952" t="s">
        <v>93</v>
      </c>
      <c r="Z1952" t="s">
        <v>1724</v>
      </c>
      <c r="AA1952" t="s">
        <v>7289</v>
      </c>
      <c r="AB1952">
        <v>4.7300000000000004</v>
      </c>
      <c r="AC1952" t="s">
        <v>504</v>
      </c>
      <c r="AD1952">
        <v>81.58</v>
      </c>
      <c r="AE1952" t="s">
        <v>1672</v>
      </c>
      <c r="AF1952">
        <v>2.41</v>
      </c>
      <c r="AG1952">
        <v>0</v>
      </c>
      <c r="AH1952">
        <v>0</v>
      </c>
      <c r="AI1952" s="4">
        <v>42983</v>
      </c>
    </row>
    <row r="1953" spans="1:35">
      <c r="A1953">
        <v>1952</v>
      </c>
      <c r="B1953" t="str">
        <f>"600804"</f>
        <v>600804</v>
      </c>
      <c r="C1953" t="s">
        <v>9970</v>
      </c>
      <c r="D1953" s="4">
        <v>43190</v>
      </c>
      <c r="E1953" t="s">
        <v>162</v>
      </c>
      <c r="F1953" t="s">
        <v>162</v>
      </c>
      <c r="G1953" t="s">
        <v>723</v>
      </c>
      <c r="H1953">
        <v>0.06</v>
      </c>
      <c r="I1953">
        <v>5.0599999999999996</v>
      </c>
      <c r="J1953">
        <v>1.26</v>
      </c>
      <c r="K1953" t="s">
        <v>775</v>
      </c>
      <c r="L1953">
        <v>-16.22</v>
      </c>
      <c r="M1953" t="s">
        <v>1349</v>
      </c>
      <c r="N1953" t="s">
        <v>9971</v>
      </c>
      <c r="O1953" t="s">
        <v>282</v>
      </c>
      <c r="P1953" t="s">
        <v>9972</v>
      </c>
      <c r="Q1953">
        <v>-47.18</v>
      </c>
      <c r="R1953" t="s">
        <v>1161</v>
      </c>
      <c r="S1953">
        <v>2.12</v>
      </c>
      <c r="T1953">
        <v>53.19</v>
      </c>
      <c r="U1953" t="s">
        <v>1931</v>
      </c>
      <c r="V1953" t="s">
        <v>2736</v>
      </c>
      <c r="W1953" t="s">
        <v>586</v>
      </c>
      <c r="X1953">
        <v>1.26</v>
      </c>
      <c r="Y1953" t="s">
        <v>764</v>
      </c>
      <c r="Z1953" t="s">
        <v>1159</v>
      </c>
      <c r="AA1953" t="s">
        <v>740</v>
      </c>
      <c r="AB1953">
        <v>2.42</v>
      </c>
      <c r="AC1953" t="s">
        <v>2492</v>
      </c>
      <c r="AD1953">
        <v>31.9</v>
      </c>
      <c r="AE1953" t="s">
        <v>223</v>
      </c>
      <c r="AF1953">
        <v>1.69</v>
      </c>
      <c r="AG1953">
        <v>0</v>
      </c>
      <c r="AH1953">
        <v>0</v>
      </c>
      <c r="AI1953" s="4">
        <v>34337</v>
      </c>
    </row>
    <row r="1954" spans="1:35">
      <c r="A1954">
        <v>1953</v>
      </c>
      <c r="B1954" t="str">
        <f>"600543"</f>
        <v>600543</v>
      </c>
      <c r="C1954" t="s">
        <v>9973</v>
      </c>
      <c r="D1954" s="4">
        <v>43190</v>
      </c>
      <c r="E1954" t="s">
        <v>559</v>
      </c>
      <c r="F1954" t="s">
        <v>559</v>
      </c>
      <c r="G1954" t="s">
        <v>135</v>
      </c>
      <c r="H1954">
        <v>0.04</v>
      </c>
      <c r="I1954">
        <v>3.55</v>
      </c>
      <c r="J1954">
        <v>1.26</v>
      </c>
      <c r="K1954" t="s">
        <v>7913</v>
      </c>
      <c r="L1954">
        <v>4.57</v>
      </c>
      <c r="M1954" t="s">
        <v>7765</v>
      </c>
      <c r="N1954" t="s">
        <v>2793</v>
      </c>
      <c r="O1954" t="s">
        <v>7780</v>
      </c>
      <c r="P1954" t="s">
        <v>5827</v>
      </c>
      <c r="Q1954">
        <v>6.26</v>
      </c>
      <c r="R1954" t="s">
        <v>669</v>
      </c>
      <c r="S1954">
        <v>0.74</v>
      </c>
      <c r="T1954">
        <v>60.48</v>
      </c>
      <c r="U1954" t="s">
        <v>926</v>
      </c>
      <c r="V1954" t="s">
        <v>3067</v>
      </c>
      <c r="W1954" t="s">
        <v>2010</v>
      </c>
      <c r="X1954">
        <v>1.26</v>
      </c>
      <c r="Y1954" t="s">
        <v>657</v>
      </c>
      <c r="Z1954" t="s">
        <v>804</v>
      </c>
      <c r="AA1954" t="s">
        <v>9974</v>
      </c>
      <c r="AB1954">
        <v>2.34</v>
      </c>
      <c r="AC1954" t="s">
        <v>354</v>
      </c>
      <c r="AD1954">
        <v>89.1</v>
      </c>
      <c r="AE1954" t="s">
        <v>381</v>
      </c>
      <c r="AF1954">
        <v>1.45</v>
      </c>
      <c r="AG1954">
        <v>0</v>
      </c>
      <c r="AH1954">
        <v>0</v>
      </c>
      <c r="AI1954" s="4">
        <v>38070</v>
      </c>
    </row>
    <row r="1955" spans="1:35">
      <c r="A1955">
        <v>1954</v>
      </c>
      <c r="B1955" t="str">
        <f>"300611"</f>
        <v>300611</v>
      </c>
      <c r="C1955" t="s">
        <v>9975</v>
      </c>
      <c r="D1955" s="4">
        <v>43190</v>
      </c>
      <c r="E1955" t="s">
        <v>345</v>
      </c>
      <c r="F1955" t="s">
        <v>4426</v>
      </c>
      <c r="G1955">
        <v>4232</v>
      </c>
      <c r="H1955">
        <v>0.05</v>
      </c>
      <c r="I1955">
        <v>3.82</v>
      </c>
      <c r="J1955">
        <v>1.26</v>
      </c>
      <c r="K1955" t="s">
        <v>804</v>
      </c>
      <c r="L1955">
        <v>13.51</v>
      </c>
      <c r="M1955" t="s">
        <v>4743</v>
      </c>
      <c r="N1955" t="s">
        <v>8285</v>
      </c>
      <c r="O1955" t="s">
        <v>1696</v>
      </c>
      <c r="P1955" t="s">
        <v>9976</v>
      </c>
      <c r="Q1955">
        <v>-28.53</v>
      </c>
      <c r="R1955" t="s">
        <v>618</v>
      </c>
      <c r="S1955">
        <v>1.1499999999999999</v>
      </c>
      <c r="T1955">
        <v>31.07</v>
      </c>
      <c r="U1955" t="s">
        <v>2620</v>
      </c>
      <c r="V1955" t="s">
        <v>2056</v>
      </c>
      <c r="W1955" t="s">
        <v>535</v>
      </c>
      <c r="X1955">
        <v>1.26</v>
      </c>
      <c r="Y1955" t="s">
        <v>2551</v>
      </c>
      <c r="Z1955" t="s">
        <v>862</v>
      </c>
      <c r="AA1955" t="s">
        <v>651</v>
      </c>
      <c r="AB1955">
        <v>2.99</v>
      </c>
      <c r="AC1955" t="s">
        <v>4435</v>
      </c>
      <c r="AD1955">
        <v>68.900000000000006</v>
      </c>
      <c r="AE1955" t="s">
        <v>1732</v>
      </c>
      <c r="AF1955">
        <v>1.54</v>
      </c>
      <c r="AG1955">
        <v>0</v>
      </c>
      <c r="AH1955">
        <v>0</v>
      </c>
      <c r="AI1955" s="4">
        <v>42786</v>
      </c>
    </row>
    <row r="1956" spans="1:35">
      <c r="A1956">
        <v>1955</v>
      </c>
      <c r="B1956" t="str">
        <f>"002596"</f>
        <v>002596</v>
      </c>
      <c r="C1956" t="s">
        <v>9977</v>
      </c>
      <c r="D1956" s="4">
        <v>43190</v>
      </c>
      <c r="E1956" t="s">
        <v>295</v>
      </c>
      <c r="F1956" t="s">
        <v>500</v>
      </c>
      <c r="G1956" t="s">
        <v>2969</v>
      </c>
      <c r="H1956">
        <v>0.03</v>
      </c>
      <c r="I1956">
        <v>2.77</v>
      </c>
      <c r="J1956">
        <v>1.26</v>
      </c>
      <c r="K1956" t="s">
        <v>1761</v>
      </c>
      <c r="L1956">
        <v>39.69</v>
      </c>
      <c r="M1956" t="s">
        <v>9978</v>
      </c>
      <c r="N1956" t="s">
        <v>9979</v>
      </c>
      <c r="O1956" t="s">
        <v>2905</v>
      </c>
      <c r="P1956" t="s">
        <v>9980</v>
      </c>
      <c r="Q1956">
        <v>273.70999999999998</v>
      </c>
      <c r="R1956" t="s">
        <v>1898</v>
      </c>
      <c r="S1956">
        <v>0.6</v>
      </c>
      <c r="T1956">
        <v>23.82</v>
      </c>
      <c r="U1956" t="s">
        <v>2534</v>
      </c>
      <c r="V1956" t="s">
        <v>2064</v>
      </c>
      <c r="W1956" t="s">
        <v>1907</v>
      </c>
      <c r="X1956">
        <v>1.26</v>
      </c>
      <c r="Y1956" t="s">
        <v>249</v>
      </c>
      <c r="Z1956" t="s">
        <v>1687</v>
      </c>
      <c r="AA1956" t="s">
        <v>63</v>
      </c>
      <c r="AB1956">
        <v>3.35</v>
      </c>
      <c r="AC1956" t="s">
        <v>1051</v>
      </c>
      <c r="AD1956">
        <v>47.84</v>
      </c>
      <c r="AE1956" t="s">
        <v>300</v>
      </c>
      <c r="AF1956">
        <v>1.17</v>
      </c>
      <c r="AG1956">
        <v>0</v>
      </c>
      <c r="AH1956">
        <v>0</v>
      </c>
      <c r="AI1956" s="4">
        <v>40731</v>
      </c>
    </row>
    <row r="1957" spans="1:35">
      <c r="A1957">
        <v>1956</v>
      </c>
      <c r="B1957" t="str">
        <f>"002478"</f>
        <v>002478</v>
      </c>
      <c r="C1957" t="s">
        <v>9981</v>
      </c>
      <c r="D1957" s="4">
        <v>43190</v>
      </c>
      <c r="E1957" t="s">
        <v>4236</v>
      </c>
      <c r="F1957" t="s">
        <v>1874</v>
      </c>
      <c r="G1957" t="s">
        <v>3640</v>
      </c>
      <c r="H1957">
        <v>0.05</v>
      </c>
      <c r="I1957">
        <v>3.77</v>
      </c>
      <c r="J1957">
        <v>1.26</v>
      </c>
      <c r="K1957" t="s">
        <v>323</v>
      </c>
      <c r="L1957">
        <v>75.31</v>
      </c>
      <c r="M1957" t="s">
        <v>9982</v>
      </c>
      <c r="N1957" t="s">
        <v>3151</v>
      </c>
      <c r="O1957" t="s">
        <v>2411</v>
      </c>
      <c r="P1957" t="s">
        <v>9983</v>
      </c>
      <c r="Q1957">
        <v>125.87</v>
      </c>
      <c r="R1957" t="s">
        <v>2329</v>
      </c>
      <c r="S1957">
        <v>1.01</v>
      </c>
      <c r="T1957">
        <v>18.46</v>
      </c>
      <c r="U1957" t="s">
        <v>832</v>
      </c>
      <c r="V1957" t="s">
        <v>1161</v>
      </c>
      <c r="W1957" t="s">
        <v>1126</v>
      </c>
      <c r="X1957">
        <v>1.26</v>
      </c>
      <c r="Y1957" t="s">
        <v>115</v>
      </c>
      <c r="Z1957" t="s">
        <v>1062</v>
      </c>
      <c r="AA1957" t="s">
        <v>9984</v>
      </c>
      <c r="AB1957">
        <v>1.1499999999999999</v>
      </c>
      <c r="AC1957" t="s">
        <v>1164</v>
      </c>
      <c r="AD1957">
        <v>64.27</v>
      </c>
      <c r="AE1957" t="s">
        <v>141</v>
      </c>
      <c r="AF1957">
        <v>1.5</v>
      </c>
      <c r="AG1957">
        <v>0</v>
      </c>
      <c r="AH1957">
        <v>0</v>
      </c>
      <c r="AI1957" s="4">
        <v>40442</v>
      </c>
    </row>
    <row r="1958" spans="1:35">
      <c r="A1958">
        <v>1957</v>
      </c>
      <c r="B1958" t="str">
        <f>"002454"</f>
        <v>002454</v>
      </c>
      <c r="C1958" t="s">
        <v>9985</v>
      </c>
      <c r="D1958" s="4">
        <v>43190</v>
      </c>
      <c r="E1958" t="s">
        <v>1491</v>
      </c>
      <c r="F1958" t="s">
        <v>792</v>
      </c>
      <c r="G1958" t="s">
        <v>3585</v>
      </c>
      <c r="H1958">
        <v>0.06</v>
      </c>
      <c r="I1958">
        <v>4.93</v>
      </c>
      <c r="J1958">
        <v>1.26</v>
      </c>
      <c r="K1958" t="s">
        <v>5598</v>
      </c>
      <c r="L1958">
        <v>-6.45</v>
      </c>
      <c r="M1958" t="s">
        <v>9986</v>
      </c>
      <c r="N1958" t="s">
        <v>5398</v>
      </c>
      <c r="O1958" t="s">
        <v>9987</v>
      </c>
      <c r="P1958" t="s">
        <v>9988</v>
      </c>
      <c r="Q1958">
        <v>-46.95</v>
      </c>
      <c r="R1958" t="s">
        <v>50</v>
      </c>
      <c r="S1958">
        <v>2.48</v>
      </c>
      <c r="T1958">
        <v>26.31</v>
      </c>
      <c r="U1958" t="s">
        <v>2633</v>
      </c>
      <c r="V1958" t="s">
        <v>1312</v>
      </c>
      <c r="W1958" t="s">
        <v>4539</v>
      </c>
      <c r="X1958">
        <v>1.26</v>
      </c>
      <c r="Y1958" t="s">
        <v>1386</v>
      </c>
      <c r="Z1958" t="s">
        <v>1687</v>
      </c>
      <c r="AA1958" t="s">
        <v>474</v>
      </c>
      <c r="AB1958">
        <v>1.1200000000000001</v>
      </c>
      <c r="AC1958" t="s">
        <v>907</v>
      </c>
      <c r="AD1958">
        <v>51.6</v>
      </c>
      <c r="AE1958" t="s">
        <v>1065</v>
      </c>
      <c r="AF1958">
        <v>1.21</v>
      </c>
      <c r="AG1958">
        <v>0</v>
      </c>
      <c r="AH1958">
        <v>0</v>
      </c>
      <c r="AI1958" s="4">
        <v>40379</v>
      </c>
    </row>
    <row r="1959" spans="1:35">
      <c r="A1959">
        <v>1958</v>
      </c>
      <c r="B1959" t="str">
        <f>"000680"</f>
        <v>000680</v>
      </c>
      <c r="C1959" t="s">
        <v>9989</v>
      </c>
      <c r="D1959" s="4">
        <v>43190</v>
      </c>
      <c r="E1959" t="s">
        <v>548</v>
      </c>
      <c r="F1959" t="s">
        <v>521</v>
      </c>
      <c r="G1959">
        <v>8728</v>
      </c>
      <c r="H1959">
        <v>0.03</v>
      </c>
      <c r="I1959">
        <v>2.7</v>
      </c>
      <c r="J1959">
        <v>1.26</v>
      </c>
      <c r="K1959" t="s">
        <v>1693</v>
      </c>
      <c r="L1959">
        <v>30.83</v>
      </c>
      <c r="M1959" t="s">
        <v>2157</v>
      </c>
      <c r="N1959" t="s">
        <v>2552</v>
      </c>
      <c r="O1959" t="s">
        <v>9990</v>
      </c>
      <c r="P1959" t="s">
        <v>9991</v>
      </c>
      <c r="Q1959">
        <v>149.71</v>
      </c>
      <c r="R1959" t="s">
        <v>174</v>
      </c>
      <c r="S1959">
        <v>0.43</v>
      </c>
      <c r="T1959">
        <v>14.03</v>
      </c>
      <c r="U1959" t="s">
        <v>232</v>
      </c>
      <c r="V1959" t="s">
        <v>6920</v>
      </c>
      <c r="W1959" t="s">
        <v>820</v>
      </c>
      <c r="X1959">
        <v>1.26</v>
      </c>
      <c r="Y1959" t="s">
        <v>979</v>
      </c>
      <c r="Z1959" t="s">
        <v>572</v>
      </c>
      <c r="AA1959" t="s">
        <v>164</v>
      </c>
      <c r="AB1959">
        <v>1.21</v>
      </c>
      <c r="AC1959" t="s">
        <v>3073</v>
      </c>
      <c r="AD1959">
        <v>33.06</v>
      </c>
      <c r="AE1959" t="s">
        <v>625</v>
      </c>
      <c r="AF1959">
        <v>0.97</v>
      </c>
      <c r="AG1959">
        <v>0</v>
      </c>
      <c r="AH1959">
        <v>0</v>
      </c>
      <c r="AI1959" s="4">
        <v>35452</v>
      </c>
    </row>
    <row r="1960" spans="1:35">
      <c r="A1960">
        <v>1959</v>
      </c>
      <c r="B1960" t="str">
        <f>"300195"</f>
        <v>300195</v>
      </c>
      <c r="C1960" t="s">
        <v>9992</v>
      </c>
      <c r="D1960" s="4">
        <v>43190</v>
      </c>
      <c r="E1960" t="s">
        <v>704</v>
      </c>
      <c r="F1960" t="s">
        <v>145</v>
      </c>
      <c r="G1960" t="s">
        <v>2531</v>
      </c>
      <c r="H1960">
        <v>0.11</v>
      </c>
      <c r="I1960">
        <v>8.83</v>
      </c>
      <c r="J1960">
        <v>1.25</v>
      </c>
      <c r="K1960" t="s">
        <v>47</v>
      </c>
      <c r="L1960">
        <v>38.85</v>
      </c>
      <c r="M1960" t="s">
        <v>9993</v>
      </c>
      <c r="N1960" t="s">
        <v>9994</v>
      </c>
      <c r="O1960" t="s">
        <v>6900</v>
      </c>
      <c r="P1960" t="s">
        <v>9995</v>
      </c>
      <c r="Q1960">
        <v>14.68</v>
      </c>
      <c r="R1960" t="s">
        <v>647</v>
      </c>
      <c r="S1960">
        <v>1.18</v>
      </c>
      <c r="T1960">
        <v>41.11</v>
      </c>
      <c r="U1960" t="s">
        <v>1338</v>
      </c>
      <c r="V1960" t="s">
        <v>2542</v>
      </c>
      <c r="W1960" t="s">
        <v>695</v>
      </c>
      <c r="X1960">
        <v>1.25</v>
      </c>
      <c r="Y1960" t="s">
        <v>625</v>
      </c>
      <c r="Z1960" t="s">
        <v>226</v>
      </c>
      <c r="AA1960" t="s">
        <v>1074</v>
      </c>
      <c r="AB1960">
        <v>1.22</v>
      </c>
      <c r="AC1960" t="s">
        <v>235</v>
      </c>
      <c r="AD1960">
        <v>73.180000000000007</v>
      </c>
      <c r="AE1960" t="s">
        <v>1313</v>
      </c>
      <c r="AF1960">
        <v>6.49</v>
      </c>
      <c r="AG1960">
        <v>0</v>
      </c>
      <c r="AH1960">
        <v>0</v>
      </c>
      <c r="AI1960" s="4">
        <v>40631</v>
      </c>
    </row>
    <row r="1961" spans="1:35">
      <c r="A1961">
        <v>1960</v>
      </c>
      <c r="B1961" t="str">
        <f>"300177"</f>
        <v>300177</v>
      </c>
      <c r="C1961" t="s">
        <v>9996</v>
      </c>
      <c r="D1961" s="4">
        <v>43190</v>
      </c>
      <c r="E1961" t="s">
        <v>922</v>
      </c>
      <c r="F1961" t="s">
        <v>1964</v>
      </c>
      <c r="G1961">
        <v>8301</v>
      </c>
      <c r="H1961">
        <v>0.05</v>
      </c>
      <c r="I1961">
        <v>3.83</v>
      </c>
      <c r="J1961">
        <v>1.25</v>
      </c>
      <c r="K1961" t="s">
        <v>1489</v>
      </c>
      <c r="L1961">
        <v>40.57</v>
      </c>
      <c r="M1961" t="s">
        <v>8232</v>
      </c>
      <c r="N1961" t="s">
        <v>8630</v>
      </c>
      <c r="O1961" t="s">
        <v>9309</v>
      </c>
      <c r="P1961" t="s">
        <v>7281</v>
      </c>
      <c r="Q1961">
        <v>336.11</v>
      </c>
      <c r="R1961" t="s">
        <v>241</v>
      </c>
      <c r="S1961">
        <v>0.88</v>
      </c>
      <c r="T1961">
        <v>49.02</v>
      </c>
      <c r="U1961" t="s">
        <v>253</v>
      </c>
      <c r="V1961" t="s">
        <v>833</v>
      </c>
      <c r="W1961" t="s">
        <v>284</v>
      </c>
      <c r="X1961">
        <v>1.25</v>
      </c>
      <c r="Y1961" t="s">
        <v>1565</v>
      </c>
      <c r="Z1961" t="s">
        <v>599</v>
      </c>
      <c r="AA1961" t="s">
        <v>2307</v>
      </c>
      <c r="AB1961">
        <v>3.35</v>
      </c>
      <c r="AC1961" t="s">
        <v>304</v>
      </c>
      <c r="AD1961">
        <v>69.34</v>
      </c>
      <c r="AE1961" t="s">
        <v>2930</v>
      </c>
      <c r="AF1961">
        <v>1.96</v>
      </c>
      <c r="AG1961">
        <v>0</v>
      </c>
      <c r="AH1961">
        <v>0</v>
      </c>
      <c r="AI1961" s="4">
        <v>40589</v>
      </c>
    </row>
    <row r="1962" spans="1:35">
      <c r="A1962">
        <v>1961</v>
      </c>
      <c r="B1962" t="str">
        <f>"002542"</f>
        <v>002542</v>
      </c>
      <c r="C1962" t="s">
        <v>9997</v>
      </c>
      <c r="D1962" s="4">
        <v>43190</v>
      </c>
      <c r="E1962" t="s">
        <v>1455</v>
      </c>
      <c r="F1962" t="s">
        <v>4435</v>
      </c>
      <c r="G1962">
        <v>9829</v>
      </c>
      <c r="H1962">
        <v>0.02</v>
      </c>
      <c r="I1962">
        <v>1.94</v>
      </c>
      <c r="J1962">
        <v>1.25</v>
      </c>
      <c r="K1962" t="s">
        <v>541</v>
      </c>
      <c r="L1962">
        <v>39.96</v>
      </c>
      <c r="M1962" t="s">
        <v>9998</v>
      </c>
      <c r="N1962" t="s">
        <v>9999</v>
      </c>
      <c r="O1962" t="s">
        <v>8943</v>
      </c>
      <c r="P1962" t="s">
        <v>10000</v>
      </c>
      <c r="Q1962">
        <v>13.58</v>
      </c>
      <c r="R1962" t="s">
        <v>906</v>
      </c>
      <c r="S1962">
        <v>0.48</v>
      </c>
      <c r="T1962">
        <v>23.46</v>
      </c>
      <c r="U1962" t="s">
        <v>2014</v>
      </c>
      <c r="V1962" t="s">
        <v>956</v>
      </c>
      <c r="W1962" t="s">
        <v>1082</v>
      </c>
      <c r="X1962">
        <v>1.25</v>
      </c>
      <c r="Y1962" t="s">
        <v>1031</v>
      </c>
      <c r="Z1962" t="s">
        <v>817</v>
      </c>
      <c r="AA1962" t="s">
        <v>1502</v>
      </c>
      <c r="AB1962">
        <v>3.15</v>
      </c>
      <c r="AC1962" t="s">
        <v>2866</v>
      </c>
      <c r="AD1962">
        <v>47.86</v>
      </c>
      <c r="AE1962" t="s">
        <v>1644</v>
      </c>
      <c r="AF1962">
        <v>0.45</v>
      </c>
      <c r="AG1962">
        <v>0</v>
      </c>
      <c r="AH1962">
        <v>0</v>
      </c>
      <c r="AI1962" s="4">
        <v>40571</v>
      </c>
    </row>
    <row r="1963" spans="1:35">
      <c r="A1963">
        <v>1962</v>
      </c>
      <c r="B1963" t="str">
        <f>"002167"</f>
        <v>002167</v>
      </c>
      <c r="C1963" t="s">
        <v>10001</v>
      </c>
      <c r="D1963" s="4">
        <v>43190</v>
      </c>
      <c r="E1963" t="s">
        <v>661</v>
      </c>
      <c r="F1963" t="s">
        <v>860</v>
      </c>
      <c r="G1963">
        <v>9795</v>
      </c>
      <c r="H1963">
        <v>0.02</v>
      </c>
      <c r="I1963">
        <v>1.68</v>
      </c>
      <c r="J1963">
        <v>1.25</v>
      </c>
      <c r="K1963" t="s">
        <v>920</v>
      </c>
      <c r="L1963">
        <v>1.42</v>
      </c>
      <c r="M1963" t="s">
        <v>10002</v>
      </c>
      <c r="N1963" t="s">
        <v>10003</v>
      </c>
      <c r="O1963" t="s">
        <v>9464</v>
      </c>
      <c r="P1963" t="s">
        <v>10004</v>
      </c>
      <c r="Q1963">
        <v>293.43</v>
      </c>
      <c r="R1963" t="s">
        <v>10005</v>
      </c>
      <c r="S1963">
        <v>-0.21</v>
      </c>
      <c r="T1963">
        <v>28.79</v>
      </c>
      <c r="U1963" t="s">
        <v>1308</v>
      </c>
      <c r="V1963" t="s">
        <v>5620</v>
      </c>
      <c r="W1963" t="s">
        <v>6159</v>
      </c>
      <c r="X1963">
        <v>1.25</v>
      </c>
      <c r="Y1963" t="s">
        <v>298</v>
      </c>
      <c r="Z1963" t="s">
        <v>147</v>
      </c>
      <c r="AA1963" t="s">
        <v>289</v>
      </c>
      <c r="AB1963">
        <v>3.58</v>
      </c>
      <c r="AC1963" t="s">
        <v>407</v>
      </c>
      <c r="AD1963">
        <v>39.25</v>
      </c>
      <c r="AE1963" t="s">
        <v>2938</v>
      </c>
      <c r="AF1963">
        <v>0.96</v>
      </c>
      <c r="AG1963">
        <v>0</v>
      </c>
      <c r="AH1963">
        <v>0</v>
      </c>
      <c r="AI1963" s="4">
        <v>39338</v>
      </c>
    </row>
    <row r="1964" spans="1:35">
      <c r="A1964">
        <v>1963</v>
      </c>
      <c r="B1964" t="str">
        <f>"002101"</f>
        <v>002101</v>
      </c>
      <c r="C1964" t="s">
        <v>10006</v>
      </c>
      <c r="D1964" s="4">
        <v>43190</v>
      </c>
      <c r="E1964" t="s">
        <v>943</v>
      </c>
      <c r="F1964" t="s">
        <v>4756</v>
      </c>
      <c r="G1964" t="s">
        <v>2221</v>
      </c>
      <c r="H1964">
        <v>0.1</v>
      </c>
      <c r="I1964">
        <v>8.1300000000000008</v>
      </c>
      <c r="J1964">
        <v>1.25</v>
      </c>
      <c r="K1964" t="s">
        <v>1307</v>
      </c>
      <c r="L1964">
        <v>68.290000000000006</v>
      </c>
      <c r="M1964" t="s">
        <v>10007</v>
      </c>
      <c r="N1964" t="s">
        <v>10008</v>
      </c>
      <c r="O1964" t="s">
        <v>10009</v>
      </c>
      <c r="P1964" t="s">
        <v>1068</v>
      </c>
      <c r="Q1964">
        <v>-2.0099999999999998</v>
      </c>
      <c r="R1964" t="s">
        <v>903</v>
      </c>
      <c r="S1964">
        <v>1.62</v>
      </c>
      <c r="T1964">
        <v>25.02</v>
      </c>
      <c r="U1964" t="s">
        <v>6615</v>
      </c>
      <c r="V1964" t="s">
        <v>1224</v>
      </c>
      <c r="W1964" t="s">
        <v>1843</v>
      </c>
      <c r="X1964">
        <v>1.25</v>
      </c>
      <c r="Y1964" t="s">
        <v>2238</v>
      </c>
      <c r="Z1964" t="s">
        <v>1051</v>
      </c>
      <c r="AA1964" t="s">
        <v>1184</v>
      </c>
      <c r="AB1964">
        <v>1.04</v>
      </c>
      <c r="AC1964" t="s">
        <v>773</v>
      </c>
      <c r="AD1964">
        <v>55.39</v>
      </c>
      <c r="AE1964" t="s">
        <v>386</v>
      </c>
      <c r="AF1964">
        <v>5.33</v>
      </c>
      <c r="AG1964">
        <v>0</v>
      </c>
      <c r="AH1964">
        <v>0</v>
      </c>
      <c r="AI1964" s="4">
        <v>39080</v>
      </c>
    </row>
    <row r="1965" spans="1:35">
      <c r="A1965">
        <v>1964</v>
      </c>
      <c r="B1965" t="str">
        <f>"603767"</f>
        <v>603767</v>
      </c>
      <c r="C1965" t="s">
        <v>10010</v>
      </c>
      <c r="D1965" s="4">
        <v>43190</v>
      </c>
      <c r="E1965" t="s">
        <v>1621</v>
      </c>
      <c r="F1965" t="s">
        <v>10011</v>
      </c>
      <c r="G1965">
        <v>2545</v>
      </c>
      <c r="H1965">
        <v>0.06</v>
      </c>
      <c r="I1965">
        <v>4.5999999999999996</v>
      </c>
      <c r="J1965">
        <v>1.24</v>
      </c>
      <c r="K1965" t="s">
        <v>912</v>
      </c>
      <c r="L1965">
        <v>2.86</v>
      </c>
      <c r="M1965" t="s">
        <v>10012</v>
      </c>
      <c r="N1965" t="s">
        <v>10013</v>
      </c>
      <c r="O1965" t="s">
        <v>10014</v>
      </c>
      <c r="P1965" t="s">
        <v>10015</v>
      </c>
      <c r="Q1965">
        <v>-17.899999999999999</v>
      </c>
      <c r="R1965" t="s">
        <v>1235</v>
      </c>
      <c r="S1965">
        <v>1.1599999999999999</v>
      </c>
      <c r="T1965">
        <v>19.850000000000001</v>
      </c>
      <c r="U1965" t="s">
        <v>1455</v>
      </c>
      <c r="V1965" t="s">
        <v>602</v>
      </c>
      <c r="W1965" t="s">
        <v>5842</v>
      </c>
      <c r="X1965">
        <v>1.24</v>
      </c>
      <c r="Y1965" t="s">
        <v>1035</v>
      </c>
      <c r="Z1965" t="s">
        <v>144</v>
      </c>
      <c r="AA1965" t="s">
        <v>10016</v>
      </c>
      <c r="AB1965">
        <v>1.81</v>
      </c>
      <c r="AC1965" t="s">
        <v>161</v>
      </c>
      <c r="AD1965">
        <v>79.459999999999994</v>
      </c>
      <c r="AE1965" t="s">
        <v>1649</v>
      </c>
      <c r="AF1965">
        <v>2.15</v>
      </c>
      <c r="AG1965">
        <v>0</v>
      </c>
      <c r="AH1965">
        <v>0</v>
      </c>
      <c r="AI1965" s="4">
        <v>42899</v>
      </c>
    </row>
    <row r="1966" spans="1:35">
      <c r="A1966">
        <v>1965</v>
      </c>
      <c r="B1966" t="str">
        <f>"601500"</f>
        <v>601500</v>
      </c>
      <c r="C1966" t="s">
        <v>10017</v>
      </c>
      <c r="D1966" s="4">
        <v>43190</v>
      </c>
      <c r="E1966" t="s">
        <v>1649</v>
      </c>
      <c r="F1966" t="s">
        <v>284</v>
      </c>
      <c r="G1966">
        <v>2795</v>
      </c>
      <c r="H1966">
        <v>0.04</v>
      </c>
      <c r="I1966">
        <v>3.54</v>
      </c>
      <c r="J1966">
        <v>1.24</v>
      </c>
      <c r="K1966" t="s">
        <v>3639</v>
      </c>
      <c r="L1966">
        <v>8.2799999999999994</v>
      </c>
      <c r="M1966" t="s">
        <v>10018</v>
      </c>
      <c r="N1966">
        <v>-618</v>
      </c>
      <c r="O1966" t="s">
        <v>5846</v>
      </c>
      <c r="P1966" t="s">
        <v>8889</v>
      </c>
      <c r="Q1966">
        <v>10.52</v>
      </c>
      <c r="R1966" t="s">
        <v>895</v>
      </c>
      <c r="S1966">
        <v>1.3</v>
      </c>
      <c r="T1966">
        <v>13.95</v>
      </c>
      <c r="U1966" t="s">
        <v>2452</v>
      </c>
      <c r="V1966" t="s">
        <v>2568</v>
      </c>
      <c r="W1966" t="s">
        <v>926</v>
      </c>
      <c r="X1966">
        <v>1.24</v>
      </c>
      <c r="Y1966" t="s">
        <v>759</v>
      </c>
      <c r="Z1966" t="s">
        <v>759</v>
      </c>
      <c r="AA1966" t="s">
        <v>10019</v>
      </c>
      <c r="AB1966">
        <v>2.46</v>
      </c>
      <c r="AC1966" t="s">
        <v>2515</v>
      </c>
      <c r="AD1966">
        <v>63.8</v>
      </c>
      <c r="AE1966" t="s">
        <v>561</v>
      </c>
      <c r="AF1966">
        <v>1.02</v>
      </c>
      <c r="AG1966">
        <v>0</v>
      </c>
      <c r="AH1966">
        <v>0</v>
      </c>
      <c r="AI1966" s="4">
        <v>42632</v>
      </c>
    </row>
    <row r="1967" spans="1:35">
      <c r="A1967">
        <v>1966</v>
      </c>
      <c r="B1967" t="str">
        <f>"600647"</f>
        <v>600647</v>
      </c>
      <c r="C1967" t="s">
        <v>10020</v>
      </c>
      <c r="D1967" s="4">
        <v>43190</v>
      </c>
      <c r="E1967" t="s">
        <v>657</v>
      </c>
      <c r="F1967" t="s">
        <v>657</v>
      </c>
      <c r="G1967" t="s">
        <v>4360</v>
      </c>
      <c r="H1967">
        <v>0.03</v>
      </c>
      <c r="I1967">
        <v>2.42</v>
      </c>
      <c r="J1967">
        <v>1.24</v>
      </c>
      <c r="K1967" t="s">
        <v>4598</v>
      </c>
      <c r="L1967">
        <v>6.07</v>
      </c>
      <c r="M1967" t="s">
        <v>5859</v>
      </c>
      <c r="N1967" t="s">
        <v>1424</v>
      </c>
      <c r="O1967" t="s">
        <v>3730</v>
      </c>
      <c r="P1967" t="s">
        <v>8409</v>
      </c>
      <c r="Q1967">
        <v>-66.52</v>
      </c>
      <c r="R1967" t="s">
        <v>1360</v>
      </c>
      <c r="S1967">
        <v>1.19</v>
      </c>
      <c r="T1967">
        <v>66.22</v>
      </c>
      <c r="U1967" t="s">
        <v>1438</v>
      </c>
      <c r="V1967" t="s">
        <v>3496</v>
      </c>
      <c r="W1967" t="s">
        <v>6098</v>
      </c>
      <c r="X1967">
        <v>1.24</v>
      </c>
      <c r="Y1967" t="s">
        <v>345</v>
      </c>
      <c r="Z1967" t="s">
        <v>1202</v>
      </c>
      <c r="AA1967" t="s">
        <v>10021</v>
      </c>
      <c r="AB1967">
        <v>5.99</v>
      </c>
      <c r="AC1967" t="s">
        <v>52</v>
      </c>
      <c r="AD1967">
        <v>61.32</v>
      </c>
      <c r="AE1967" t="s">
        <v>10022</v>
      </c>
      <c r="AF1967">
        <v>0</v>
      </c>
      <c r="AG1967">
        <v>0</v>
      </c>
      <c r="AH1967">
        <v>0</v>
      </c>
      <c r="AI1967" s="4">
        <v>34093</v>
      </c>
    </row>
    <row r="1968" spans="1:35">
      <c r="A1968">
        <v>1967</v>
      </c>
      <c r="B1968" t="str">
        <f>"600278"</f>
        <v>600278</v>
      </c>
      <c r="C1968" t="s">
        <v>10023</v>
      </c>
      <c r="D1968" s="4">
        <v>43190</v>
      </c>
      <c r="E1968" t="s">
        <v>4427</v>
      </c>
      <c r="F1968" t="s">
        <v>4427</v>
      </c>
      <c r="G1968" t="s">
        <v>2572</v>
      </c>
      <c r="H1968">
        <v>0.1</v>
      </c>
      <c r="I1968">
        <v>7.79</v>
      </c>
      <c r="J1968">
        <v>1.24</v>
      </c>
      <c r="K1968" t="s">
        <v>3288</v>
      </c>
      <c r="L1968">
        <v>27.15</v>
      </c>
      <c r="M1968" t="s">
        <v>2415</v>
      </c>
      <c r="N1968" t="s">
        <v>9732</v>
      </c>
      <c r="O1968" t="s">
        <v>10024</v>
      </c>
      <c r="P1968" t="s">
        <v>10025</v>
      </c>
      <c r="Q1968">
        <v>16.989999999999998</v>
      </c>
      <c r="R1968" t="s">
        <v>300</v>
      </c>
      <c r="S1968">
        <v>2.39</v>
      </c>
      <c r="T1968">
        <v>4.42</v>
      </c>
      <c r="U1968" t="s">
        <v>9300</v>
      </c>
      <c r="V1968" t="s">
        <v>2106</v>
      </c>
      <c r="W1968" t="s">
        <v>2383</v>
      </c>
      <c r="X1968">
        <v>1.24</v>
      </c>
      <c r="Y1968" t="s">
        <v>2541</v>
      </c>
      <c r="Z1968" t="s">
        <v>2700</v>
      </c>
      <c r="AA1968" t="s">
        <v>611</v>
      </c>
      <c r="AB1968">
        <v>1</v>
      </c>
      <c r="AC1968" t="s">
        <v>369</v>
      </c>
      <c r="AD1968">
        <v>50.25</v>
      </c>
      <c r="AE1968" t="s">
        <v>2678</v>
      </c>
      <c r="AF1968">
        <v>1.84</v>
      </c>
      <c r="AG1968">
        <v>0</v>
      </c>
      <c r="AH1968">
        <v>0</v>
      </c>
      <c r="AI1968" s="4">
        <v>36719</v>
      </c>
    </row>
    <row r="1969" spans="1:35">
      <c r="A1969">
        <v>1968</v>
      </c>
      <c r="B1969" t="str">
        <f>"600218"</f>
        <v>600218</v>
      </c>
      <c r="C1969" t="s">
        <v>10026</v>
      </c>
      <c r="D1969" s="4">
        <v>43190</v>
      </c>
      <c r="E1969" t="s">
        <v>3726</v>
      </c>
      <c r="F1969" t="s">
        <v>3726</v>
      </c>
      <c r="G1969" t="s">
        <v>1448</v>
      </c>
      <c r="H1969">
        <v>7.0000000000000007E-2</v>
      </c>
      <c r="I1969">
        <v>5.25</v>
      </c>
      <c r="J1969">
        <v>1.24</v>
      </c>
      <c r="K1969" t="s">
        <v>2767</v>
      </c>
      <c r="L1969">
        <v>2.75</v>
      </c>
      <c r="M1969" t="s">
        <v>2226</v>
      </c>
      <c r="N1969" t="s">
        <v>8258</v>
      </c>
      <c r="O1969" t="s">
        <v>10027</v>
      </c>
      <c r="P1969" t="s">
        <v>10028</v>
      </c>
      <c r="Q1969">
        <v>-38.869999999999997</v>
      </c>
      <c r="R1969" t="s">
        <v>498</v>
      </c>
      <c r="S1969">
        <v>1.0900000000000001</v>
      </c>
      <c r="T1969">
        <v>11.59</v>
      </c>
      <c r="U1969" t="s">
        <v>1781</v>
      </c>
      <c r="V1969" t="s">
        <v>1908</v>
      </c>
      <c r="W1969" t="s">
        <v>3986</v>
      </c>
      <c r="X1969">
        <v>1.24</v>
      </c>
      <c r="Y1969" t="s">
        <v>187</v>
      </c>
      <c r="Z1969" t="s">
        <v>754</v>
      </c>
      <c r="AA1969" t="s">
        <v>10029</v>
      </c>
      <c r="AB1969">
        <v>0.95</v>
      </c>
      <c r="AC1969" t="s">
        <v>2328</v>
      </c>
      <c r="AD1969">
        <v>50.23</v>
      </c>
      <c r="AE1969" t="s">
        <v>919</v>
      </c>
      <c r="AF1969">
        <v>2.83</v>
      </c>
      <c r="AG1969">
        <v>0</v>
      </c>
      <c r="AH1969">
        <v>0</v>
      </c>
      <c r="AI1969" s="4">
        <v>36132</v>
      </c>
    </row>
    <row r="1970" spans="1:35">
      <c r="A1970">
        <v>1969</v>
      </c>
      <c r="B1970" t="str">
        <f>"300505"</f>
        <v>300505</v>
      </c>
      <c r="C1970" t="s">
        <v>10030</v>
      </c>
      <c r="D1970" s="4">
        <v>43190</v>
      </c>
      <c r="E1970" t="s">
        <v>10031</v>
      </c>
      <c r="F1970" t="s">
        <v>3800</v>
      </c>
      <c r="G1970">
        <v>2364</v>
      </c>
      <c r="H1970">
        <v>0.09</v>
      </c>
      <c r="I1970">
        <v>6.98</v>
      </c>
      <c r="J1970">
        <v>1.24</v>
      </c>
      <c r="K1970" t="s">
        <v>1202</v>
      </c>
      <c r="L1970">
        <v>7.32</v>
      </c>
      <c r="M1970" t="s">
        <v>6328</v>
      </c>
      <c r="N1970">
        <v>0</v>
      </c>
      <c r="O1970" t="s">
        <v>6328</v>
      </c>
      <c r="P1970" t="s">
        <v>8083</v>
      </c>
      <c r="Q1970">
        <v>8.7100000000000009</v>
      </c>
      <c r="R1970" t="s">
        <v>217</v>
      </c>
      <c r="S1970">
        <v>2.62</v>
      </c>
      <c r="T1970">
        <v>27.03</v>
      </c>
      <c r="U1970" t="s">
        <v>3124</v>
      </c>
      <c r="V1970" t="s">
        <v>647</v>
      </c>
      <c r="W1970" t="s">
        <v>2733</v>
      </c>
      <c r="X1970">
        <v>1.24</v>
      </c>
      <c r="Y1970" t="s">
        <v>3441</v>
      </c>
      <c r="Z1970" t="s">
        <v>94</v>
      </c>
      <c r="AA1970" t="s">
        <v>10032</v>
      </c>
      <c r="AB1970">
        <v>4.04</v>
      </c>
      <c r="AC1970" t="s">
        <v>1898</v>
      </c>
      <c r="AD1970">
        <v>68.2</v>
      </c>
      <c r="AE1970" t="s">
        <v>91</v>
      </c>
      <c r="AF1970">
        <v>2.97</v>
      </c>
      <c r="AG1970">
        <v>0</v>
      </c>
      <c r="AH1970">
        <v>0</v>
      </c>
      <c r="AI1970" s="4">
        <v>42444</v>
      </c>
    </row>
    <row r="1971" spans="1:35">
      <c r="A1971">
        <v>1970</v>
      </c>
      <c r="B1971" t="str">
        <f>"300293"</f>
        <v>300293</v>
      </c>
      <c r="C1971" t="s">
        <v>10033</v>
      </c>
      <c r="D1971" s="4">
        <v>43190</v>
      </c>
      <c r="E1971" t="s">
        <v>1977</v>
      </c>
      <c r="F1971" t="s">
        <v>1977</v>
      </c>
      <c r="G1971" t="s">
        <v>1448</v>
      </c>
      <c r="H1971">
        <v>0.03</v>
      </c>
      <c r="I1971">
        <v>2.75</v>
      </c>
      <c r="J1971">
        <v>1.24</v>
      </c>
      <c r="K1971" t="s">
        <v>2268</v>
      </c>
      <c r="L1971">
        <v>579.79</v>
      </c>
      <c r="M1971" t="s">
        <v>7780</v>
      </c>
      <c r="N1971" t="s">
        <v>10034</v>
      </c>
      <c r="O1971" t="s">
        <v>3625</v>
      </c>
      <c r="P1971" t="s">
        <v>10035</v>
      </c>
      <c r="Q1971">
        <v>149.82</v>
      </c>
      <c r="R1971" t="s">
        <v>200</v>
      </c>
      <c r="S1971">
        <v>0.72</v>
      </c>
      <c r="T1971">
        <v>29.09</v>
      </c>
      <c r="U1971" t="s">
        <v>1348</v>
      </c>
      <c r="V1971" t="s">
        <v>80</v>
      </c>
      <c r="W1971" t="s">
        <v>594</v>
      </c>
      <c r="X1971">
        <v>1.24</v>
      </c>
      <c r="Y1971" t="s">
        <v>855</v>
      </c>
      <c r="Z1971" t="s">
        <v>1025</v>
      </c>
      <c r="AA1971" t="s">
        <v>148</v>
      </c>
      <c r="AB1971">
        <v>3.29</v>
      </c>
      <c r="AC1971" t="s">
        <v>1042</v>
      </c>
      <c r="AD1971">
        <v>30.83</v>
      </c>
      <c r="AE1971" t="s">
        <v>148</v>
      </c>
      <c r="AF1971">
        <v>0.73</v>
      </c>
      <c r="AG1971">
        <v>0</v>
      </c>
      <c r="AH1971">
        <v>0</v>
      </c>
      <c r="AI1971" s="4">
        <v>40976</v>
      </c>
    </row>
    <row r="1972" spans="1:35">
      <c r="A1972">
        <v>1971</v>
      </c>
      <c r="B1972" t="str">
        <f>"002735"</f>
        <v>002735</v>
      </c>
      <c r="C1972" t="s">
        <v>10036</v>
      </c>
      <c r="D1972" s="4">
        <v>43190</v>
      </c>
      <c r="E1972" t="s">
        <v>10037</v>
      </c>
      <c r="F1972" t="s">
        <v>10038</v>
      </c>
      <c r="G1972">
        <v>4640</v>
      </c>
      <c r="H1972">
        <v>0.08</v>
      </c>
      <c r="I1972">
        <v>6.2</v>
      </c>
      <c r="J1972">
        <v>1.24</v>
      </c>
      <c r="K1972" t="s">
        <v>45</v>
      </c>
      <c r="L1972">
        <v>12.39</v>
      </c>
      <c r="M1972" t="s">
        <v>10039</v>
      </c>
      <c r="N1972" t="s">
        <v>6044</v>
      </c>
      <c r="O1972" t="s">
        <v>2899</v>
      </c>
      <c r="P1972" t="s">
        <v>5334</v>
      </c>
      <c r="Q1972">
        <v>-20.07</v>
      </c>
      <c r="R1972" t="s">
        <v>1977</v>
      </c>
      <c r="S1972">
        <v>3.12</v>
      </c>
      <c r="T1972">
        <v>23.2</v>
      </c>
      <c r="U1972" t="s">
        <v>598</v>
      </c>
      <c r="V1972" t="s">
        <v>2580</v>
      </c>
      <c r="W1972" t="s">
        <v>10040</v>
      </c>
      <c r="X1972">
        <v>1.24</v>
      </c>
      <c r="Y1972" t="s">
        <v>844</v>
      </c>
      <c r="Z1972" t="s">
        <v>95</v>
      </c>
      <c r="AA1972" t="s">
        <v>7399</v>
      </c>
      <c r="AB1972">
        <v>5.19</v>
      </c>
      <c r="AC1972" t="s">
        <v>2178</v>
      </c>
      <c r="AD1972">
        <v>70.77</v>
      </c>
      <c r="AE1972" t="s">
        <v>531</v>
      </c>
      <c r="AF1972">
        <v>2.87</v>
      </c>
      <c r="AG1972">
        <v>0</v>
      </c>
      <c r="AH1972">
        <v>0</v>
      </c>
      <c r="AI1972" s="4">
        <v>41976</v>
      </c>
    </row>
    <row r="1973" spans="1:35">
      <c r="A1973">
        <v>1972</v>
      </c>
      <c r="B1973" t="str">
        <f>"002351"</f>
        <v>002351</v>
      </c>
      <c r="C1973" t="s">
        <v>10041</v>
      </c>
      <c r="D1973" s="4">
        <v>43190</v>
      </c>
      <c r="E1973" t="s">
        <v>1157</v>
      </c>
      <c r="F1973" t="s">
        <v>1621</v>
      </c>
      <c r="G1973">
        <v>7135</v>
      </c>
      <c r="H1973">
        <v>0.04</v>
      </c>
      <c r="I1973">
        <v>3</v>
      </c>
      <c r="J1973">
        <v>1.24</v>
      </c>
      <c r="K1973" t="s">
        <v>1624</v>
      </c>
      <c r="L1973">
        <v>-6.44</v>
      </c>
      <c r="M1973" t="s">
        <v>10042</v>
      </c>
      <c r="N1973" t="s">
        <v>6253</v>
      </c>
      <c r="O1973" t="s">
        <v>10043</v>
      </c>
      <c r="P1973" t="s">
        <v>1844</v>
      </c>
      <c r="Q1973">
        <v>-39.409999999999997</v>
      </c>
      <c r="R1973" t="s">
        <v>202</v>
      </c>
      <c r="S1973">
        <v>0.71</v>
      </c>
      <c r="T1973">
        <v>29.86</v>
      </c>
      <c r="U1973" t="s">
        <v>691</v>
      </c>
      <c r="V1973" t="s">
        <v>80</v>
      </c>
      <c r="W1973" t="s">
        <v>1324</v>
      </c>
      <c r="X1973">
        <v>1.24</v>
      </c>
      <c r="Y1973" t="s">
        <v>284</v>
      </c>
      <c r="Z1973" t="s">
        <v>552</v>
      </c>
      <c r="AA1973" t="s">
        <v>10044</v>
      </c>
      <c r="AB1973">
        <v>2.15</v>
      </c>
      <c r="AC1973" t="s">
        <v>303</v>
      </c>
      <c r="AD1973">
        <v>90.42</v>
      </c>
      <c r="AE1973" t="s">
        <v>2264</v>
      </c>
      <c r="AF1973">
        <v>1.26</v>
      </c>
      <c r="AG1973">
        <v>0</v>
      </c>
      <c r="AH1973">
        <v>0</v>
      </c>
      <c r="AI1973" s="4">
        <v>40214</v>
      </c>
    </row>
    <row r="1974" spans="1:35">
      <c r="A1974">
        <v>1973</v>
      </c>
      <c r="B1974" t="str">
        <f>"000788"</f>
        <v>000788</v>
      </c>
      <c r="C1974" t="s">
        <v>10045</v>
      </c>
      <c r="D1974" s="4">
        <v>43190</v>
      </c>
      <c r="E1974" t="s">
        <v>1056</v>
      </c>
      <c r="F1974" t="s">
        <v>872</v>
      </c>
      <c r="G1974" t="s">
        <v>4774</v>
      </c>
      <c r="H1974">
        <v>0.02</v>
      </c>
      <c r="I1974">
        <v>1.99</v>
      </c>
      <c r="J1974">
        <v>1.24</v>
      </c>
      <c r="K1974" t="s">
        <v>1565</v>
      </c>
      <c r="L1974">
        <v>13.93</v>
      </c>
      <c r="M1974" t="s">
        <v>3816</v>
      </c>
      <c r="N1974" t="s">
        <v>7592</v>
      </c>
      <c r="O1974" t="s">
        <v>3816</v>
      </c>
      <c r="P1974" t="s">
        <v>9080</v>
      </c>
      <c r="Q1974">
        <v>109.91</v>
      </c>
      <c r="R1974" t="s">
        <v>1383</v>
      </c>
      <c r="S1974">
        <v>0.59</v>
      </c>
      <c r="T1974">
        <v>39.36</v>
      </c>
      <c r="U1974" t="s">
        <v>420</v>
      </c>
      <c r="V1974" t="s">
        <v>183</v>
      </c>
      <c r="W1974" t="s">
        <v>382</v>
      </c>
      <c r="X1974">
        <v>1.24</v>
      </c>
      <c r="Y1974" t="s">
        <v>513</v>
      </c>
      <c r="Z1974" t="s">
        <v>4224</v>
      </c>
      <c r="AA1974" t="s">
        <v>4212</v>
      </c>
      <c r="AB1974">
        <v>3.21</v>
      </c>
      <c r="AC1974" t="s">
        <v>1033</v>
      </c>
      <c r="AD1974">
        <v>55.83</v>
      </c>
      <c r="AE1974" t="s">
        <v>1264</v>
      </c>
      <c r="AF1974">
        <v>0.33</v>
      </c>
      <c r="AG1974">
        <v>0</v>
      </c>
      <c r="AH1974">
        <v>0</v>
      </c>
      <c r="AI1974" s="4">
        <v>35597</v>
      </c>
    </row>
    <row r="1975" spans="1:35">
      <c r="A1975">
        <v>1974</v>
      </c>
      <c r="B1975" t="str">
        <f>"000753"</f>
        <v>000753</v>
      </c>
      <c r="C1975" t="s">
        <v>10046</v>
      </c>
      <c r="D1975" s="4">
        <v>43190</v>
      </c>
      <c r="E1975" t="s">
        <v>1079</v>
      </c>
      <c r="F1975" t="s">
        <v>3546</v>
      </c>
      <c r="G1975" t="s">
        <v>70</v>
      </c>
      <c r="H1975">
        <v>0.03</v>
      </c>
      <c r="I1975">
        <v>2.21</v>
      </c>
      <c r="J1975">
        <v>1.24</v>
      </c>
      <c r="K1975" t="s">
        <v>491</v>
      </c>
      <c r="L1975">
        <v>1.23</v>
      </c>
      <c r="M1975" t="s">
        <v>9070</v>
      </c>
      <c r="N1975" t="s">
        <v>10047</v>
      </c>
      <c r="O1975" t="s">
        <v>7822</v>
      </c>
      <c r="P1975" t="s">
        <v>7577</v>
      </c>
      <c r="Q1975">
        <v>172.36</v>
      </c>
      <c r="R1975" t="s">
        <v>860</v>
      </c>
      <c r="S1975">
        <v>0.49</v>
      </c>
      <c r="T1975">
        <v>16.940000000000001</v>
      </c>
      <c r="U1975" t="s">
        <v>1446</v>
      </c>
      <c r="V1975" t="s">
        <v>1127</v>
      </c>
      <c r="W1975" t="s">
        <v>2581</v>
      </c>
      <c r="X1975">
        <v>1.24</v>
      </c>
      <c r="Y1975" t="s">
        <v>2100</v>
      </c>
      <c r="Z1975" t="s">
        <v>876</v>
      </c>
      <c r="AA1975" t="s">
        <v>2310</v>
      </c>
      <c r="AB1975">
        <v>1.28</v>
      </c>
      <c r="AC1975" t="s">
        <v>2568</v>
      </c>
      <c r="AD1975">
        <v>43.95</v>
      </c>
      <c r="AE1975" t="s">
        <v>1523</v>
      </c>
      <c r="AF1975">
        <v>0.66</v>
      </c>
      <c r="AG1975">
        <v>0</v>
      </c>
      <c r="AH1975">
        <v>0</v>
      </c>
      <c r="AI1975" s="4">
        <v>35607</v>
      </c>
    </row>
    <row r="1976" spans="1:35">
      <c r="A1976">
        <v>1975</v>
      </c>
      <c r="B1976" t="str">
        <f>"601163"</f>
        <v>601163</v>
      </c>
      <c r="C1976" t="s">
        <v>10048</v>
      </c>
      <c r="D1976" s="4">
        <v>43190</v>
      </c>
      <c r="E1976" t="s">
        <v>539</v>
      </c>
      <c r="F1976" t="s">
        <v>1664</v>
      </c>
      <c r="G1976">
        <v>3699</v>
      </c>
      <c r="H1976">
        <v>0.12</v>
      </c>
      <c r="I1976">
        <v>10.14</v>
      </c>
      <c r="J1976">
        <v>1.23</v>
      </c>
      <c r="K1976" t="s">
        <v>1455</v>
      </c>
      <c r="L1976">
        <v>-16.399999999999999</v>
      </c>
      <c r="M1976" t="s">
        <v>443</v>
      </c>
      <c r="N1976" t="s">
        <v>7200</v>
      </c>
      <c r="O1976" t="s">
        <v>1626</v>
      </c>
      <c r="P1976" t="s">
        <v>6940</v>
      </c>
      <c r="Q1976">
        <v>-36.93</v>
      </c>
      <c r="R1976" t="s">
        <v>244</v>
      </c>
      <c r="S1976">
        <v>2.94</v>
      </c>
      <c r="T1976">
        <v>20.190000000000001</v>
      </c>
      <c r="U1976" t="s">
        <v>929</v>
      </c>
      <c r="V1976" t="s">
        <v>1952</v>
      </c>
      <c r="W1976" t="s">
        <v>1443</v>
      </c>
      <c r="X1976">
        <v>1.23</v>
      </c>
      <c r="Y1976" t="s">
        <v>1107</v>
      </c>
      <c r="Z1976" t="s">
        <v>3653</v>
      </c>
      <c r="AA1976" t="s">
        <v>79</v>
      </c>
      <c r="AB1976">
        <v>1.32</v>
      </c>
      <c r="AC1976" t="s">
        <v>2708</v>
      </c>
      <c r="AD1976">
        <v>56.14</v>
      </c>
      <c r="AE1976" t="s">
        <v>2452</v>
      </c>
      <c r="AF1976">
        <v>5.15</v>
      </c>
      <c r="AG1976">
        <v>0</v>
      </c>
      <c r="AH1976">
        <v>0</v>
      </c>
      <c r="AI1976" s="4">
        <v>42622</v>
      </c>
    </row>
    <row r="1977" spans="1:35">
      <c r="A1977">
        <v>1976</v>
      </c>
      <c r="B1977" t="str">
        <f>"600121"</f>
        <v>600121</v>
      </c>
      <c r="C1977" t="s">
        <v>10049</v>
      </c>
      <c r="D1977" s="4">
        <v>43190</v>
      </c>
      <c r="E1977" t="s">
        <v>1496</v>
      </c>
      <c r="F1977" t="s">
        <v>1496</v>
      </c>
      <c r="G1977" t="s">
        <v>2511</v>
      </c>
      <c r="H1977">
        <v>0.04</v>
      </c>
      <c r="I1977">
        <v>3.38</v>
      </c>
      <c r="J1977">
        <v>1.23</v>
      </c>
      <c r="K1977" t="s">
        <v>835</v>
      </c>
      <c r="L1977">
        <v>-23.34</v>
      </c>
      <c r="M1977" t="s">
        <v>322</v>
      </c>
      <c r="N1977" t="s">
        <v>10050</v>
      </c>
      <c r="O1977" t="s">
        <v>452</v>
      </c>
      <c r="P1977" t="s">
        <v>6265</v>
      </c>
      <c r="Q1977">
        <v>-81.8</v>
      </c>
      <c r="R1977" t="s">
        <v>919</v>
      </c>
      <c r="S1977">
        <v>1.02</v>
      </c>
      <c r="T1977">
        <v>34.42</v>
      </c>
      <c r="U1977" t="s">
        <v>689</v>
      </c>
      <c r="V1977" t="s">
        <v>2881</v>
      </c>
      <c r="W1977" t="s">
        <v>2267</v>
      </c>
      <c r="X1977">
        <v>1.23</v>
      </c>
      <c r="Y1977" t="s">
        <v>1857</v>
      </c>
      <c r="Z1977" t="s">
        <v>247</v>
      </c>
      <c r="AA1977" t="s">
        <v>610</v>
      </c>
      <c r="AB1977">
        <v>1.26</v>
      </c>
      <c r="AC1977" t="s">
        <v>457</v>
      </c>
      <c r="AD1977">
        <v>29.94</v>
      </c>
      <c r="AE1977" t="s">
        <v>4962</v>
      </c>
      <c r="AF1977">
        <v>0.44</v>
      </c>
      <c r="AG1977">
        <v>0</v>
      </c>
      <c r="AH1977">
        <v>0</v>
      </c>
      <c r="AI1977" s="4">
        <v>35802</v>
      </c>
    </row>
    <row r="1978" spans="1:35">
      <c r="A1978">
        <v>1977</v>
      </c>
      <c r="B1978" t="str">
        <f>"600111"</f>
        <v>600111</v>
      </c>
      <c r="C1978" t="s">
        <v>10051</v>
      </c>
      <c r="D1978" s="4">
        <v>43190</v>
      </c>
      <c r="E1978" t="s">
        <v>2833</v>
      </c>
      <c r="F1978" t="s">
        <v>2833</v>
      </c>
      <c r="G1978" t="s">
        <v>1228</v>
      </c>
      <c r="H1978">
        <v>0.03</v>
      </c>
      <c r="I1978">
        <v>2.46</v>
      </c>
      <c r="J1978">
        <v>1.23</v>
      </c>
      <c r="K1978" t="s">
        <v>386</v>
      </c>
      <c r="L1978">
        <v>56.53</v>
      </c>
      <c r="M1978" t="s">
        <v>66</v>
      </c>
      <c r="N1978" t="s">
        <v>2906</v>
      </c>
      <c r="O1978" t="s">
        <v>696</v>
      </c>
      <c r="P1978" t="s">
        <v>600</v>
      </c>
      <c r="Q1978">
        <v>46.41</v>
      </c>
      <c r="R1978" t="s">
        <v>2871</v>
      </c>
      <c r="S1978">
        <v>1.02</v>
      </c>
      <c r="T1978">
        <v>15.34</v>
      </c>
      <c r="U1978" t="s">
        <v>1150</v>
      </c>
      <c r="V1978" t="s">
        <v>814</v>
      </c>
      <c r="W1978" t="s">
        <v>1386</v>
      </c>
      <c r="X1978">
        <v>1.23</v>
      </c>
      <c r="Y1978" t="s">
        <v>586</v>
      </c>
      <c r="Z1978" t="s">
        <v>5268</v>
      </c>
      <c r="AA1978" t="s">
        <v>1859</v>
      </c>
      <c r="AB1978">
        <v>4.67</v>
      </c>
      <c r="AC1978" t="s">
        <v>7220</v>
      </c>
      <c r="AD1978">
        <v>41.16</v>
      </c>
      <c r="AE1978" t="s">
        <v>610</v>
      </c>
      <c r="AF1978">
        <v>0.04</v>
      </c>
      <c r="AG1978">
        <v>0</v>
      </c>
      <c r="AH1978">
        <v>0</v>
      </c>
      <c r="AI1978" s="4">
        <v>35697</v>
      </c>
    </row>
    <row r="1979" spans="1:35">
      <c r="A1979">
        <v>1978</v>
      </c>
      <c r="B1979" t="str">
        <f>"300095"</f>
        <v>300095</v>
      </c>
      <c r="C1979" t="s">
        <v>10052</v>
      </c>
      <c r="D1979" s="4">
        <v>43190</v>
      </c>
      <c r="E1979" t="s">
        <v>2665</v>
      </c>
      <c r="F1979" t="s">
        <v>986</v>
      </c>
      <c r="G1979" t="s">
        <v>1381</v>
      </c>
      <c r="H1979">
        <v>0.05</v>
      </c>
      <c r="I1979">
        <v>3.43</v>
      </c>
      <c r="J1979">
        <v>1.23</v>
      </c>
      <c r="K1979" t="s">
        <v>1855</v>
      </c>
      <c r="L1979">
        <v>50.39</v>
      </c>
      <c r="M1979" t="s">
        <v>10053</v>
      </c>
      <c r="N1979" t="s">
        <v>10054</v>
      </c>
      <c r="O1979" t="s">
        <v>10055</v>
      </c>
      <c r="P1979" t="s">
        <v>10056</v>
      </c>
      <c r="Q1979">
        <v>81.96</v>
      </c>
      <c r="R1979" t="s">
        <v>301</v>
      </c>
      <c r="S1979">
        <v>0.81</v>
      </c>
      <c r="T1979">
        <v>38.020000000000003</v>
      </c>
      <c r="U1979" t="s">
        <v>370</v>
      </c>
      <c r="V1979" t="s">
        <v>1307</v>
      </c>
      <c r="W1979" t="s">
        <v>681</v>
      </c>
      <c r="X1979">
        <v>1.23</v>
      </c>
      <c r="Y1979" t="s">
        <v>1033</v>
      </c>
      <c r="Z1979" t="s">
        <v>1198</v>
      </c>
      <c r="AA1979" t="s">
        <v>1609</v>
      </c>
      <c r="AB1979">
        <v>1.84</v>
      </c>
      <c r="AC1979" t="s">
        <v>840</v>
      </c>
      <c r="AD1979">
        <v>50.41</v>
      </c>
      <c r="AE1979" t="s">
        <v>1502</v>
      </c>
      <c r="AF1979">
        <v>1.53</v>
      </c>
      <c r="AG1979">
        <v>0</v>
      </c>
      <c r="AH1979">
        <v>0</v>
      </c>
      <c r="AI1979" s="4">
        <v>40387</v>
      </c>
    </row>
    <row r="1980" spans="1:35">
      <c r="A1980">
        <v>1979</v>
      </c>
      <c r="B1980" t="str">
        <f>"002908"</f>
        <v>002908</v>
      </c>
      <c r="C1980" t="s">
        <v>10057</v>
      </c>
      <c r="D1980" s="4">
        <v>43190</v>
      </c>
      <c r="E1980" t="s">
        <v>45</v>
      </c>
      <c r="F1980" t="s">
        <v>4597</v>
      </c>
      <c r="G1980">
        <v>1297</v>
      </c>
      <c r="H1980">
        <v>0.06</v>
      </c>
      <c r="I1980">
        <v>4.54</v>
      </c>
      <c r="J1980">
        <v>1.23</v>
      </c>
      <c r="K1980" t="s">
        <v>10058</v>
      </c>
      <c r="L1980">
        <v>11.94</v>
      </c>
      <c r="M1980" t="s">
        <v>5674</v>
      </c>
      <c r="N1980">
        <v>0</v>
      </c>
      <c r="O1980" t="s">
        <v>5674</v>
      </c>
      <c r="P1980" t="s">
        <v>8198</v>
      </c>
      <c r="Q1980">
        <v>38.07</v>
      </c>
      <c r="R1980" t="s">
        <v>256</v>
      </c>
      <c r="S1980">
        <v>0.65</v>
      </c>
      <c r="T1980">
        <v>39.909999999999997</v>
      </c>
      <c r="U1980" t="s">
        <v>6262</v>
      </c>
      <c r="V1980" t="s">
        <v>566</v>
      </c>
      <c r="W1980" t="s">
        <v>10059</v>
      </c>
      <c r="X1980">
        <v>1.23</v>
      </c>
      <c r="Y1980" t="s">
        <v>84</v>
      </c>
      <c r="Z1980" t="s">
        <v>657</v>
      </c>
      <c r="AA1980" t="s">
        <v>6934</v>
      </c>
      <c r="AB1980">
        <v>7.33</v>
      </c>
      <c r="AC1980" t="s">
        <v>1491</v>
      </c>
      <c r="AD1980">
        <v>81.77</v>
      </c>
      <c r="AE1980" t="s">
        <v>2268</v>
      </c>
      <c r="AF1980">
        <v>2.76</v>
      </c>
      <c r="AG1980">
        <v>0</v>
      </c>
      <c r="AH1980">
        <v>0</v>
      </c>
      <c r="AI1980" s="4">
        <v>43028</v>
      </c>
    </row>
    <row r="1981" spans="1:35">
      <c r="A1981">
        <v>1980</v>
      </c>
      <c r="B1981" t="str">
        <f>"002538"</f>
        <v>002538</v>
      </c>
      <c r="C1981" t="s">
        <v>10060</v>
      </c>
      <c r="D1981" s="4">
        <v>43190</v>
      </c>
      <c r="E1981" t="s">
        <v>2061</v>
      </c>
      <c r="F1981" t="s">
        <v>2853</v>
      </c>
      <c r="G1981" t="s">
        <v>3789</v>
      </c>
      <c r="H1981">
        <v>0.06</v>
      </c>
      <c r="I1981">
        <v>4.54</v>
      </c>
      <c r="J1981">
        <v>1.23</v>
      </c>
      <c r="K1981" t="s">
        <v>988</v>
      </c>
      <c r="L1981">
        <v>-1.43</v>
      </c>
      <c r="M1981" t="s">
        <v>9658</v>
      </c>
      <c r="N1981" t="s">
        <v>10061</v>
      </c>
      <c r="O1981" t="s">
        <v>10062</v>
      </c>
      <c r="P1981" t="s">
        <v>10063</v>
      </c>
      <c r="Q1981">
        <v>20.21</v>
      </c>
      <c r="R1981" t="s">
        <v>147</v>
      </c>
      <c r="S1981">
        <v>1.41</v>
      </c>
      <c r="T1981">
        <v>23.72</v>
      </c>
      <c r="U1981" t="s">
        <v>1446</v>
      </c>
      <c r="V1981" t="s">
        <v>2273</v>
      </c>
      <c r="W1981" t="s">
        <v>1214</v>
      </c>
      <c r="X1981">
        <v>1.23</v>
      </c>
      <c r="Y1981" t="s">
        <v>747</v>
      </c>
      <c r="Z1981" t="s">
        <v>721</v>
      </c>
      <c r="AA1981" t="s">
        <v>541</v>
      </c>
      <c r="AB1981">
        <v>1.26</v>
      </c>
      <c r="AC1981" t="s">
        <v>1219</v>
      </c>
      <c r="AD1981">
        <v>67.67</v>
      </c>
      <c r="AE1981" t="s">
        <v>176</v>
      </c>
      <c r="AF1981">
        <v>1.92</v>
      </c>
      <c r="AG1981">
        <v>0</v>
      </c>
      <c r="AH1981">
        <v>0</v>
      </c>
      <c r="AI1981" s="4">
        <v>40561</v>
      </c>
    </row>
    <row r="1982" spans="1:35">
      <c r="A1982">
        <v>1981</v>
      </c>
      <c r="B1982" t="str">
        <f>"002515"</f>
        <v>002515</v>
      </c>
      <c r="C1982" t="s">
        <v>10064</v>
      </c>
      <c r="D1982" s="4">
        <v>43190</v>
      </c>
      <c r="E1982" t="s">
        <v>722</v>
      </c>
      <c r="F1982" t="s">
        <v>5864</v>
      </c>
      <c r="G1982" t="s">
        <v>3163</v>
      </c>
      <c r="H1982">
        <v>0.02</v>
      </c>
      <c r="I1982">
        <v>1.51</v>
      </c>
      <c r="J1982">
        <v>1.23</v>
      </c>
      <c r="K1982" t="s">
        <v>657</v>
      </c>
      <c r="L1982">
        <v>19.63</v>
      </c>
      <c r="M1982" t="s">
        <v>8283</v>
      </c>
      <c r="N1982" t="s">
        <v>10065</v>
      </c>
      <c r="O1982" t="s">
        <v>10066</v>
      </c>
      <c r="P1982" t="s">
        <v>10067</v>
      </c>
      <c r="Q1982">
        <v>28.5</v>
      </c>
      <c r="R1982" t="s">
        <v>1184</v>
      </c>
      <c r="S1982">
        <v>0.28999999999999998</v>
      </c>
      <c r="T1982">
        <v>43.25</v>
      </c>
      <c r="U1982" t="s">
        <v>514</v>
      </c>
      <c r="V1982" t="s">
        <v>407</v>
      </c>
      <c r="W1982" t="s">
        <v>3119</v>
      </c>
      <c r="X1982">
        <v>1.23</v>
      </c>
      <c r="Y1982" t="s">
        <v>642</v>
      </c>
      <c r="Z1982" t="s">
        <v>10068</v>
      </c>
      <c r="AA1982" t="s">
        <v>5491</v>
      </c>
      <c r="AB1982">
        <v>4.29</v>
      </c>
      <c r="AC1982" t="s">
        <v>80</v>
      </c>
      <c r="AD1982">
        <v>69.239999999999995</v>
      </c>
      <c r="AE1982" t="s">
        <v>290</v>
      </c>
      <c r="AF1982">
        <v>0.17</v>
      </c>
      <c r="AG1982">
        <v>0</v>
      </c>
      <c r="AH1982">
        <v>0</v>
      </c>
      <c r="AI1982" s="4">
        <v>40515</v>
      </c>
    </row>
    <row r="1983" spans="1:35">
      <c r="A1983">
        <v>1982</v>
      </c>
      <c r="B1983" t="str">
        <f>"002241"</f>
        <v>002241</v>
      </c>
      <c r="C1983" t="s">
        <v>10069</v>
      </c>
      <c r="D1983" s="4">
        <v>43190</v>
      </c>
      <c r="E1983" t="s">
        <v>1396</v>
      </c>
      <c r="F1983" t="s">
        <v>1675</v>
      </c>
      <c r="G1983" t="s">
        <v>1694</v>
      </c>
      <c r="H1983">
        <v>0.06</v>
      </c>
      <c r="I1983">
        <v>4.54</v>
      </c>
      <c r="J1983">
        <v>1.23</v>
      </c>
      <c r="K1983" t="s">
        <v>1545</v>
      </c>
      <c r="L1983">
        <v>-10.61</v>
      </c>
      <c r="M1983" t="s">
        <v>1417</v>
      </c>
      <c r="N1983" t="s">
        <v>2734</v>
      </c>
      <c r="O1983" t="s">
        <v>1417</v>
      </c>
      <c r="P1983" t="s">
        <v>37</v>
      </c>
      <c r="Q1983">
        <v>-38.549999999999997</v>
      </c>
      <c r="R1983" t="s">
        <v>3068</v>
      </c>
      <c r="S1983">
        <v>2.38</v>
      </c>
      <c r="T1983">
        <v>21.9</v>
      </c>
      <c r="U1983" t="s">
        <v>2201</v>
      </c>
      <c r="V1983" t="s">
        <v>3449</v>
      </c>
      <c r="W1983" t="s">
        <v>1262</v>
      </c>
      <c r="X1983">
        <v>1.23</v>
      </c>
      <c r="Y1983" t="s">
        <v>9819</v>
      </c>
      <c r="Z1983" t="s">
        <v>2354</v>
      </c>
      <c r="AA1983" t="s">
        <v>1082</v>
      </c>
      <c r="AB1983">
        <v>2.2200000000000002</v>
      </c>
      <c r="AC1983" t="s">
        <v>571</v>
      </c>
      <c r="AD1983">
        <v>60.44</v>
      </c>
      <c r="AE1983" t="s">
        <v>1242</v>
      </c>
      <c r="AF1983">
        <v>0.91</v>
      </c>
      <c r="AG1983">
        <v>0</v>
      </c>
      <c r="AH1983">
        <v>0</v>
      </c>
      <c r="AI1983" s="4">
        <v>39590</v>
      </c>
    </row>
    <row r="1984" spans="1:35">
      <c r="A1984">
        <v>1983</v>
      </c>
      <c r="B1984" t="str">
        <f>"000151"</f>
        <v>000151</v>
      </c>
      <c r="C1984" t="s">
        <v>10070</v>
      </c>
      <c r="D1984" s="4">
        <v>43190</v>
      </c>
      <c r="E1984" t="s">
        <v>36</v>
      </c>
      <c r="F1984" t="s">
        <v>122</v>
      </c>
      <c r="G1984">
        <v>4317</v>
      </c>
      <c r="H1984">
        <v>0.04</v>
      </c>
      <c r="I1984">
        <v>3.14</v>
      </c>
      <c r="J1984">
        <v>1.23</v>
      </c>
      <c r="K1984" t="s">
        <v>3894</v>
      </c>
      <c r="L1984">
        <v>26.68</v>
      </c>
      <c r="M1984" t="s">
        <v>9764</v>
      </c>
      <c r="N1984">
        <v>0</v>
      </c>
      <c r="O1984" t="s">
        <v>7042</v>
      </c>
      <c r="P1984" t="s">
        <v>3041</v>
      </c>
      <c r="Q1984">
        <v>-44.81</v>
      </c>
      <c r="R1984" t="s">
        <v>1626</v>
      </c>
      <c r="S1984">
        <v>0.15</v>
      </c>
      <c r="T1984">
        <v>12.18</v>
      </c>
      <c r="U1984" t="s">
        <v>276</v>
      </c>
      <c r="V1984" t="s">
        <v>389</v>
      </c>
      <c r="W1984" t="s">
        <v>9165</v>
      </c>
      <c r="X1984">
        <v>1.23</v>
      </c>
      <c r="Y1984" t="s">
        <v>840</v>
      </c>
      <c r="Z1984" t="s">
        <v>840</v>
      </c>
      <c r="AA1984" t="s">
        <v>5250</v>
      </c>
      <c r="AB1984">
        <v>3.5</v>
      </c>
      <c r="AC1984" t="s">
        <v>895</v>
      </c>
      <c r="AD1984">
        <v>43.31</v>
      </c>
      <c r="AE1984" t="s">
        <v>540</v>
      </c>
      <c r="AF1984">
        <v>1.49</v>
      </c>
      <c r="AG1984">
        <v>0</v>
      </c>
      <c r="AH1984">
        <v>0</v>
      </c>
      <c r="AI1984" s="4">
        <v>36775</v>
      </c>
    </row>
    <row r="1985" spans="1:35">
      <c r="A1985">
        <v>1984</v>
      </c>
      <c r="B1985" t="str">
        <f>"600841"</f>
        <v>600841</v>
      </c>
      <c r="C1985" t="s">
        <v>10071</v>
      </c>
      <c r="D1985" s="4">
        <v>43190</v>
      </c>
      <c r="E1985" t="s">
        <v>1658</v>
      </c>
      <c r="F1985" t="s">
        <v>4427</v>
      </c>
      <c r="G1985">
        <v>0</v>
      </c>
      <c r="H1985">
        <v>0.05</v>
      </c>
      <c r="I1985">
        <v>4.24</v>
      </c>
      <c r="J1985">
        <v>1.22</v>
      </c>
      <c r="K1985" t="s">
        <v>1223</v>
      </c>
      <c r="L1985">
        <v>37.950000000000003</v>
      </c>
      <c r="M1985" t="s">
        <v>10072</v>
      </c>
      <c r="N1985" t="s">
        <v>2764</v>
      </c>
      <c r="O1985" t="s">
        <v>7634</v>
      </c>
      <c r="P1985" t="s">
        <v>6594</v>
      </c>
      <c r="Q1985">
        <v>48.99</v>
      </c>
      <c r="R1985" t="s">
        <v>354</v>
      </c>
      <c r="S1985">
        <v>1.31</v>
      </c>
      <c r="T1985">
        <v>14.32</v>
      </c>
      <c r="U1985" t="s">
        <v>1857</v>
      </c>
      <c r="V1985" t="s">
        <v>1446</v>
      </c>
      <c r="W1985" t="s">
        <v>1033</v>
      </c>
      <c r="X1985">
        <v>1.22</v>
      </c>
      <c r="Y1985" t="s">
        <v>1054</v>
      </c>
      <c r="Z1985" t="s">
        <v>1515</v>
      </c>
      <c r="AA1985" t="s">
        <v>84</v>
      </c>
      <c r="AB1985">
        <v>2.12</v>
      </c>
      <c r="AC1985" t="s">
        <v>2866</v>
      </c>
      <c r="AD1985">
        <v>53.39</v>
      </c>
      <c r="AE1985" t="s">
        <v>147</v>
      </c>
      <c r="AF1985">
        <v>1.3</v>
      </c>
      <c r="AG1985" t="s">
        <v>1594</v>
      </c>
      <c r="AH1985">
        <v>0</v>
      </c>
      <c r="AI1985" s="4">
        <v>34404</v>
      </c>
    </row>
    <row r="1986" spans="1:35">
      <c r="A1986">
        <v>1985</v>
      </c>
      <c r="B1986" t="str">
        <f>"600715"</f>
        <v>600715</v>
      </c>
      <c r="C1986" t="s">
        <v>10073</v>
      </c>
      <c r="D1986" s="4">
        <v>43190</v>
      </c>
      <c r="E1986" t="s">
        <v>510</v>
      </c>
      <c r="F1986" t="s">
        <v>1059</v>
      </c>
      <c r="G1986" t="s">
        <v>2554</v>
      </c>
      <c r="H1986">
        <v>0.05</v>
      </c>
      <c r="I1986">
        <v>3.92</v>
      </c>
      <c r="J1986">
        <v>1.22</v>
      </c>
      <c r="K1986" t="s">
        <v>483</v>
      </c>
      <c r="L1986">
        <v>-34.35</v>
      </c>
      <c r="M1986" t="s">
        <v>71</v>
      </c>
      <c r="N1986" t="s">
        <v>10074</v>
      </c>
      <c r="O1986" t="s">
        <v>71</v>
      </c>
      <c r="P1986" t="s">
        <v>10075</v>
      </c>
      <c r="Q1986">
        <v>-61</v>
      </c>
      <c r="R1986" t="s">
        <v>542</v>
      </c>
      <c r="S1986">
        <v>0.26</v>
      </c>
      <c r="T1986">
        <v>35.65</v>
      </c>
      <c r="U1986" t="s">
        <v>900</v>
      </c>
      <c r="V1986" t="s">
        <v>152</v>
      </c>
      <c r="W1986" t="s">
        <v>1934</v>
      </c>
      <c r="X1986">
        <v>1.22</v>
      </c>
      <c r="Y1986" t="s">
        <v>1488</v>
      </c>
      <c r="Z1986" t="s">
        <v>79</v>
      </c>
      <c r="AA1986" t="s">
        <v>847</v>
      </c>
      <c r="AB1986">
        <v>1.68</v>
      </c>
      <c r="AC1986" t="s">
        <v>4671</v>
      </c>
      <c r="AD1986">
        <v>68.3</v>
      </c>
      <c r="AE1986" t="s">
        <v>762</v>
      </c>
      <c r="AF1986">
        <v>2.63</v>
      </c>
      <c r="AG1986">
        <v>0</v>
      </c>
      <c r="AH1986">
        <v>0</v>
      </c>
      <c r="AI1986" s="4">
        <v>35247</v>
      </c>
    </row>
    <row r="1987" spans="1:35">
      <c r="A1987">
        <v>1986</v>
      </c>
      <c r="B1987" t="str">
        <f>"600613"</f>
        <v>600613</v>
      </c>
      <c r="C1987" t="s">
        <v>10076</v>
      </c>
      <c r="D1987" s="4">
        <v>43190</v>
      </c>
      <c r="E1987" t="s">
        <v>289</v>
      </c>
      <c r="F1987" t="s">
        <v>362</v>
      </c>
      <c r="G1987">
        <v>0</v>
      </c>
      <c r="H1987">
        <v>0.06</v>
      </c>
      <c r="I1987">
        <v>4.6399999999999997</v>
      </c>
      <c r="J1987">
        <v>1.22</v>
      </c>
      <c r="K1987" t="s">
        <v>1594</v>
      </c>
      <c r="L1987">
        <v>11.64</v>
      </c>
      <c r="M1987" t="s">
        <v>9853</v>
      </c>
      <c r="N1987">
        <v>0</v>
      </c>
      <c r="O1987" t="s">
        <v>10077</v>
      </c>
      <c r="P1987" t="s">
        <v>10078</v>
      </c>
      <c r="Q1987">
        <v>40.950000000000003</v>
      </c>
      <c r="R1987" t="s">
        <v>2977</v>
      </c>
      <c r="S1987">
        <v>1.63</v>
      </c>
      <c r="T1987">
        <v>52.43</v>
      </c>
      <c r="U1987" t="s">
        <v>2339</v>
      </c>
      <c r="V1987" t="s">
        <v>516</v>
      </c>
      <c r="W1987" t="s">
        <v>123</v>
      </c>
      <c r="X1987">
        <v>1.22</v>
      </c>
      <c r="Y1987" t="s">
        <v>448</v>
      </c>
      <c r="Z1987" t="s">
        <v>3587</v>
      </c>
      <c r="AA1987" t="s">
        <v>6314</v>
      </c>
      <c r="AB1987">
        <v>1.28</v>
      </c>
      <c r="AC1987" t="s">
        <v>253</v>
      </c>
      <c r="AD1987">
        <v>77.97</v>
      </c>
      <c r="AE1987" t="s">
        <v>3651</v>
      </c>
      <c r="AF1987">
        <v>1.81</v>
      </c>
      <c r="AG1987" t="s">
        <v>10079</v>
      </c>
      <c r="AH1987">
        <v>0</v>
      </c>
      <c r="AI1987" s="4">
        <v>33836</v>
      </c>
    </row>
    <row r="1988" spans="1:35">
      <c r="A1988">
        <v>1987</v>
      </c>
      <c r="B1988" t="str">
        <f>"300533"</f>
        <v>300533</v>
      </c>
      <c r="C1988" t="s">
        <v>10080</v>
      </c>
      <c r="D1988" s="4">
        <v>43190</v>
      </c>
      <c r="E1988" t="s">
        <v>2307</v>
      </c>
      <c r="F1988" t="s">
        <v>10081</v>
      </c>
      <c r="G1988">
        <v>2082</v>
      </c>
      <c r="H1988">
        <v>0.19</v>
      </c>
      <c r="I1988">
        <v>14.94</v>
      </c>
      <c r="J1988">
        <v>1.22</v>
      </c>
      <c r="K1988" t="s">
        <v>3531</v>
      </c>
      <c r="L1988">
        <v>-26.93</v>
      </c>
      <c r="M1988" t="s">
        <v>10082</v>
      </c>
      <c r="N1988" t="s">
        <v>10083</v>
      </c>
      <c r="O1988" t="s">
        <v>4842</v>
      </c>
      <c r="P1988" t="s">
        <v>10084</v>
      </c>
      <c r="Q1988">
        <v>-37.46</v>
      </c>
      <c r="R1988" t="s">
        <v>1128</v>
      </c>
      <c r="S1988">
        <v>4.6500000000000004</v>
      </c>
      <c r="T1988">
        <v>90.18</v>
      </c>
      <c r="U1988" t="s">
        <v>304</v>
      </c>
      <c r="V1988" t="s">
        <v>1569</v>
      </c>
      <c r="W1988" t="s">
        <v>9608</v>
      </c>
      <c r="X1988">
        <v>1.22</v>
      </c>
      <c r="Y1988" t="s">
        <v>148</v>
      </c>
      <c r="Z1988" t="s">
        <v>148</v>
      </c>
      <c r="AA1988">
        <v>0</v>
      </c>
      <c r="AB1988">
        <v>2.3199999999999998</v>
      </c>
      <c r="AC1988" t="s">
        <v>391</v>
      </c>
      <c r="AD1988">
        <v>89</v>
      </c>
      <c r="AE1988" t="s">
        <v>4194</v>
      </c>
      <c r="AF1988">
        <v>8.8000000000000007</v>
      </c>
      <c r="AG1988">
        <v>0</v>
      </c>
      <c r="AH1988">
        <v>0</v>
      </c>
      <c r="AI1988" s="4">
        <v>42600</v>
      </c>
    </row>
    <row r="1989" spans="1:35">
      <c r="A1989">
        <v>1988</v>
      </c>
      <c r="B1989" t="str">
        <f>"300172"</f>
        <v>300172</v>
      </c>
      <c r="C1989" t="s">
        <v>10085</v>
      </c>
      <c r="D1989" s="4">
        <v>43190</v>
      </c>
      <c r="E1989" t="s">
        <v>4427</v>
      </c>
      <c r="F1989" t="s">
        <v>1789</v>
      </c>
      <c r="G1989">
        <v>8520</v>
      </c>
      <c r="H1989">
        <v>0.03</v>
      </c>
      <c r="I1989">
        <v>2.39</v>
      </c>
      <c r="J1989">
        <v>1.22</v>
      </c>
      <c r="K1989" t="s">
        <v>711</v>
      </c>
      <c r="L1989">
        <v>1.8</v>
      </c>
      <c r="M1989" t="s">
        <v>10086</v>
      </c>
      <c r="N1989" t="s">
        <v>4791</v>
      </c>
      <c r="O1989" t="s">
        <v>7015</v>
      </c>
      <c r="P1989" t="s">
        <v>9451</v>
      </c>
      <c r="Q1989">
        <v>21.2</v>
      </c>
      <c r="R1989" t="s">
        <v>1382</v>
      </c>
      <c r="S1989">
        <v>0.96</v>
      </c>
      <c r="T1989">
        <v>31.15</v>
      </c>
      <c r="U1989" t="s">
        <v>1920</v>
      </c>
      <c r="V1989" t="s">
        <v>1025</v>
      </c>
      <c r="W1989" t="s">
        <v>1475</v>
      </c>
      <c r="X1989">
        <v>1.22</v>
      </c>
      <c r="Y1989" t="s">
        <v>285</v>
      </c>
      <c r="Z1989" t="s">
        <v>1450</v>
      </c>
      <c r="AA1989" t="s">
        <v>4614</v>
      </c>
      <c r="AB1989">
        <v>2.2999999999999998</v>
      </c>
      <c r="AC1989" t="s">
        <v>982</v>
      </c>
      <c r="AD1989">
        <v>59.31</v>
      </c>
      <c r="AE1989" t="s">
        <v>209</v>
      </c>
      <c r="AF1989">
        <v>0.31</v>
      </c>
      <c r="AG1989">
        <v>0</v>
      </c>
      <c r="AH1989">
        <v>0</v>
      </c>
      <c r="AI1989" s="4">
        <v>40575</v>
      </c>
    </row>
    <row r="1990" spans="1:35">
      <c r="A1990">
        <v>1989</v>
      </c>
      <c r="B1990" t="str">
        <f>"300120"</f>
        <v>300120</v>
      </c>
      <c r="C1990" t="s">
        <v>10087</v>
      </c>
      <c r="D1990" s="4">
        <v>43190</v>
      </c>
      <c r="E1990" t="s">
        <v>69</v>
      </c>
      <c r="F1990" t="s">
        <v>1417</v>
      </c>
      <c r="G1990" t="s">
        <v>4665</v>
      </c>
      <c r="H1990">
        <v>0.06</v>
      </c>
      <c r="I1990">
        <v>4.59</v>
      </c>
      <c r="J1990">
        <v>1.22</v>
      </c>
      <c r="K1990" t="s">
        <v>735</v>
      </c>
      <c r="L1990">
        <v>235.27</v>
      </c>
      <c r="M1990" t="s">
        <v>10088</v>
      </c>
      <c r="N1990">
        <v>0</v>
      </c>
      <c r="O1990" t="s">
        <v>10088</v>
      </c>
      <c r="P1990" t="s">
        <v>10089</v>
      </c>
      <c r="Q1990">
        <v>307.64</v>
      </c>
      <c r="R1990" t="s">
        <v>372</v>
      </c>
      <c r="S1990">
        <v>0.2</v>
      </c>
      <c r="T1990">
        <v>21.67</v>
      </c>
      <c r="U1990" t="s">
        <v>1675</v>
      </c>
      <c r="V1990" t="s">
        <v>264</v>
      </c>
      <c r="W1990" t="s">
        <v>105</v>
      </c>
      <c r="X1990">
        <v>1.22</v>
      </c>
      <c r="Y1990" t="s">
        <v>2595</v>
      </c>
      <c r="Z1990" t="s">
        <v>1073</v>
      </c>
      <c r="AA1990" t="s">
        <v>10090</v>
      </c>
      <c r="AB1990">
        <v>1.83</v>
      </c>
      <c r="AC1990" t="s">
        <v>1455</v>
      </c>
      <c r="AD1990">
        <v>66.599999999999994</v>
      </c>
      <c r="AE1990" t="s">
        <v>350</v>
      </c>
      <c r="AF1990">
        <v>3.34</v>
      </c>
      <c r="AG1990">
        <v>0</v>
      </c>
      <c r="AH1990">
        <v>0</v>
      </c>
      <c r="AI1990" s="4">
        <v>40438</v>
      </c>
    </row>
    <row r="1991" spans="1:35">
      <c r="A1991">
        <v>1990</v>
      </c>
      <c r="B1991" t="str">
        <f>"002805"</f>
        <v>002805</v>
      </c>
      <c r="C1991" t="s">
        <v>10091</v>
      </c>
      <c r="D1991" s="4">
        <v>43190</v>
      </c>
      <c r="E1991" t="s">
        <v>10092</v>
      </c>
      <c r="F1991" t="s">
        <v>10093</v>
      </c>
      <c r="G1991">
        <v>3577</v>
      </c>
      <c r="H1991">
        <v>7.0000000000000007E-2</v>
      </c>
      <c r="I1991">
        <v>5.96</v>
      </c>
      <c r="J1991">
        <v>1.22</v>
      </c>
      <c r="K1991" t="s">
        <v>10094</v>
      </c>
      <c r="L1991">
        <v>1.78</v>
      </c>
      <c r="M1991" t="s">
        <v>5006</v>
      </c>
      <c r="N1991" t="s">
        <v>8738</v>
      </c>
      <c r="O1991" t="s">
        <v>6329</v>
      </c>
      <c r="P1991" t="s">
        <v>3644</v>
      </c>
      <c r="Q1991">
        <v>-13.77</v>
      </c>
      <c r="R1991" t="s">
        <v>2102</v>
      </c>
      <c r="S1991">
        <v>2.93</v>
      </c>
      <c r="T1991">
        <v>18.28</v>
      </c>
      <c r="U1991" t="s">
        <v>175</v>
      </c>
      <c r="V1991" t="s">
        <v>1324</v>
      </c>
      <c r="W1991" t="s">
        <v>454</v>
      </c>
      <c r="X1991">
        <v>1.22</v>
      </c>
      <c r="Y1991" t="s">
        <v>319</v>
      </c>
      <c r="Z1991" t="s">
        <v>1203</v>
      </c>
      <c r="AA1991" t="s">
        <v>3581</v>
      </c>
      <c r="AB1991">
        <v>3.51</v>
      </c>
      <c r="AC1991" t="s">
        <v>92</v>
      </c>
      <c r="AD1991">
        <v>78.08</v>
      </c>
      <c r="AE1991" t="s">
        <v>505</v>
      </c>
      <c r="AF1991">
        <v>1.63</v>
      </c>
      <c r="AG1991">
        <v>0</v>
      </c>
      <c r="AH1991">
        <v>0</v>
      </c>
      <c r="AI1991" s="4">
        <v>42558</v>
      </c>
    </row>
    <row r="1992" spans="1:35">
      <c r="A1992">
        <v>1991</v>
      </c>
      <c r="B1992" t="str">
        <f>"002795"</f>
        <v>002795</v>
      </c>
      <c r="C1992" t="s">
        <v>10095</v>
      </c>
      <c r="D1992" s="4">
        <v>43190</v>
      </c>
      <c r="E1992" t="s">
        <v>293</v>
      </c>
      <c r="F1992" t="s">
        <v>10096</v>
      </c>
      <c r="G1992">
        <v>2751</v>
      </c>
      <c r="H1992">
        <v>0.04</v>
      </c>
      <c r="I1992">
        <v>3.12</v>
      </c>
      <c r="J1992">
        <v>1.22</v>
      </c>
      <c r="K1992" t="s">
        <v>2306</v>
      </c>
      <c r="L1992">
        <v>23.07</v>
      </c>
      <c r="M1992" t="s">
        <v>10097</v>
      </c>
      <c r="N1992" t="s">
        <v>7199</v>
      </c>
      <c r="O1992" t="s">
        <v>10097</v>
      </c>
      <c r="P1992" t="s">
        <v>10098</v>
      </c>
      <c r="Q1992">
        <v>-37.06</v>
      </c>
      <c r="R1992" t="s">
        <v>326</v>
      </c>
      <c r="S1992">
        <v>0.71</v>
      </c>
      <c r="T1992">
        <v>23.66</v>
      </c>
      <c r="U1992" t="s">
        <v>615</v>
      </c>
      <c r="V1992" t="s">
        <v>592</v>
      </c>
      <c r="W1992" t="s">
        <v>10099</v>
      </c>
      <c r="X1992">
        <v>1.22</v>
      </c>
      <c r="Y1992" t="s">
        <v>10100</v>
      </c>
      <c r="Z1992" t="s">
        <v>5974</v>
      </c>
      <c r="AA1992" t="s">
        <v>8148</v>
      </c>
      <c r="AB1992">
        <v>6.28</v>
      </c>
      <c r="AC1992" t="s">
        <v>857</v>
      </c>
      <c r="AD1992">
        <v>86.84</v>
      </c>
      <c r="AE1992" t="s">
        <v>474</v>
      </c>
      <c r="AF1992">
        <v>1.22</v>
      </c>
      <c r="AG1992">
        <v>0</v>
      </c>
      <c r="AH1992">
        <v>0</v>
      </c>
      <c r="AI1992" s="4">
        <v>42488</v>
      </c>
    </row>
    <row r="1993" spans="1:35">
      <c r="A1993">
        <v>1992</v>
      </c>
      <c r="B1993" t="str">
        <f>"002722"</f>
        <v>002722</v>
      </c>
      <c r="C1993" t="s">
        <v>10101</v>
      </c>
      <c r="D1993" s="4">
        <v>43190</v>
      </c>
      <c r="E1993" t="s">
        <v>284</v>
      </c>
      <c r="F1993" t="s">
        <v>443</v>
      </c>
      <c r="G1993">
        <v>3697</v>
      </c>
      <c r="H1993">
        <v>0.12</v>
      </c>
      <c r="I1993">
        <v>9.85</v>
      </c>
      <c r="J1993">
        <v>1.22</v>
      </c>
      <c r="K1993" t="s">
        <v>3006</v>
      </c>
      <c r="L1993">
        <v>15.85</v>
      </c>
      <c r="M1993" t="s">
        <v>3998</v>
      </c>
      <c r="N1993" t="s">
        <v>10102</v>
      </c>
      <c r="O1993" t="s">
        <v>2471</v>
      </c>
      <c r="P1993" t="s">
        <v>10103</v>
      </c>
      <c r="Q1993">
        <v>-14.54</v>
      </c>
      <c r="R1993" t="s">
        <v>3027</v>
      </c>
      <c r="S1993">
        <v>2.2400000000000002</v>
      </c>
      <c r="T1993">
        <v>17.91</v>
      </c>
      <c r="U1993" t="s">
        <v>260</v>
      </c>
      <c r="V1993" t="s">
        <v>908</v>
      </c>
      <c r="W1993" t="s">
        <v>144</v>
      </c>
      <c r="X1993">
        <v>1.22</v>
      </c>
      <c r="Y1993" t="s">
        <v>3290</v>
      </c>
      <c r="Z1993" t="s">
        <v>1709</v>
      </c>
      <c r="AA1993" t="s">
        <v>10104</v>
      </c>
      <c r="AB1993">
        <v>1.7</v>
      </c>
      <c r="AC1993" t="s">
        <v>1343</v>
      </c>
      <c r="AD1993">
        <v>65.39</v>
      </c>
      <c r="AE1993" t="s">
        <v>323</v>
      </c>
      <c r="AF1993">
        <v>6.32</v>
      </c>
      <c r="AG1993">
        <v>0</v>
      </c>
      <c r="AH1993">
        <v>0</v>
      </c>
      <c r="AI1993" s="4">
        <v>41667</v>
      </c>
    </row>
    <row r="1994" spans="1:35">
      <c r="A1994">
        <v>1993</v>
      </c>
      <c r="B1994" t="str">
        <f>"002667"</f>
        <v>002667</v>
      </c>
      <c r="C1994" t="s">
        <v>10105</v>
      </c>
      <c r="D1994" s="4">
        <v>43190</v>
      </c>
      <c r="E1994" t="s">
        <v>4614</v>
      </c>
      <c r="F1994" t="s">
        <v>1689</v>
      </c>
      <c r="G1994">
        <v>6948</v>
      </c>
      <c r="H1994">
        <v>0.04</v>
      </c>
      <c r="I1994">
        <v>3.31</v>
      </c>
      <c r="J1994">
        <v>1.22</v>
      </c>
      <c r="K1994" t="s">
        <v>10106</v>
      </c>
      <c r="L1994">
        <v>69.97</v>
      </c>
      <c r="M1994" t="s">
        <v>5554</v>
      </c>
      <c r="N1994" t="s">
        <v>1854</v>
      </c>
      <c r="O1994" t="s">
        <v>4391</v>
      </c>
      <c r="P1994" t="s">
        <v>7489</v>
      </c>
      <c r="Q1994">
        <v>7.42</v>
      </c>
      <c r="R1994" t="s">
        <v>122</v>
      </c>
      <c r="S1994">
        <v>1.1399999999999999</v>
      </c>
      <c r="T1994">
        <v>35.54</v>
      </c>
      <c r="U1994" t="s">
        <v>2955</v>
      </c>
      <c r="V1994" t="s">
        <v>1761</v>
      </c>
      <c r="W1994" t="s">
        <v>1119</v>
      </c>
      <c r="X1994">
        <v>1.22</v>
      </c>
      <c r="Y1994" t="s">
        <v>282</v>
      </c>
      <c r="Z1994" t="s">
        <v>7452</v>
      </c>
      <c r="AA1994" t="s">
        <v>1834</v>
      </c>
      <c r="AB1994">
        <v>1.77</v>
      </c>
      <c r="AC1994" t="s">
        <v>2693</v>
      </c>
      <c r="AD1994">
        <v>86.72</v>
      </c>
      <c r="AE1994" t="s">
        <v>2661</v>
      </c>
      <c r="AF1994">
        <v>1.01</v>
      </c>
      <c r="AG1994">
        <v>0</v>
      </c>
      <c r="AH1994">
        <v>0</v>
      </c>
      <c r="AI1994" s="4">
        <v>40997</v>
      </c>
    </row>
    <row r="1995" spans="1:35">
      <c r="A1995">
        <v>1994</v>
      </c>
      <c r="B1995" t="str">
        <f>"002301"</f>
        <v>002301</v>
      </c>
      <c r="C1995" t="s">
        <v>10107</v>
      </c>
      <c r="D1995" s="4">
        <v>43190</v>
      </c>
      <c r="E1995" t="s">
        <v>424</v>
      </c>
      <c r="F1995" t="s">
        <v>1849</v>
      </c>
      <c r="G1995" t="s">
        <v>7708</v>
      </c>
      <c r="H1995">
        <v>0.05</v>
      </c>
      <c r="I1995">
        <v>3.8</v>
      </c>
      <c r="J1995">
        <v>1.22</v>
      </c>
      <c r="K1995" t="s">
        <v>2853</v>
      </c>
      <c r="L1995">
        <v>16.2</v>
      </c>
      <c r="M1995" t="s">
        <v>7923</v>
      </c>
      <c r="N1995" t="s">
        <v>10108</v>
      </c>
      <c r="O1995" t="s">
        <v>6100</v>
      </c>
      <c r="P1995" t="s">
        <v>10109</v>
      </c>
      <c r="Q1995">
        <v>2.77</v>
      </c>
      <c r="R1995" t="s">
        <v>2674</v>
      </c>
      <c r="S1995">
        <v>0.92</v>
      </c>
      <c r="T1995">
        <v>21.15</v>
      </c>
      <c r="U1995" t="s">
        <v>3386</v>
      </c>
      <c r="V1995" t="s">
        <v>371</v>
      </c>
      <c r="W1995" t="s">
        <v>914</v>
      </c>
      <c r="X1995">
        <v>1.22</v>
      </c>
      <c r="Y1995" t="s">
        <v>261</v>
      </c>
      <c r="Z1995" t="s">
        <v>251</v>
      </c>
      <c r="AA1995" t="s">
        <v>2069</v>
      </c>
      <c r="AB1995">
        <v>2.77</v>
      </c>
      <c r="AC1995" t="s">
        <v>1516</v>
      </c>
      <c r="AD1995">
        <v>52.19</v>
      </c>
      <c r="AE1995" t="s">
        <v>624</v>
      </c>
      <c r="AF1995">
        <v>1.83</v>
      </c>
      <c r="AG1995">
        <v>0</v>
      </c>
      <c r="AH1995">
        <v>0</v>
      </c>
      <c r="AI1995" s="4">
        <v>40107</v>
      </c>
    </row>
    <row r="1996" spans="1:35">
      <c r="A1996">
        <v>1995</v>
      </c>
      <c r="B1996" t="str">
        <f>"002219"</f>
        <v>002219</v>
      </c>
      <c r="C1996" t="s">
        <v>10110</v>
      </c>
      <c r="D1996" s="4">
        <v>43190</v>
      </c>
      <c r="E1996" t="s">
        <v>516</v>
      </c>
      <c r="F1996" t="s">
        <v>1101</v>
      </c>
      <c r="G1996" t="s">
        <v>5796</v>
      </c>
      <c r="H1996">
        <v>0.03</v>
      </c>
      <c r="I1996">
        <v>2.27</v>
      </c>
      <c r="J1996">
        <v>1.22</v>
      </c>
      <c r="K1996" t="s">
        <v>2690</v>
      </c>
      <c r="L1996">
        <v>92.73</v>
      </c>
      <c r="M1996" t="s">
        <v>10111</v>
      </c>
      <c r="N1996" t="s">
        <v>2720</v>
      </c>
      <c r="O1996" t="s">
        <v>10112</v>
      </c>
      <c r="P1996" t="s">
        <v>10113</v>
      </c>
      <c r="Q1996">
        <v>-28.63</v>
      </c>
      <c r="R1996" t="s">
        <v>613</v>
      </c>
      <c r="S1996">
        <v>0.62</v>
      </c>
      <c r="T1996">
        <v>35.770000000000003</v>
      </c>
      <c r="U1996" t="s">
        <v>232</v>
      </c>
      <c r="V1996" t="s">
        <v>3073</v>
      </c>
      <c r="W1996" t="s">
        <v>877</v>
      </c>
      <c r="X1996">
        <v>1.22</v>
      </c>
      <c r="Y1996" t="s">
        <v>2809</v>
      </c>
      <c r="Z1996" t="s">
        <v>4052</v>
      </c>
      <c r="AA1996" t="s">
        <v>754</v>
      </c>
      <c r="AB1996">
        <v>5.15</v>
      </c>
      <c r="AC1996" t="s">
        <v>408</v>
      </c>
      <c r="AD1996">
        <v>41.95</v>
      </c>
      <c r="AE1996" t="s">
        <v>699</v>
      </c>
      <c r="AF1996">
        <v>0.57999999999999996</v>
      </c>
      <c r="AG1996">
        <v>0</v>
      </c>
      <c r="AH1996">
        <v>0</v>
      </c>
      <c r="AI1996" s="4">
        <v>39513</v>
      </c>
    </row>
    <row r="1997" spans="1:35">
      <c r="A1997">
        <v>1996</v>
      </c>
      <c r="B1997" t="str">
        <f>"601339"</f>
        <v>601339</v>
      </c>
      <c r="C1997" t="s">
        <v>10114</v>
      </c>
      <c r="D1997" s="4">
        <v>43190</v>
      </c>
      <c r="E1997" t="s">
        <v>855</v>
      </c>
      <c r="F1997" t="s">
        <v>855</v>
      </c>
      <c r="G1997" t="s">
        <v>3842</v>
      </c>
      <c r="H1997">
        <v>0.06</v>
      </c>
      <c r="I1997">
        <v>4.84</v>
      </c>
      <c r="J1997">
        <v>1.21</v>
      </c>
      <c r="K1997" t="s">
        <v>924</v>
      </c>
      <c r="L1997">
        <v>-2.5099999999999998</v>
      </c>
      <c r="M1997" t="s">
        <v>5426</v>
      </c>
      <c r="N1997" t="s">
        <v>10115</v>
      </c>
      <c r="O1997" t="s">
        <v>10011</v>
      </c>
      <c r="P1997" t="s">
        <v>10116</v>
      </c>
      <c r="Q1997">
        <v>-22.72</v>
      </c>
      <c r="R1997" t="s">
        <v>1404</v>
      </c>
      <c r="S1997">
        <v>2.12</v>
      </c>
      <c r="T1997">
        <v>18.260000000000002</v>
      </c>
      <c r="U1997" t="s">
        <v>1089</v>
      </c>
      <c r="V1997" t="s">
        <v>4218</v>
      </c>
      <c r="W1997" t="s">
        <v>1161</v>
      </c>
      <c r="X1997">
        <v>1.21</v>
      </c>
      <c r="Y1997" t="s">
        <v>2070</v>
      </c>
      <c r="Z1997" t="s">
        <v>238</v>
      </c>
      <c r="AA1997" t="s">
        <v>754</v>
      </c>
      <c r="AB1997">
        <v>1.08</v>
      </c>
      <c r="AC1997" t="s">
        <v>8103</v>
      </c>
      <c r="AD1997">
        <v>60.47</v>
      </c>
      <c r="AE1997" t="s">
        <v>826</v>
      </c>
      <c r="AF1997">
        <v>1.57</v>
      </c>
      <c r="AG1997">
        <v>0</v>
      </c>
      <c r="AH1997">
        <v>0</v>
      </c>
      <c r="AI1997" s="4">
        <v>41072</v>
      </c>
    </row>
    <row r="1998" spans="1:35">
      <c r="A1998">
        <v>1997</v>
      </c>
      <c r="B1998" t="str">
        <f>"600590"</f>
        <v>600590</v>
      </c>
      <c r="C1998" t="s">
        <v>10117</v>
      </c>
      <c r="D1998" s="4">
        <v>43190</v>
      </c>
      <c r="E1998" t="s">
        <v>1117</v>
      </c>
      <c r="F1998" t="s">
        <v>2255</v>
      </c>
      <c r="G1998" t="s">
        <v>1105</v>
      </c>
      <c r="H1998">
        <v>7.0000000000000007E-2</v>
      </c>
      <c r="I1998">
        <v>5.66</v>
      </c>
      <c r="J1998">
        <v>1.21</v>
      </c>
      <c r="K1998" t="s">
        <v>895</v>
      </c>
      <c r="L1998">
        <v>57.97</v>
      </c>
      <c r="M1998" t="s">
        <v>10118</v>
      </c>
      <c r="N1998" t="s">
        <v>3933</v>
      </c>
      <c r="O1998" t="s">
        <v>5687</v>
      </c>
      <c r="P1998" t="s">
        <v>5517</v>
      </c>
      <c r="Q1998">
        <v>85.69</v>
      </c>
      <c r="R1998" t="s">
        <v>2621</v>
      </c>
      <c r="S1998">
        <v>1.19</v>
      </c>
      <c r="T1998">
        <v>20.93</v>
      </c>
      <c r="U1998" t="s">
        <v>1254</v>
      </c>
      <c r="V1998" t="s">
        <v>5199</v>
      </c>
      <c r="W1998" t="s">
        <v>1874</v>
      </c>
      <c r="X1998">
        <v>1.21</v>
      </c>
      <c r="Y1998" t="s">
        <v>4162</v>
      </c>
      <c r="Z1998" t="s">
        <v>1819</v>
      </c>
      <c r="AA1998" t="s">
        <v>820</v>
      </c>
      <c r="AB1998">
        <v>1.45</v>
      </c>
      <c r="AC1998" t="s">
        <v>1211</v>
      </c>
      <c r="AD1998">
        <v>37.700000000000003</v>
      </c>
      <c r="AE1998" t="s">
        <v>1294</v>
      </c>
      <c r="AF1998">
        <v>3.73</v>
      </c>
      <c r="AG1998">
        <v>0</v>
      </c>
      <c r="AH1998">
        <v>0</v>
      </c>
      <c r="AI1998" s="4">
        <v>37440</v>
      </c>
    </row>
    <row r="1999" spans="1:35">
      <c r="A1999">
        <v>1998</v>
      </c>
      <c r="B1999" t="str">
        <f>"300535"</f>
        <v>300535</v>
      </c>
      <c r="C1999" t="s">
        <v>10119</v>
      </c>
      <c r="D1999" s="4">
        <v>43190</v>
      </c>
      <c r="E1999" t="s">
        <v>1119</v>
      </c>
      <c r="F1999" t="s">
        <v>2466</v>
      </c>
      <c r="G1999">
        <v>3011</v>
      </c>
      <c r="H1999">
        <v>0.08</v>
      </c>
      <c r="I1999">
        <v>6.8</v>
      </c>
      <c r="J1999">
        <v>1.21</v>
      </c>
      <c r="K1999" t="s">
        <v>8471</v>
      </c>
      <c r="L1999">
        <v>2.1</v>
      </c>
      <c r="M1999" t="s">
        <v>1614</v>
      </c>
      <c r="N1999" t="s">
        <v>4677</v>
      </c>
      <c r="O1999" t="s">
        <v>5367</v>
      </c>
      <c r="P1999" t="s">
        <v>10120</v>
      </c>
      <c r="Q1999">
        <v>-42.52</v>
      </c>
      <c r="R1999" t="s">
        <v>1733</v>
      </c>
      <c r="S1999">
        <v>2.4300000000000002</v>
      </c>
      <c r="T1999">
        <v>47.23</v>
      </c>
      <c r="U1999" t="s">
        <v>1649</v>
      </c>
      <c r="V1999" t="s">
        <v>381</v>
      </c>
      <c r="W1999" t="s">
        <v>993</v>
      </c>
      <c r="X1999">
        <v>1.21</v>
      </c>
      <c r="Y1999" t="s">
        <v>10121</v>
      </c>
      <c r="Z1999" t="s">
        <v>10122</v>
      </c>
      <c r="AA1999" t="s">
        <v>332</v>
      </c>
      <c r="AB1999">
        <v>2.78</v>
      </c>
      <c r="AC1999" t="s">
        <v>1521</v>
      </c>
      <c r="AD1999">
        <v>92.13</v>
      </c>
      <c r="AE1999" t="s">
        <v>2185</v>
      </c>
      <c r="AF1999">
        <v>3.08</v>
      </c>
      <c r="AG1999">
        <v>0</v>
      </c>
      <c r="AH1999">
        <v>0</v>
      </c>
      <c r="AI1999" s="4">
        <v>42594</v>
      </c>
    </row>
    <row r="2000" spans="1:35">
      <c r="A2000">
        <v>1999</v>
      </c>
      <c r="B2000" t="str">
        <f>"300374"</f>
        <v>300374</v>
      </c>
      <c r="C2000" t="s">
        <v>10123</v>
      </c>
      <c r="D2000" s="4">
        <v>43190</v>
      </c>
      <c r="E2000" t="s">
        <v>219</v>
      </c>
      <c r="F2000" t="s">
        <v>1203</v>
      </c>
      <c r="G2000">
        <v>7488</v>
      </c>
      <c r="H2000">
        <v>7.0000000000000007E-2</v>
      </c>
      <c r="I2000">
        <v>5.8</v>
      </c>
      <c r="J2000">
        <v>1.21</v>
      </c>
      <c r="K2000" t="s">
        <v>845</v>
      </c>
      <c r="L2000">
        <v>-22.55</v>
      </c>
      <c r="M2000" t="s">
        <v>10124</v>
      </c>
      <c r="N2000" t="s">
        <v>5558</v>
      </c>
      <c r="O2000" t="s">
        <v>5853</v>
      </c>
      <c r="P2000" t="s">
        <v>10125</v>
      </c>
      <c r="Q2000">
        <v>214.23</v>
      </c>
      <c r="R2000" t="s">
        <v>3376</v>
      </c>
      <c r="S2000">
        <v>1.62</v>
      </c>
      <c r="T2000">
        <v>33.700000000000003</v>
      </c>
      <c r="U2000" t="s">
        <v>2273</v>
      </c>
      <c r="V2000" t="s">
        <v>164</v>
      </c>
      <c r="W2000" t="s">
        <v>4613</v>
      </c>
      <c r="X2000">
        <v>1.21</v>
      </c>
      <c r="Y2000" t="s">
        <v>1946</v>
      </c>
      <c r="Z2000" t="s">
        <v>380</v>
      </c>
      <c r="AA2000" t="s">
        <v>2889</v>
      </c>
      <c r="AB2000">
        <v>1.83</v>
      </c>
      <c r="AC2000" t="s">
        <v>263</v>
      </c>
      <c r="AD2000">
        <v>61.27</v>
      </c>
      <c r="AE2000" t="s">
        <v>1903</v>
      </c>
      <c r="AF2000">
        <v>3.09</v>
      </c>
      <c r="AG2000">
        <v>0</v>
      </c>
      <c r="AH2000">
        <v>0</v>
      </c>
      <c r="AI2000" s="4">
        <v>42082</v>
      </c>
    </row>
    <row r="2001" spans="1:35">
      <c r="A2001">
        <v>2000</v>
      </c>
      <c r="B2001" t="str">
        <f>"300319"</f>
        <v>300319</v>
      </c>
      <c r="C2001" t="s">
        <v>10126</v>
      </c>
      <c r="D2001" s="4">
        <v>43190</v>
      </c>
      <c r="E2001" t="s">
        <v>1493</v>
      </c>
      <c r="F2001" t="s">
        <v>1695</v>
      </c>
      <c r="G2001" t="s">
        <v>5764</v>
      </c>
      <c r="H2001">
        <v>0.03</v>
      </c>
      <c r="I2001">
        <v>2.74</v>
      </c>
      <c r="J2001">
        <v>1.21</v>
      </c>
      <c r="K2001" t="s">
        <v>3197</v>
      </c>
      <c r="L2001">
        <v>38.03</v>
      </c>
      <c r="M2001" t="s">
        <v>8346</v>
      </c>
      <c r="N2001" t="s">
        <v>4988</v>
      </c>
      <c r="O2001" t="s">
        <v>10127</v>
      </c>
      <c r="P2001" t="s">
        <v>10128</v>
      </c>
      <c r="Q2001">
        <v>35.04</v>
      </c>
      <c r="R2001" t="s">
        <v>10129</v>
      </c>
      <c r="S2001">
        <v>-0.09</v>
      </c>
      <c r="T2001">
        <v>17.89</v>
      </c>
      <c r="U2001" t="s">
        <v>1285</v>
      </c>
      <c r="V2001" t="s">
        <v>419</v>
      </c>
      <c r="W2001" t="s">
        <v>611</v>
      </c>
      <c r="X2001">
        <v>1.21</v>
      </c>
      <c r="Y2001" t="s">
        <v>192</v>
      </c>
      <c r="Z2001" t="s">
        <v>1065</v>
      </c>
      <c r="AA2001" t="s">
        <v>148</v>
      </c>
      <c r="AB2001">
        <v>2.73</v>
      </c>
      <c r="AC2001" t="s">
        <v>389</v>
      </c>
      <c r="AD2001">
        <v>60.77</v>
      </c>
      <c r="AE2001" t="s">
        <v>300</v>
      </c>
      <c r="AF2001">
        <v>1.79</v>
      </c>
      <c r="AG2001">
        <v>0</v>
      </c>
      <c r="AH2001">
        <v>0</v>
      </c>
      <c r="AI2001" s="4">
        <v>41052</v>
      </c>
    </row>
    <row r="2002" spans="1:35">
      <c r="A2002">
        <v>2001</v>
      </c>
      <c r="B2002" t="str">
        <f>"300236"</f>
        <v>300236</v>
      </c>
      <c r="C2002" t="s">
        <v>10130</v>
      </c>
      <c r="D2002" s="4">
        <v>43190</v>
      </c>
      <c r="E2002" t="s">
        <v>3332</v>
      </c>
      <c r="F2002" t="s">
        <v>2123</v>
      </c>
      <c r="G2002">
        <v>8168</v>
      </c>
      <c r="H2002">
        <v>0.08</v>
      </c>
      <c r="I2002">
        <v>6.69</v>
      </c>
      <c r="J2002">
        <v>1.21</v>
      </c>
      <c r="K2002" t="s">
        <v>1349</v>
      </c>
      <c r="L2002">
        <v>1.84</v>
      </c>
      <c r="M2002" t="s">
        <v>10131</v>
      </c>
      <c r="N2002" t="s">
        <v>10132</v>
      </c>
      <c r="O2002" t="s">
        <v>6933</v>
      </c>
      <c r="P2002" t="s">
        <v>10133</v>
      </c>
      <c r="Q2002">
        <v>-11.6</v>
      </c>
      <c r="R2002" t="s">
        <v>2507</v>
      </c>
      <c r="S2002">
        <v>1.35</v>
      </c>
      <c r="T2002">
        <v>39.46</v>
      </c>
      <c r="U2002" t="s">
        <v>855</v>
      </c>
      <c r="V2002" t="s">
        <v>909</v>
      </c>
      <c r="W2002" t="s">
        <v>3332</v>
      </c>
      <c r="X2002">
        <v>1.21</v>
      </c>
      <c r="Y2002" t="s">
        <v>1366</v>
      </c>
      <c r="Z2002" t="s">
        <v>368</v>
      </c>
      <c r="AA2002" t="s">
        <v>6861</v>
      </c>
      <c r="AB2002">
        <v>4.26</v>
      </c>
      <c r="AC2002" t="s">
        <v>1307</v>
      </c>
      <c r="AD2002">
        <v>87.92</v>
      </c>
      <c r="AE2002" t="s">
        <v>3193</v>
      </c>
      <c r="AF2002">
        <v>4.13</v>
      </c>
      <c r="AG2002">
        <v>0</v>
      </c>
      <c r="AH2002">
        <v>0</v>
      </c>
      <c r="AI2002" s="4">
        <v>40723</v>
      </c>
    </row>
    <row r="2003" spans="1:35">
      <c r="A2003">
        <v>2002</v>
      </c>
      <c r="B2003" t="str">
        <f>"300125"</f>
        <v>300125</v>
      </c>
      <c r="C2003" t="s">
        <v>10134</v>
      </c>
      <c r="D2003" s="4">
        <v>43190</v>
      </c>
      <c r="E2003" t="s">
        <v>1597</v>
      </c>
      <c r="F2003" t="s">
        <v>1855</v>
      </c>
      <c r="G2003" t="s">
        <v>1179</v>
      </c>
      <c r="H2003">
        <v>0.05</v>
      </c>
      <c r="I2003">
        <v>4.41</v>
      </c>
      <c r="J2003">
        <v>1.21</v>
      </c>
      <c r="K2003" t="s">
        <v>10135</v>
      </c>
      <c r="L2003">
        <v>105.42</v>
      </c>
      <c r="M2003" t="s">
        <v>4906</v>
      </c>
      <c r="N2003" t="s">
        <v>10136</v>
      </c>
      <c r="O2003" t="s">
        <v>1614</v>
      </c>
      <c r="P2003" t="s">
        <v>3785</v>
      </c>
      <c r="Q2003">
        <v>175.6</v>
      </c>
      <c r="R2003" t="s">
        <v>10137</v>
      </c>
      <c r="S2003">
        <v>-0.99</v>
      </c>
      <c r="T2003">
        <v>23.9</v>
      </c>
      <c r="U2003" t="s">
        <v>971</v>
      </c>
      <c r="V2003" t="s">
        <v>5203</v>
      </c>
      <c r="W2003" t="s">
        <v>185</v>
      </c>
      <c r="X2003">
        <v>1.21</v>
      </c>
      <c r="Y2003" t="s">
        <v>1121</v>
      </c>
      <c r="Z2003" t="s">
        <v>93</v>
      </c>
      <c r="AA2003" t="s">
        <v>1794</v>
      </c>
      <c r="AB2003">
        <v>3.68</v>
      </c>
      <c r="AC2003" t="s">
        <v>1019</v>
      </c>
      <c r="AD2003">
        <v>56.93</v>
      </c>
      <c r="AE2003" t="s">
        <v>1756</v>
      </c>
      <c r="AF2003">
        <v>4.26</v>
      </c>
      <c r="AG2003">
        <v>0</v>
      </c>
      <c r="AH2003">
        <v>0</v>
      </c>
      <c r="AI2003" s="4">
        <v>40464</v>
      </c>
    </row>
    <row r="2004" spans="1:35">
      <c r="A2004">
        <v>2003</v>
      </c>
      <c r="B2004" t="str">
        <f>"002770"</f>
        <v>002770</v>
      </c>
      <c r="C2004" t="s">
        <v>10138</v>
      </c>
      <c r="D2004" s="4">
        <v>43190</v>
      </c>
      <c r="E2004" t="s">
        <v>1223</v>
      </c>
      <c r="F2004" t="s">
        <v>1965</v>
      </c>
      <c r="G2004" t="s">
        <v>6078</v>
      </c>
      <c r="H2004">
        <v>0.02</v>
      </c>
      <c r="I2004">
        <v>1.52</v>
      </c>
      <c r="J2004">
        <v>1.21</v>
      </c>
      <c r="K2004" t="s">
        <v>2774</v>
      </c>
      <c r="L2004">
        <v>21.15</v>
      </c>
      <c r="M2004" t="s">
        <v>10139</v>
      </c>
      <c r="N2004">
        <v>0</v>
      </c>
      <c r="O2004" t="s">
        <v>5903</v>
      </c>
      <c r="P2004" t="s">
        <v>10140</v>
      </c>
      <c r="Q2004">
        <v>3.64</v>
      </c>
      <c r="R2004" t="s">
        <v>666</v>
      </c>
      <c r="S2004">
        <v>0.46</v>
      </c>
      <c r="T2004">
        <v>23.13</v>
      </c>
      <c r="U2004" t="s">
        <v>1546</v>
      </c>
      <c r="V2004" t="s">
        <v>405</v>
      </c>
      <c r="W2004" t="s">
        <v>124</v>
      </c>
      <c r="X2004">
        <v>1.21</v>
      </c>
      <c r="Y2004" t="s">
        <v>982</v>
      </c>
      <c r="Z2004" t="s">
        <v>1033</v>
      </c>
      <c r="AA2004" t="s">
        <v>10141</v>
      </c>
      <c r="AB2004">
        <v>2.82</v>
      </c>
      <c r="AC2004" t="s">
        <v>115</v>
      </c>
      <c r="AD2004">
        <v>58.02</v>
      </c>
      <c r="AE2004" t="s">
        <v>7252</v>
      </c>
      <c r="AF2004">
        <v>0.01</v>
      </c>
      <c r="AG2004">
        <v>0</v>
      </c>
      <c r="AH2004">
        <v>0</v>
      </c>
      <c r="AI2004" s="4">
        <v>42185</v>
      </c>
    </row>
    <row r="2005" spans="1:35">
      <c r="A2005">
        <v>2004</v>
      </c>
      <c r="B2005" t="str">
        <f>"002189"</f>
        <v>002189</v>
      </c>
      <c r="C2005" t="s">
        <v>10142</v>
      </c>
      <c r="D2005" s="4">
        <v>43190</v>
      </c>
      <c r="E2005" t="s">
        <v>1264</v>
      </c>
      <c r="F2005" t="s">
        <v>1264</v>
      </c>
      <c r="G2005">
        <v>5738</v>
      </c>
      <c r="H2005">
        <v>0.03</v>
      </c>
      <c r="I2005">
        <v>2.79</v>
      </c>
      <c r="J2005">
        <v>1.21</v>
      </c>
      <c r="K2005" t="s">
        <v>985</v>
      </c>
      <c r="L2005">
        <v>11.11</v>
      </c>
      <c r="M2005" t="s">
        <v>10143</v>
      </c>
      <c r="N2005">
        <v>0</v>
      </c>
      <c r="O2005" t="s">
        <v>10143</v>
      </c>
      <c r="P2005" t="s">
        <v>7397</v>
      </c>
      <c r="Q2005">
        <v>148.15</v>
      </c>
      <c r="R2005" t="s">
        <v>452</v>
      </c>
      <c r="S2005">
        <v>0.74</v>
      </c>
      <c r="T2005">
        <v>15.23</v>
      </c>
      <c r="U2005" t="s">
        <v>2414</v>
      </c>
      <c r="V2005" t="s">
        <v>1502</v>
      </c>
      <c r="W2005" t="s">
        <v>824</v>
      </c>
      <c r="X2005">
        <v>1.21</v>
      </c>
      <c r="Y2005" t="s">
        <v>143</v>
      </c>
      <c r="Z2005" t="s">
        <v>1400</v>
      </c>
      <c r="AA2005" t="s">
        <v>10144</v>
      </c>
      <c r="AB2005">
        <v>4.68</v>
      </c>
      <c r="AC2005" t="s">
        <v>1685</v>
      </c>
      <c r="AD2005">
        <v>58.65</v>
      </c>
      <c r="AE2005" t="s">
        <v>748</v>
      </c>
      <c r="AF2005">
        <v>0.93</v>
      </c>
      <c r="AG2005">
        <v>0</v>
      </c>
      <c r="AH2005">
        <v>0</v>
      </c>
      <c r="AI2005" s="4">
        <v>39419</v>
      </c>
    </row>
    <row r="2006" spans="1:35">
      <c r="A2006">
        <v>2005</v>
      </c>
      <c r="B2006" t="str">
        <f>"000783"</f>
        <v>000783</v>
      </c>
      <c r="C2006" t="s">
        <v>10145</v>
      </c>
      <c r="D2006" s="4">
        <v>43190</v>
      </c>
      <c r="E2006" t="s">
        <v>1064</v>
      </c>
      <c r="F2006" t="s">
        <v>1064</v>
      </c>
      <c r="G2006" t="s">
        <v>2097</v>
      </c>
      <c r="H2006">
        <v>0.06</v>
      </c>
      <c r="I2006">
        <v>4.8499999999999996</v>
      </c>
      <c r="J2006">
        <v>1.21</v>
      </c>
      <c r="K2006" t="s">
        <v>971</v>
      </c>
      <c r="L2006">
        <v>14.14</v>
      </c>
      <c r="M2006" t="s">
        <v>1040</v>
      </c>
      <c r="N2006" t="s">
        <v>1578</v>
      </c>
      <c r="O2006" t="s">
        <v>1295</v>
      </c>
      <c r="P2006" t="s">
        <v>1320</v>
      </c>
      <c r="Q2006">
        <v>-25.46</v>
      </c>
      <c r="R2006" t="s">
        <v>2060</v>
      </c>
      <c r="S2006">
        <v>0.98</v>
      </c>
      <c r="T2006">
        <v>0</v>
      </c>
      <c r="U2006" t="s">
        <v>10146</v>
      </c>
      <c r="V2006">
        <v>0</v>
      </c>
      <c r="W2006" t="s">
        <v>120</v>
      </c>
      <c r="X2006">
        <v>1.21</v>
      </c>
      <c r="Y2006" t="s">
        <v>3267</v>
      </c>
      <c r="Z2006">
        <v>0</v>
      </c>
      <c r="AA2006">
        <v>0</v>
      </c>
      <c r="AB2006">
        <v>1.0900000000000001</v>
      </c>
      <c r="AC2006" t="s">
        <v>6278</v>
      </c>
      <c r="AD2006">
        <v>23.55</v>
      </c>
      <c r="AE2006" t="s">
        <v>525</v>
      </c>
      <c r="AF2006">
        <v>1.89</v>
      </c>
      <c r="AG2006">
        <v>0</v>
      </c>
      <c r="AH2006">
        <v>0</v>
      </c>
      <c r="AI2006" s="4">
        <v>35642</v>
      </c>
    </row>
    <row r="2007" spans="1:35">
      <c r="A2007">
        <v>2006</v>
      </c>
      <c r="B2007" t="str">
        <f>"000550"</f>
        <v>000550</v>
      </c>
      <c r="C2007" t="s">
        <v>10147</v>
      </c>
      <c r="D2007" s="4">
        <v>43190</v>
      </c>
      <c r="E2007" t="s">
        <v>102</v>
      </c>
      <c r="F2007" t="s">
        <v>2230</v>
      </c>
      <c r="G2007" t="s">
        <v>53</v>
      </c>
      <c r="H2007">
        <v>0.18</v>
      </c>
      <c r="I2007">
        <v>12.43</v>
      </c>
      <c r="J2007">
        <v>1.21</v>
      </c>
      <c r="K2007" t="s">
        <v>979</v>
      </c>
      <c r="L2007">
        <v>-20.53</v>
      </c>
      <c r="M2007" t="s">
        <v>533</v>
      </c>
      <c r="N2007" t="s">
        <v>10148</v>
      </c>
      <c r="O2007" t="s">
        <v>1457</v>
      </c>
      <c r="P2007" t="s">
        <v>845</v>
      </c>
      <c r="Q2007">
        <v>-32.81</v>
      </c>
      <c r="R2007" t="s">
        <v>2406</v>
      </c>
      <c r="S2007">
        <v>9.9600000000000009</v>
      </c>
      <c r="T2007">
        <v>13.54</v>
      </c>
      <c r="U2007" t="s">
        <v>1931</v>
      </c>
      <c r="V2007" t="s">
        <v>2654</v>
      </c>
      <c r="W2007" t="s">
        <v>6837</v>
      </c>
      <c r="X2007">
        <v>1.21</v>
      </c>
      <c r="Y2007" t="s">
        <v>1089</v>
      </c>
      <c r="Z2007" t="s">
        <v>315</v>
      </c>
      <c r="AA2007" t="s">
        <v>726</v>
      </c>
      <c r="AB2007">
        <v>0.97</v>
      </c>
      <c r="AC2007" t="s">
        <v>3472</v>
      </c>
      <c r="AD2007">
        <v>47.18</v>
      </c>
      <c r="AE2007" t="s">
        <v>1375</v>
      </c>
      <c r="AF2007">
        <v>0.97</v>
      </c>
      <c r="AG2007" t="s">
        <v>2041</v>
      </c>
      <c r="AH2007">
        <v>0</v>
      </c>
      <c r="AI2007" s="4">
        <v>34304</v>
      </c>
    </row>
    <row r="2008" spans="1:35">
      <c r="A2008">
        <v>2007</v>
      </c>
      <c r="B2008" t="str">
        <f>"000005"</f>
        <v>000005</v>
      </c>
      <c r="C2008" t="s">
        <v>10149</v>
      </c>
      <c r="D2008" s="4">
        <v>43190</v>
      </c>
      <c r="E2008" t="s">
        <v>521</v>
      </c>
      <c r="F2008" t="s">
        <v>2959</v>
      </c>
      <c r="G2008">
        <v>7353</v>
      </c>
      <c r="H2008">
        <v>0.02</v>
      </c>
      <c r="I2008">
        <v>1.26</v>
      </c>
      <c r="J2008">
        <v>1.21</v>
      </c>
      <c r="K2008" t="s">
        <v>1936</v>
      </c>
      <c r="L2008">
        <v>112.95</v>
      </c>
      <c r="M2008" t="s">
        <v>7765</v>
      </c>
      <c r="N2008">
        <v>0</v>
      </c>
      <c r="O2008" t="s">
        <v>5985</v>
      </c>
      <c r="P2008" t="s">
        <v>10150</v>
      </c>
      <c r="Q2008">
        <v>259.24</v>
      </c>
      <c r="R2008" t="s">
        <v>10151</v>
      </c>
      <c r="S2008">
        <v>-0.41</v>
      </c>
      <c r="T2008">
        <v>38.35</v>
      </c>
      <c r="U2008" t="s">
        <v>371</v>
      </c>
      <c r="V2008" t="s">
        <v>625</v>
      </c>
      <c r="W2008" t="s">
        <v>4653</v>
      </c>
      <c r="X2008">
        <v>1.21</v>
      </c>
      <c r="Y2008" t="s">
        <v>584</v>
      </c>
      <c r="Z2008" t="s">
        <v>124</v>
      </c>
      <c r="AA2008" t="s">
        <v>45</v>
      </c>
      <c r="AB2008">
        <v>2.21</v>
      </c>
      <c r="AC2008" t="s">
        <v>924</v>
      </c>
      <c r="AD2008">
        <v>46.48</v>
      </c>
      <c r="AE2008" t="s">
        <v>1319</v>
      </c>
      <c r="AF2008">
        <v>0.65</v>
      </c>
      <c r="AG2008">
        <v>0</v>
      </c>
      <c r="AH2008">
        <v>0</v>
      </c>
      <c r="AI2008" s="4">
        <v>33217</v>
      </c>
    </row>
    <row r="2009" spans="1:35">
      <c r="A2009">
        <v>2008</v>
      </c>
      <c r="B2009" t="str">
        <f>"603822"</f>
        <v>603822</v>
      </c>
      <c r="C2009" t="s">
        <v>10152</v>
      </c>
      <c r="D2009" s="4">
        <v>43190</v>
      </c>
      <c r="E2009" t="s">
        <v>4733</v>
      </c>
      <c r="F2009" t="s">
        <v>3735</v>
      </c>
      <c r="G2009">
        <v>2967</v>
      </c>
      <c r="H2009">
        <v>0.12</v>
      </c>
      <c r="I2009">
        <v>9.42</v>
      </c>
      <c r="J2009">
        <v>1.2</v>
      </c>
      <c r="K2009" t="s">
        <v>1264</v>
      </c>
      <c r="L2009">
        <v>8.49</v>
      </c>
      <c r="M2009" t="s">
        <v>8579</v>
      </c>
      <c r="N2009" t="s">
        <v>10153</v>
      </c>
      <c r="O2009" t="s">
        <v>10154</v>
      </c>
      <c r="P2009" t="s">
        <v>9495</v>
      </c>
      <c r="Q2009">
        <v>97.65</v>
      </c>
      <c r="R2009" t="s">
        <v>144</v>
      </c>
      <c r="S2009">
        <v>4.42</v>
      </c>
      <c r="T2009">
        <v>13.1</v>
      </c>
      <c r="U2009" t="s">
        <v>124</v>
      </c>
      <c r="V2009" t="s">
        <v>918</v>
      </c>
      <c r="W2009" t="s">
        <v>679</v>
      </c>
      <c r="X2009">
        <v>1.2</v>
      </c>
      <c r="Y2009" t="s">
        <v>541</v>
      </c>
      <c r="Z2009" t="s">
        <v>89</v>
      </c>
      <c r="AA2009" t="s">
        <v>3535</v>
      </c>
      <c r="AB2009">
        <v>2.8</v>
      </c>
      <c r="AC2009" t="s">
        <v>2149</v>
      </c>
      <c r="AD2009">
        <v>55.14</v>
      </c>
      <c r="AE2009" t="s">
        <v>258</v>
      </c>
      <c r="AF2009">
        <v>3.47</v>
      </c>
      <c r="AG2009">
        <v>0</v>
      </c>
      <c r="AH2009">
        <v>0</v>
      </c>
      <c r="AI2009" s="4">
        <v>42488</v>
      </c>
    </row>
    <row r="2010" spans="1:35">
      <c r="A2010">
        <v>2009</v>
      </c>
      <c r="B2010" t="str">
        <f>"600998"</f>
        <v>600998</v>
      </c>
      <c r="C2010" t="s">
        <v>10155</v>
      </c>
      <c r="D2010" s="4">
        <v>43190</v>
      </c>
      <c r="E2010" t="s">
        <v>187</v>
      </c>
      <c r="F2010" t="s">
        <v>298</v>
      </c>
      <c r="G2010" t="s">
        <v>9543</v>
      </c>
      <c r="H2010">
        <v>0.12</v>
      </c>
      <c r="I2010">
        <v>7.65</v>
      </c>
      <c r="J2010">
        <v>1.2</v>
      </c>
      <c r="K2010" t="s">
        <v>1385</v>
      </c>
      <c r="L2010">
        <v>18.05</v>
      </c>
      <c r="M2010" t="s">
        <v>1621</v>
      </c>
      <c r="N2010" t="s">
        <v>10156</v>
      </c>
      <c r="O2010" t="s">
        <v>342</v>
      </c>
      <c r="P2010" t="s">
        <v>682</v>
      </c>
      <c r="Q2010">
        <v>19.2</v>
      </c>
      <c r="R2010" t="s">
        <v>2005</v>
      </c>
      <c r="S2010">
        <v>2.4500000000000002</v>
      </c>
      <c r="T2010">
        <v>7.78</v>
      </c>
      <c r="U2010" t="s">
        <v>10157</v>
      </c>
      <c r="V2010" t="s">
        <v>10158</v>
      </c>
      <c r="W2010" t="s">
        <v>1819</v>
      </c>
      <c r="X2010">
        <v>1.2</v>
      </c>
      <c r="Y2010" t="s">
        <v>1544</v>
      </c>
      <c r="Z2010" t="s">
        <v>10159</v>
      </c>
      <c r="AA2010" t="s">
        <v>275</v>
      </c>
      <c r="AB2010">
        <v>2.2000000000000002</v>
      </c>
      <c r="AC2010" t="s">
        <v>5782</v>
      </c>
      <c r="AD2010">
        <v>30.75</v>
      </c>
      <c r="AE2010" t="s">
        <v>1293</v>
      </c>
      <c r="AF2010">
        <v>4.25</v>
      </c>
      <c r="AG2010">
        <v>0</v>
      </c>
      <c r="AH2010">
        <v>0</v>
      </c>
      <c r="AI2010" s="4">
        <v>40484</v>
      </c>
    </row>
    <row r="2011" spans="1:35">
      <c r="A2011">
        <v>2010</v>
      </c>
      <c r="B2011" t="str">
        <f>"600359"</f>
        <v>600359</v>
      </c>
      <c r="C2011" t="s">
        <v>10160</v>
      </c>
      <c r="D2011" s="4">
        <v>43190</v>
      </c>
      <c r="E2011" t="s">
        <v>375</v>
      </c>
      <c r="F2011" t="s">
        <v>375</v>
      </c>
      <c r="G2011">
        <v>7597</v>
      </c>
      <c r="H2011">
        <v>-0.02</v>
      </c>
      <c r="I2011">
        <v>1.8</v>
      </c>
      <c r="J2011">
        <v>1.2</v>
      </c>
      <c r="K2011" t="s">
        <v>711</v>
      </c>
      <c r="L2011">
        <v>-70.28</v>
      </c>
      <c r="M2011" t="s">
        <v>10161</v>
      </c>
      <c r="N2011" t="s">
        <v>10162</v>
      </c>
      <c r="O2011" t="s">
        <v>10163</v>
      </c>
      <c r="P2011" t="s">
        <v>10164</v>
      </c>
      <c r="Q2011">
        <v>-344.37</v>
      </c>
      <c r="R2011" t="s">
        <v>10165</v>
      </c>
      <c r="S2011">
        <v>-1.82</v>
      </c>
      <c r="T2011">
        <v>22.66</v>
      </c>
      <c r="U2011" t="s">
        <v>1704</v>
      </c>
      <c r="V2011" t="s">
        <v>759</v>
      </c>
      <c r="W2011" t="s">
        <v>456</v>
      </c>
      <c r="X2011">
        <v>1.2</v>
      </c>
      <c r="Y2011" t="s">
        <v>646</v>
      </c>
      <c r="Z2011" t="s">
        <v>982</v>
      </c>
      <c r="AA2011" t="s">
        <v>1703</v>
      </c>
      <c r="AB2011">
        <v>2.73</v>
      </c>
      <c r="AC2011" t="s">
        <v>116</v>
      </c>
      <c r="AD2011">
        <v>28.88</v>
      </c>
      <c r="AE2011" t="s">
        <v>2537</v>
      </c>
      <c r="AF2011">
        <v>2.4500000000000002</v>
      </c>
      <c r="AG2011">
        <v>0</v>
      </c>
      <c r="AH2011">
        <v>0</v>
      </c>
      <c r="AI2011" s="4">
        <v>36279</v>
      </c>
    </row>
    <row r="2012" spans="1:35">
      <c r="A2012">
        <v>2011</v>
      </c>
      <c r="B2012" t="str">
        <f>"300472"</f>
        <v>300472</v>
      </c>
      <c r="C2012" t="s">
        <v>10166</v>
      </c>
      <c r="D2012" s="4">
        <v>43190</v>
      </c>
      <c r="E2012" t="s">
        <v>45</v>
      </c>
      <c r="F2012" t="s">
        <v>10167</v>
      </c>
      <c r="G2012">
        <v>5616</v>
      </c>
      <c r="H2012">
        <v>7.0000000000000007E-2</v>
      </c>
      <c r="I2012">
        <v>8.98</v>
      </c>
      <c r="J2012">
        <v>1.2</v>
      </c>
      <c r="K2012" t="s">
        <v>71</v>
      </c>
      <c r="L2012">
        <v>145.09</v>
      </c>
      <c r="M2012" t="s">
        <v>8319</v>
      </c>
      <c r="N2012" t="s">
        <v>7367</v>
      </c>
      <c r="O2012" t="s">
        <v>10168</v>
      </c>
      <c r="P2012" t="s">
        <v>10169</v>
      </c>
      <c r="Q2012">
        <v>301.64</v>
      </c>
      <c r="R2012" t="s">
        <v>93</v>
      </c>
      <c r="S2012">
        <v>1.1000000000000001</v>
      </c>
      <c r="T2012">
        <v>34.64</v>
      </c>
      <c r="U2012" t="s">
        <v>754</v>
      </c>
      <c r="V2012" t="s">
        <v>3161</v>
      </c>
      <c r="W2012" t="s">
        <v>748</v>
      </c>
      <c r="X2012">
        <v>1.2</v>
      </c>
      <c r="Y2012" t="s">
        <v>2445</v>
      </c>
      <c r="Z2012" t="s">
        <v>107</v>
      </c>
      <c r="AA2012" t="s">
        <v>7163</v>
      </c>
      <c r="AB2012">
        <v>2.0499999999999998</v>
      </c>
      <c r="AC2012" t="s">
        <v>1033</v>
      </c>
      <c r="AD2012">
        <v>65.290000000000006</v>
      </c>
      <c r="AE2012" t="s">
        <v>724</v>
      </c>
      <c r="AF2012">
        <v>6.76</v>
      </c>
      <c r="AG2012">
        <v>0</v>
      </c>
      <c r="AH2012">
        <v>0</v>
      </c>
      <c r="AI2012" s="4">
        <v>42166</v>
      </c>
    </row>
    <row r="2013" spans="1:35">
      <c r="A2013">
        <v>2012</v>
      </c>
      <c r="B2013" t="str">
        <f>"300404"</f>
        <v>300404</v>
      </c>
      <c r="C2013" t="s">
        <v>10170</v>
      </c>
      <c r="D2013" s="4">
        <v>43190</v>
      </c>
      <c r="E2013" t="s">
        <v>595</v>
      </c>
      <c r="F2013" t="s">
        <v>5147</v>
      </c>
      <c r="G2013">
        <v>4412</v>
      </c>
      <c r="H2013">
        <v>0.04</v>
      </c>
      <c r="I2013">
        <v>3.04</v>
      </c>
      <c r="J2013">
        <v>1.2</v>
      </c>
      <c r="K2013" t="s">
        <v>2887</v>
      </c>
      <c r="L2013">
        <v>207.35</v>
      </c>
      <c r="M2013" t="s">
        <v>10171</v>
      </c>
      <c r="N2013" t="s">
        <v>7750</v>
      </c>
      <c r="O2013" t="s">
        <v>8845</v>
      </c>
      <c r="P2013" t="s">
        <v>10172</v>
      </c>
      <c r="Q2013">
        <v>273.47000000000003</v>
      </c>
      <c r="R2013" t="s">
        <v>4714</v>
      </c>
      <c r="S2013">
        <v>0.73</v>
      </c>
      <c r="T2013">
        <v>55.23</v>
      </c>
      <c r="U2013" t="s">
        <v>6809</v>
      </c>
      <c r="V2013" t="s">
        <v>2729</v>
      </c>
      <c r="W2013" t="s">
        <v>1038</v>
      </c>
      <c r="X2013">
        <v>1.2</v>
      </c>
      <c r="Y2013" t="s">
        <v>1360</v>
      </c>
      <c r="Z2013" t="s">
        <v>382</v>
      </c>
      <c r="AA2013" t="s">
        <v>10173</v>
      </c>
      <c r="AB2013">
        <v>7.14</v>
      </c>
      <c r="AC2013" t="s">
        <v>2811</v>
      </c>
      <c r="AD2013">
        <v>69.8</v>
      </c>
      <c r="AE2013" t="s">
        <v>284</v>
      </c>
      <c r="AF2013">
        <v>1.3</v>
      </c>
      <c r="AG2013">
        <v>0</v>
      </c>
      <c r="AH2013">
        <v>0</v>
      </c>
      <c r="AI2013" s="4">
        <v>42118</v>
      </c>
    </row>
    <row r="2014" spans="1:35">
      <c r="A2014">
        <v>2013</v>
      </c>
      <c r="B2014" t="str">
        <f>"300217"</f>
        <v>300217</v>
      </c>
      <c r="C2014" t="s">
        <v>10174</v>
      </c>
      <c r="D2014" s="4">
        <v>43190</v>
      </c>
      <c r="E2014" t="s">
        <v>1082</v>
      </c>
      <c r="F2014" t="s">
        <v>299</v>
      </c>
      <c r="G2014" t="s">
        <v>6050</v>
      </c>
      <c r="H2014">
        <v>0.02</v>
      </c>
      <c r="I2014">
        <v>1.48</v>
      </c>
      <c r="J2014">
        <v>1.2</v>
      </c>
      <c r="K2014" t="s">
        <v>1483</v>
      </c>
      <c r="L2014">
        <v>38.409999999999997</v>
      </c>
      <c r="M2014" t="s">
        <v>9967</v>
      </c>
      <c r="N2014" t="s">
        <v>4580</v>
      </c>
      <c r="O2014" t="s">
        <v>10175</v>
      </c>
      <c r="P2014" t="s">
        <v>8464</v>
      </c>
      <c r="Q2014">
        <v>90.81</v>
      </c>
      <c r="R2014" t="s">
        <v>2681</v>
      </c>
      <c r="S2014">
        <v>0.4</v>
      </c>
      <c r="T2014">
        <v>17.149999999999999</v>
      </c>
      <c r="U2014" t="s">
        <v>756</v>
      </c>
      <c r="V2014" t="s">
        <v>1255</v>
      </c>
      <c r="W2014" t="s">
        <v>2111</v>
      </c>
      <c r="X2014">
        <v>1.2</v>
      </c>
      <c r="Y2014" t="s">
        <v>513</v>
      </c>
      <c r="Z2014" t="s">
        <v>2977</v>
      </c>
      <c r="AA2014" t="s">
        <v>10176</v>
      </c>
      <c r="AB2014">
        <v>1.5</v>
      </c>
      <c r="AC2014" t="s">
        <v>183</v>
      </c>
      <c r="AD2014">
        <v>62.3</v>
      </c>
      <c r="AE2014" t="s">
        <v>6810</v>
      </c>
      <c r="AF2014">
        <v>0.03</v>
      </c>
      <c r="AG2014">
        <v>0</v>
      </c>
      <c r="AH2014">
        <v>0</v>
      </c>
      <c r="AI2014" s="4">
        <v>40681</v>
      </c>
    </row>
    <row r="2015" spans="1:35">
      <c r="A2015">
        <v>2014</v>
      </c>
      <c r="B2015" t="str">
        <f>"300038"</f>
        <v>300038</v>
      </c>
      <c r="C2015" t="s">
        <v>10177</v>
      </c>
      <c r="D2015" s="4">
        <v>43190</v>
      </c>
      <c r="E2015" t="s">
        <v>192</v>
      </c>
      <c r="F2015" t="s">
        <v>623</v>
      </c>
      <c r="G2015">
        <v>4103</v>
      </c>
      <c r="H2015">
        <v>0.1</v>
      </c>
      <c r="I2015">
        <v>8.4600000000000009</v>
      </c>
      <c r="J2015">
        <v>1.2</v>
      </c>
      <c r="K2015" t="s">
        <v>1584</v>
      </c>
      <c r="L2015">
        <v>275.51</v>
      </c>
      <c r="M2015" t="s">
        <v>745</v>
      </c>
      <c r="N2015" t="s">
        <v>1605</v>
      </c>
      <c r="O2015" t="s">
        <v>745</v>
      </c>
      <c r="P2015" t="s">
        <v>280</v>
      </c>
      <c r="Q2015">
        <v>1726.1</v>
      </c>
      <c r="R2015" t="s">
        <v>821</v>
      </c>
      <c r="S2015">
        <v>0.73</v>
      </c>
      <c r="T2015">
        <v>28.37</v>
      </c>
      <c r="U2015" t="s">
        <v>841</v>
      </c>
      <c r="V2015" t="s">
        <v>1574</v>
      </c>
      <c r="W2015" t="s">
        <v>1714</v>
      </c>
      <c r="X2015">
        <v>1.2</v>
      </c>
      <c r="Y2015" t="s">
        <v>1390</v>
      </c>
      <c r="Z2015" t="s">
        <v>304</v>
      </c>
      <c r="AA2015" t="s">
        <v>2036</v>
      </c>
      <c r="AB2015">
        <v>1.1499999999999999</v>
      </c>
      <c r="AC2015" t="s">
        <v>1655</v>
      </c>
      <c r="AD2015">
        <v>81.38</v>
      </c>
      <c r="AE2015" t="s">
        <v>4544</v>
      </c>
      <c r="AF2015">
        <v>6.8</v>
      </c>
      <c r="AG2015">
        <v>0</v>
      </c>
      <c r="AH2015">
        <v>0</v>
      </c>
      <c r="AI2015" s="4">
        <v>40186</v>
      </c>
    </row>
    <row r="2016" spans="1:35">
      <c r="A2016">
        <v>2015</v>
      </c>
      <c r="B2016" t="str">
        <f>"002787"</f>
        <v>002787</v>
      </c>
      <c r="C2016" t="s">
        <v>10178</v>
      </c>
      <c r="D2016" s="4">
        <v>43190</v>
      </c>
      <c r="E2016" t="s">
        <v>188</v>
      </c>
      <c r="F2016" t="s">
        <v>1119</v>
      </c>
      <c r="G2016">
        <v>5196</v>
      </c>
      <c r="H2016">
        <v>0.04</v>
      </c>
      <c r="I2016">
        <v>3.34</v>
      </c>
      <c r="J2016">
        <v>1.2</v>
      </c>
      <c r="K2016" t="s">
        <v>203</v>
      </c>
      <c r="L2016">
        <v>-4.7300000000000004</v>
      </c>
      <c r="M2016" t="s">
        <v>8283</v>
      </c>
      <c r="N2016" t="s">
        <v>10179</v>
      </c>
      <c r="O2016" t="s">
        <v>4135</v>
      </c>
      <c r="P2016" t="s">
        <v>10180</v>
      </c>
      <c r="Q2016">
        <v>-45.1</v>
      </c>
      <c r="R2016" t="s">
        <v>139</v>
      </c>
      <c r="S2016">
        <v>1.03</v>
      </c>
      <c r="T2016">
        <v>20.85</v>
      </c>
      <c r="U2016" t="s">
        <v>176</v>
      </c>
      <c r="V2016" t="s">
        <v>1021</v>
      </c>
      <c r="W2016" t="s">
        <v>1672</v>
      </c>
      <c r="X2016">
        <v>1.2</v>
      </c>
      <c r="Y2016" t="s">
        <v>265</v>
      </c>
      <c r="Z2016" t="s">
        <v>1578</v>
      </c>
      <c r="AA2016" t="s">
        <v>7872</v>
      </c>
      <c r="AB2016">
        <v>2.94</v>
      </c>
      <c r="AC2016" t="s">
        <v>1496</v>
      </c>
      <c r="AD2016">
        <v>73.83</v>
      </c>
      <c r="AE2016" t="s">
        <v>1934</v>
      </c>
      <c r="AF2016">
        <v>1.35</v>
      </c>
      <c r="AG2016">
        <v>0</v>
      </c>
      <c r="AH2016">
        <v>0</v>
      </c>
      <c r="AI2016" s="4">
        <v>42369</v>
      </c>
    </row>
    <row r="2017" spans="1:35">
      <c r="A2017">
        <v>2016</v>
      </c>
      <c r="B2017" t="str">
        <f>"002355"</f>
        <v>002355</v>
      </c>
      <c r="C2017" t="s">
        <v>10181</v>
      </c>
      <c r="D2017" s="4">
        <v>43190</v>
      </c>
      <c r="E2017" t="s">
        <v>1015</v>
      </c>
      <c r="F2017" t="s">
        <v>69</v>
      </c>
      <c r="G2017" t="s">
        <v>1862</v>
      </c>
      <c r="H2017">
        <v>0.04</v>
      </c>
      <c r="I2017">
        <v>4.99</v>
      </c>
      <c r="J2017">
        <v>1.2</v>
      </c>
      <c r="K2017" t="s">
        <v>3067</v>
      </c>
      <c r="L2017">
        <v>12.67</v>
      </c>
      <c r="M2017" t="s">
        <v>10182</v>
      </c>
      <c r="N2017" t="s">
        <v>10183</v>
      </c>
      <c r="O2017" t="s">
        <v>9554</v>
      </c>
      <c r="P2017" t="s">
        <v>9921</v>
      </c>
      <c r="Q2017">
        <v>0.14000000000000001</v>
      </c>
      <c r="R2017" t="s">
        <v>127</v>
      </c>
      <c r="S2017">
        <v>0.87</v>
      </c>
      <c r="T2017">
        <v>22.4</v>
      </c>
      <c r="U2017" t="s">
        <v>773</v>
      </c>
      <c r="V2017" t="s">
        <v>981</v>
      </c>
      <c r="W2017" t="s">
        <v>6799</v>
      </c>
      <c r="X2017">
        <v>1.2</v>
      </c>
      <c r="Y2017" t="s">
        <v>114</v>
      </c>
      <c r="Z2017" t="s">
        <v>757</v>
      </c>
      <c r="AA2017" t="s">
        <v>1383</v>
      </c>
      <c r="AB2017">
        <v>1.71</v>
      </c>
      <c r="AC2017" t="s">
        <v>876</v>
      </c>
      <c r="AD2017">
        <v>47.85</v>
      </c>
      <c r="AE2017" t="s">
        <v>6610</v>
      </c>
      <c r="AF2017">
        <v>3.02</v>
      </c>
      <c r="AG2017">
        <v>0</v>
      </c>
      <c r="AH2017">
        <v>0</v>
      </c>
      <c r="AI2017" s="4">
        <v>40218</v>
      </c>
    </row>
    <row r="2018" spans="1:35">
      <c r="A2018">
        <v>2017</v>
      </c>
      <c r="B2018" t="str">
        <f>"603903"</f>
        <v>603903</v>
      </c>
      <c r="C2018" t="s">
        <v>10184</v>
      </c>
      <c r="D2018" s="4">
        <v>43190</v>
      </c>
      <c r="E2018" t="s">
        <v>197</v>
      </c>
      <c r="F2018" t="s">
        <v>5849</v>
      </c>
      <c r="G2018">
        <v>4947</v>
      </c>
      <c r="H2018">
        <v>0.08</v>
      </c>
      <c r="I2018">
        <v>6.94</v>
      </c>
      <c r="J2018">
        <v>1.19</v>
      </c>
      <c r="K2018" t="s">
        <v>10185</v>
      </c>
      <c r="L2018">
        <v>26.16</v>
      </c>
      <c r="M2018" t="s">
        <v>8864</v>
      </c>
      <c r="N2018" t="s">
        <v>9638</v>
      </c>
      <c r="O2018" t="s">
        <v>8132</v>
      </c>
      <c r="P2018" t="s">
        <v>10186</v>
      </c>
      <c r="Q2018">
        <v>294.8</v>
      </c>
      <c r="R2018" t="s">
        <v>200</v>
      </c>
      <c r="S2018">
        <v>1.78</v>
      </c>
      <c r="T2018">
        <v>37.880000000000003</v>
      </c>
      <c r="U2018" t="s">
        <v>855</v>
      </c>
      <c r="V2018" t="s">
        <v>2148</v>
      </c>
      <c r="W2018" t="s">
        <v>10187</v>
      </c>
      <c r="X2018">
        <v>1.19</v>
      </c>
      <c r="Y2018" t="s">
        <v>869</v>
      </c>
      <c r="Z2018" t="s">
        <v>4427</v>
      </c>
      <c r="AA2018" t="s">
        <v>1489</v>
      </c>
      <c r="AB2018">
        <v>3.81</v>
      </c>
      <c r="AC2018" t="s">
        <v>1649</v>
      </c>
      <c r="AD2018">
        <v>48.45</v>
      </c>
      <c r="AE2018" t="s">
        <v>1209</v>
      </c>
      <c r="AF2018">
        <v>4.2</v>
      </c>
      <c r="AG2018">
        <v>0</v>
      </c>
      <c r="AH2018">
        <v>0</v>
      </c>
      <c r="AI2018" s="4">
        <v>42808</v>
      </c>
    </row>
    <row r="2019" spans="1:35">
      <c r="A2019">
        <v>2018</v>
      </c>
      <c r="B2019" t="str">
        <f>"603017"</f>
        <v>603017</v>
      </c>
      <c r="C2019" t="s">
        <v>10188</v>
      </c>
      <c r="D2019" s="4">
        <v>43190</v>
      </c>
      <c r="E2019" t="s">
        <v>1732</v>
      </c>
      <c r="F2019" t="s">
        <v>2774</v>
      </c>
      <c r="G2019" t="s">
        <v>5615</v>
      </c>
      <c r="H2019">
        <v>7.0000000000000007E-2</v>
      </c>
      <c r="I2019">
        <v>6.28</v>
      </c>
      <c r="J2019">
        <v>1.19</v>
      </c>
      <c r="K2019" t="s">
        <v>205</v>
      </c>
      <c r="L2019">
        <v>51.15</v>
      </c>
      <c r="M2019" t="s">
        <v>10189</v>
      </c>
      <c r="N2019" t="s">
        <v>10190</v>
      </c>
      <c r="O2019" t="s">
        <v>10191</v>
      </c>
      <c r="P2019" t="s">
        <v>6554</v>
      </c>
      <c r="Q2019">
        <v>14.52</v>
      </c>
      <c r="R2019" t="s">
        <v>48</v>
      </c>
      <c r="S2019">
        <v>1.48</v>
      </c>
      <c r="T2019">
        <v>19.899999999999999</v>
      </c>
      <c r="U2019" t="s">
        <v>2100</v>
      </c>
      <c r="V2019" t="s">
        <v>624</v>
      </c>
      <c r="W2019" t="s">
        <v>156</v>
      </c>
      <c r="X2019">
        <v>1.19</v>
      </c>
      <c r="Y2019" t="s">
        <v>1709</v>
      </c>
      <c r="Z2019" t="s">
        <v>1917</v>
      </c>
      <c r="AA2019" t="s">
        <v>6797</v>
      </c>
      <c r="AB2019">
        <v>1.76</v>
      </c>
      <c r="AC2019" t="s">
        <v>79</v>
      </c>
      <c r="AD2019">
        <v>64.430000000000007</v>
      </c>
      <c r="AE2019" t="s">
        <v>1094</v>
      </c>
      <c r="AF2019">
        <v>3.66</v>
      </c>
      <c r="AG2019">
        <v>0</v>
      </c>
      <c r="AH2019">
        <v>0</v>
      </c>
      <c r="AI2019" s="4">
        <v>42004</v>
      </c>
    </row>
    <row r="2020" spans="1:35">
      <c r="A2020">
        <v>2019</v>
      </c>
      <c r="B2020" t="str">
        <f>"300688"</f>
        <v>300688</v>
      </c>
      <c r="C2020" t="s">
        <v>10192</v>
      </c>
      <c r="D2020" s="4">
        <v>43190</v>
      </c>
      <c r="E2020" t="s">
        <v>4230</v>
      </c>
      <c r="F2020" t="s">
        <v>4457</v>
      </c>
      <c r="G2020">
        <v>1020</v>
      </c>
      <c r="H2020">
        <v>7.0000000000000007E-2</v>
      </c>
      <c r="I2020">
        <v>5.5</v>
      </c>
      <c r="J2020">
        <v>1.19</v>
      </c>
      <c r="K2020" t="s">
        <v>8417</v>
      </c>
      <c r="L2020">
        <v>7.61</v>
      </c>
      <c r="M2020" t="s">
        <v>5984</v>
      </c>
      <c r="N2020" t="s">
        <v>10193</v>
      </c>
      <c r="O2020" t="s">
        <v>10194</v>
      </c>
      <c r="P2020" t="s">
        <v>8845</v>
      </c>
      <c r="Q2020">
        <v>479.87</v>
      </c>
      <c r="R2020" t="s">
        <v>10195</v>
      </c>
      <c r="S2020">
        <v>1.24</v>
      </c>
      <c r="T2020">
        <v>53.73</v>
      </c>
      <c r="U2020" t="s">
        <v>545</v>
      </c>
      <c r="V2020" t="s">
        <v>346</v>
      </c>
      <c r="W2020" t="s">
        <v>7755</v>
      </c>
      <c r="X2020">
        <v>1.19</v>
      </c>
      <c r="Y2020" t="s">
        <v>10196</v>
      </c>
      <c r="Z2020" t="s">
        <v>10197</v>
      </c>
      <c r="AA2020" t="s">
        <v>6507</v>
      </c>
      <c r="AB2020">
        <v>10.28</v>
      </c>
      <c r="AC2020" t="s">
        <v>3259</v>
      </c>
      <c r="AD2020">
        <v>84.96</v>
      </c>
      <c r="AE2020" t="s">
        <v>1287</v>
      </c>
      <c r="AF2020">
        <v>3.18</v>
      </c>
      <c r="AG2020">
        <v>0</v>
      </c>
      <c r="AH2020">
        <v>0</v>
      </c>
      <c r="AI2020" s="4">
        <v>42957</v>
      </c>
    </row>
    <row r="2021" spans="1:35">
      <c r="A2021">
        <v>2020</v>
      </c>
      <c r="B2021" t="str">
        <f>"002338"</f>
        <v>002338</v>
      </c>
      <c r="C2021" t="s">
        <v>10198</v>
      </c>
      <c r="D2021" s="4">
        <v>43190</v>
      </c>
      <c r="E2021" t="s">
        <v>94</v>
      </c>
      <c r="F2021" t="s">
        <v>94</v>
      </c>
      <c r="G2021" t="s">
        <v>135</v>
      </c>
      <c r="H2021">
        <v>0.04</v>
      </c>
      <c r="I2021">
        <v>3.3</v>
      </c>
      <c r="J2021">
        <v>1.19</v>
      </c>
      <c r="K2021" t="s">
        <v>10199</v>
      </c>
      <c r="L2021">
        <v>-5.84</v>
      </c>
      <c r="M2021" t="s">
        <v>4221</v>
      </c>
      <c r="N2021" t="s">
        <v>10200</v>
      </c>
      <c r="O2021" t="s">
        <v>4221</v>
      </c>
      <c r="P2021" t="s">
        <v>10201</v>
      </c>
      <c r="Q2021">
        <v>-30.6</v>
      </c>
      <c r="R2021" t="s">
        <v>531</v>
      </c>
      <c r="S2021">
        <v>1.01</v>
      </c>
      <c r="T2021">
        <v>38.79</v>
      </c>
      <c r="U2021" t="s">
        <v>3651</v>
      </c>
      <c r="V2021" t="s">
        <v>3293</v>
      </c>
      <c r="W2021" t="s">
        <v>345</v>
      </c>
      <c r="X2021">
        <v>1.19</v>
      </c>
      <c r="Y2021" t="s">
        <v>197</v>
      </c>
      <c r="Z2021" t="s">
        <v>10202</v>
      </c>
      <c r="AA2021" t="s">
        <v>10203</v>
      </c>
      <c r="AB2021">
        <v>2.98</v>
      </c>
      <c r="AC2021" t="s">
        <v>4599</v>
      </c>
      <c r="AD2021">
        <v>81.760000000000005</v>
      </c>
      <c r="AE2021" t="s">
        <v>258</v>
      </c>
      <c r="AF2021">
        <v>1.06</v>
      </c>
      <c r="AG2021">
        <v>0</v>
      </c>
      <c r="AH2021">
        <v>0</v>
      </c>
      <c r="AI2021" s="4">
        <v>40193</v>
      </c>
    </row>
    <row r="2022" spans="1:35">
      <c r="A2022">
        <v>2021</v>
      </c>
      <c r="B2022" t="str">
        <f>"000687"</f>
        <v>000687</v>
      </c>
      <c r="C2022" t="s">
        <v>10204</v>
      </c>
      <c r="D2022" s="4">
        <v>43190</v>
      </c>
      <c r="E2022" t="s">
        <v>871</v>
      </c>
      <c r="F2022" t="s">
        <v>5842</v>
      </c>
      <c r="G2022">
        <v>8086</v>
      </c>
      <c r="H2022">
        <v>0.02</v>
      </c>
      <c r="I2022">
        <v>1.95</v>
      </c>
      <c r="J2022">
        <v>1.19</v>
      </c>
      <c r="K2022" t="s">
        <v>137</v>
      </c>
      <c r="L2022">
        <v>33.450000000000003</v>
      </c>
      <c r="M2022" t="s">
        <v>3087</v>
      </c>
      <c r="N2022" t="s">
        <v>6431</v>
      </c>
      <c r="O2022" t="s">
        <v>5341</v>
      </c>
      <c r="P2022" t="s">
        <v>10205</v>
      </c>
      <c r="Q2022">
        <v>46.16</v>
      </c>
      <c r="R2022" t="s">
        <v>215</v>
      </c>
      <c r="S2022">
        <v>-0.14000000000000001</v>
      </c>
      <c r="T2022">
        <v>36.700000000000003</v>
      </c>
      <c r="U2022" t="s">
        <v>1574</v>
      </c>
      <c r="V2022" t="s">
        <v>2941</v>
      </c>
      <c r="W2022" t="s">
        <v>531</v>
      </c>
      <c r="X2022">
        <v>1.19</v>
      </c>
      <c r="Y2022" t="s">
        <v>1242</v>
      </c>
      <c r="Z2022" t="s">
        <v>275</v>
      </c>
      <c r="AA2022" t="s">
        <v>910</v>
      </c>
      <c r="AB2022">
        <v>4.34</v>
      </c>
      <c r="AC2022" t="s">
        <v>855</v>
      </c>
      <c r="AD2022">
        <v>33.25</v>
      </c>
      <c r="AE2022" t="s">
        <v>2593</v>
      </c>
      <c r="AF2022">
        <v>1.17</v>
      </c>
      <c r="AG2022">
        <v>0</v>
      </c>
      <c r="AH2022">
        <v>0</v>
      </c>
      <c r="AI2022" s="4">
        <v>35482</v>
      </c>
    </row>
    <row r="2023" spans="1:35">
      <c r="A2023">
        <v>2022</v>
      </c>
      <c r="B2023" t="str">
        <f>"603729"</f>
        <v>603729</v>
      </c>
      <c r="C2023" t="s">
        <v>10206</v>
      </c>
      <c r="D2023" s="4">
        <v>43190</v>
      </c>
      <c r="E2023" t="s">
        <v>4349</v>
      </c>
      <c r="F2023" t="s">
        <v>4349</v>
      </c>
      <c r="G2023" t="s">
        <v>2349</v>
      </c>
      <c r="H2023">
        <v>0.15</v>
      </c>
      <c r="I2023">
        <v>12.97</v>
      </c>
      <c r="J2023">
        <v>1.18</v>
      </c>
      <c r="K2023" t="s">
        <v>1905</v>
      </c>
      <c r="L2023">
        <v>91.14</v>
      </c>
      <c r="M2023" t="s">
        <v>7777</v>
      </c>
      <c r="N2023" t="s">
        <v>5877</v>
      </c>
      <c r="O2023" t="s">
        <v>7777</v>
      </c>
      <c r="P2023" t="s">
        <v>4743</v>
      </c>
      <c r="Q2023">
        <v>2254.65</v>
      </c>
      <c r="R2023" t="s">
        <v>1018</v>
      </c>
      <c r="S2023">
        <v>7.57</v>
      </c>
      <c r="T2023">
        <v>10.91</v>
      </c>
      <c r="U2023" t="s">
        <v>847</v>
      </c>
      <c r="V2023" t="s">
        <v>598</v>
      </c>
      <c r="W2023" t="s">
        <v>10207</v>
      </c>
      <c r="X2023">
        <v>1.18</v>
      </c>
      <c r="Y2023" t="s">
        <v>500</v>
      </c>
      <c r="Z2023" t="s">
        <v>769</v>
      </c>
      <c r="AA2023" t="s">
        <v>148</v>
      </c>
      <c r="AB2023">
        <v>3.12</v>
      </c>
      <c r="AC2023" t="s">
        <v>5703</v>
      </c>
      <c r="AD2023">
        <v>54.11</v>
      </c>
      <c r="AE2023" t="s">
        <v>122</v>
      </c>
      <c r="AF2023">
        <v>4.01</v>
      </c>
      <c r="AG2023">
        <v>0</v>
      </c>
      <c r="AH2023">
        <v>0</v>
      </c>
      <c r="AI2023" s="4">
        <v>42087</v>
      </c>
    </row>
    <row r="2024" spans="1:35">
      <c r="A2024">
        <v>2023</v>
      </c>
      <c r="B2024" t="str">
        <f>"601882"</f>
        <v>601882</v>
      </c>
      <c r="C2024" t="s">
        <v>10208</v>
      </c>
      <c r="D2024" s="4">
        <v>43190</v>
      </c>
      <c r="E2024" t="s">
        <v>4427</v>
      </c>
      <c r="F2024" t="s">
        <v>322</v>
      </c>
      <c r="G2024">
        <v>5056</v>
      </c>
      <c r="H2024">
        <v>0.03</v>
      </c>
      <c r="I2024">
        <v>2.2000000000000002</v>
      </c>
      <c r="J2024">
        <v>1.18</v>
      </c>
      <c r="K2024" t="s">
        <v>205</v>
      </c>
      <c r="L2024">
        <v>18.34</v>
      </c>
      <c r="M2024" t="s">
        <v>10209</v>
      </c>
      <c r="N2024">
        <v>0</v>
      </c>
      <c r="O2024" t="s">
        <v>10210</v>
      </c>
      <c r="P2024" t="s">
        <v>823</v>
      </c>
      <c r="Q2024">
        <v>24.77</v>
      </c>
      <c r="R2024" t="s">
        <v>1400</v>
      </c>
      <c r="S2024">
        <v>0.56999999999999995</v>
      </c>
      <c r="T2024">
        <v>23.37</v>
      </c>
      <c r="U2024" t="s">
        <v>1449</v>
      </c>
      <c r="V2024" t="s">
        <v>624</v>
      </c>
      <c r="W2024" t="s">
        <v>175</v>
      </c>
      <c r="X2024">
        <v>1.18</v>
      </c>
      <c r="Y2024" t="s">
        <v>699</v>
      </c>
      <c r="Z2024" t="s">
        <v>5543</v>
      </c>
      <c r="AA2024" t="s">
        <v>4993</v>
      </c>
      <c r="AB2024">
        <v>5.52</v>
      </c>
      <c r="AC2024" t="s">
        <v>250</v>
      </c>
      <c r="AD2024">
        <v>52.13</v>
      </c>
      <c r="AE2024" t="s">
        <v>1184</v>
      </c>
      <c r="AF2024">
        <v>0.55000000000000004</v>
      </c>
      <c r="AG2024">
        <v>0</v>
      </c>
      <c r="AH2024">
        <v>0</v>
      </c>
      <c r="AI2024" s="4">
        <v>42681</v>
      </c>
    </row>
    <row r="2025" spans="1:35">
      <c r="A2025">
        <v>2024</v>
      </c>
      <c r="B2025" t="str">
        <f>"601727"</f>
        <v>601727</v>
      </c>
      <c r="C2025" t="s">
        <v>10211</v>
      </c>
      <c r="D2025" s="4">
        <v>43190</v>
      </c>
      <c r="E2025" t="s">
        <v>1453</v>
      </c>
      <c r="F2025" t="s">
        <v>9819</v>
      </c>
      <c r="G2025">
        <v>0</v>
      </c>
      <c r="H2025">
        <v>0.04</v>
      </c>
      <c r="I2025">
        <v>3.83</v>
      </c>
      <c r="J2025">
        <v>1.18</v>
      </c>
      <c r="K2025" t="s">
        <v>962</v>
      </c>
      <c r="L2025">
        <v>20.04</v>
      </c>
      <c r="M2025" t="s">
        <v>405</v>
      </c>
      <c r="N2025" t="s">
        <v>1672</v>
      </c>
      <c r="O2025" t="s">
        <v>1025</v>
      </c>
      <c r="P2025" t="s">
        <v>190</v>
      </c>
      <c r="Q2025">
        <v>22.55</v>
      </c>
      <c r="R2025" t="s">
        <v>1221</v>
      </c>
      <c r="S2025">
        <v>1.37</v>
      </c>
      <c r="T2025">
        <v>20.72</v>
      </c>
      <c r="U2025" t="s">
        <v>10212</v>
      </c>
      <c r="V2025" t="s">
        <v>10213</v>
      </c>
      <c r="W2025" t="s">
        <v>246</v>
      </c>
      <c r="X2025">
        <v>1.18</v>
      </c>
      <c r="Y2025" t="s">
        <v>10214</v>
      </c>
      <c r="Z2025" t="s">
        <v>2341</v>
      </c>
      <c r="AA2025" t="s">
        <v>4910</v>
      </c>
      <c r="AB2025">
        <v>1.65</v>
      </c>
      <c r="AC2025" t="s">
        <v>5718</v>
      </c>
      <c r="AD2025">
        <v>28.39</v>
      </c>
      <c r="AE2025" t="s">
        <v>2634</v>
      </c>
      <c r="AF2025">
        <v>1.1200000000000001</v>
      </c>
      <c r="AG2025">
        <v>0</v>
      </c>
      <c r="AH2025" t="s">
        <v>1350</v>
      </c>
      <c r="AI2025" s="4">
        <v>39787</v>
      </c>
    </row>
    <row r="2026" spans="1:35">
      <c r="A2026">
        <v>2025</v>
      </c>
      <c r="B2026" t="str">
        <f>"300669"</f>
        <v>300669</v>
      </c>
      <c r="C2026" t="s">
        <v>10215</v>
      </c>
      <c r="D2026" s="4">
        <v>43190</v>
      </c>
      <c r="E2026" t="s">
        <v>10216</v>
      </c>
      <c r="F2026" t="s">
        <v>5710</v>
      </c>
      <c r="G2026">
        <v>2264</v>
      </c>
      <c r="H2026">
        <v>0.06</v>
      </c>
      <c r="I2026">
        <v>5.14</v>
      </c>
      <c r="J2026">
        <v>1.18</v>
      </c>
      <c r="K2026" t="s">
        <v>10217</v>
      </c>
      <c r="L2026">
        <v>-1.39</v>
      </c>
      <c r="M2026" t="s">
        <v>10218</v>
      </c>
      <c r="N2026" t="s">
        <v>3260</v>
      </c>
      <c r="O2026" t="s">
        <v>10219</v>
      </c>
      <c r="P2026" t="s">
        <v>10220</v>
      </c>
      <c r="Q2026">
        <v>-12.98</v>
      </c>
      <c r="R2026" t="s">
        <v>7321</v>
      </c>
      <c r="S2026">
        <v>0.62</v>
      </c>
      <c r="T2026">
        <v>30.16</v>
      </c>
      <c r="U2026" t="s">
        <v>1436</v>
      </c>
      <c r="V2026" t="s">
        <v>479</v>
      </c>
      <c r="W2026" t="s">
        <v>10221</v>
      </c>
      <c r="X2026">
        <v>1.18</v>
      </c>
      <c r="Y2026" t="s">
        <v>10222</v>
      </c>
      <c r="Z2026" t="s">
        <v>10222</v>
      </c>
      <c r="AA2026">
        <v>0</v>
      </c>
      <c r="AB2026">
        <v>3.85</v>
      </c>
      <c r="AC2026" t="s">
        <v>545</v>
      </c>
      <c r="AD2026">
        <v>92.16</v>
      </c>
      <c r="AE2026" t="s">
        <v>188</v>
      </c>
      <c r="AF2026">
        <v>3.42</v>
      </c>
      <c r="AG2026">
        <v>0</v>
      </c>
      <c r="AH2026">
        <v>0</v>
      </c>
      <c r="AI2026" s="4">
        <v>42915</v>
      </c>
    </row>
    <row r="2027" spans="1:35">
      <c r="A2027">
        <v>2026</v>
      </c>
      <c r="B2027" t="str">
        <f>"002235"</f>
        <v>002235</v>
      </c>
      <c r="C2027" t="s">
        <v>10223</v>
      </c>
      <c r="D2027" s="4">
        <v>43190</v>
      </c>
      <c r="E2027" t="s">
        <v>857</v>
      </c>
      <c r="F2027" t="s">
        <v>999</v>
      </c>
      <c r="G2027">
        <v>7424</v>
      </c>
      <c r="H2027">
        <v>0.04</v>
      </c>
      <c r="I2027">
        <v>3.6</v>
      </c>
      <c r="J2027">
        <v>1.18</v>
      </c>
      <c r="K2027" t="s">
        <v>200</v>
      </c>
      <c r="L2027">
        <v>54.55</v>
      </c>
      <c r="M2027" t="s">
        <v>10224</v>
      </c>
      <c r="N2027" t="s">
        <v>10225</v>
      </c>
      <c r="O2027" t="s">
        <v>10226</v>
      </c>
      <c r="P2027" t="s">
        <v>10227</v>
      </c>
      <c r="Q2027">
        <v>39.1</v>
      </c>
      <c r="R2027" t="s">
        <v>10228</v>
      </c>
      <c r="S2027">
        <v>-0.56000000000000005</v>
      </c>
      <c r="T2027">
        <v>23.86</v>
      </c>
      <c r="U2027" t="s">
        <v>1294</v>
      </c>
      <c r="V2027" t="s">
        <v>982</v>
      </c>
      <c r="W2027" t="s">
        <v>1200</v>
      </c>
      <c r="X2027">
        <v>1.18</v>
      </c>
      <c r="Y2027" t="s">
        <v>94</v>
      </c>
      <c r="Z2027" t="s">
        <v>94</v>
      </c>
      <c r="AA2027" t="s">
        <v>6652</v>
      </c>
      <c r="AB2027">
        <v>1.79</v>
      </c>
      <c r="AC2027" t="s">
        <v>243</v>
      </c>
      <c r="AD2027">
        <v>90.13</v>
      </c>
      <c r="AE2027" t="s">
        <v>691</v>
      </c>
      <c r="AF2027">
        <v>2.83</v>
      </c>
      <c r="AG2027">
        <v>0</v>
      </c>
      <c r="AH2027">
        <v>0</v>
      </c>
      <c r="AI2027" s="4">
        <v>39584</v>
      </c>
    </row>
    <row r="2028" spans="1:35">
      <c r="A2028">
        <v>2027</v>
      </c>
      <c r="B2028" t="str">
        <f>"002115"</f>
        <v>002115</v>
      </c>
      <c r="C2028" t="s">
        <v>10229</v>
      </c>
      <c r="D2028" s="4">
        <v>43190</v>
      </c>
      <c r="E2028" t="s">
        <v>483</v>
      </c>
      <c r="F2028" t="s">
        <v>1594</v>
      </c>
      <c r="G2028">
        <v>5914</v>
      </c>
      <c r="H2028">
        <v>0.04</v>
      </c>
      <c r="I2028">
        <v>3.85</v>
      </c>
      <c r="J2028">
        <v>1.18</v>
      </c>
      <c r="K2028" t="s">
        <v>2479</v>
      </c>
      <c r="L2028">
        <v>139.66</v>
      </c>
      <c r="M2028" t="s">
        <v>9911</v>
      </c>
      <c r="N2028" t="s">
        <v>10230</v>
      </c>
      <c r="O2028" t="s">
        <v>5108</v>
      </c>
      <c r="P2028" t="s">
        <v>10231</v>
      </c>
      <c r="Q2028">
        <v>337.15</v>
      </c>
      <c r="R2028" t="s">
        <v>986</v>
      </c>
      <c r="S2028">
        <v>0.36</v>
      </c>
      <c r="T2028">
        <v>15.45</v>
      </c>
      <c r="U2028" t="s">
        <v>763</v>
      </c>
      <c r="V2028" t="s">
        <v>1190</v>
      </c>
      <c r="W2028" t="s">
        <v>3632</v>
      </c>
      <c r="X2028">
        <v>1.18</v>
      </c>
      <c r="Y2028" t="s">
        <v>516</v>
      </c>
      <c r="Z2028" t="s">
        <v>350</v>
      </c>
      <c r="AA2028" t="s">
        <v>1243</v>
      </c>
      <c r="AB2028">
        <v>1.93</v>
      </c>
      <c r="AC2028" t="s">
        <v>114</v>
      </c>
      <c r="AD2028">
        <v>52.8</v>
      </c>
      <c r="AE2028" t="s">
        <v>971</v>
      </c>
      <c r="AF2028">
        <v>2.4700000000000002</v>
      </c>
      <c r="AG2028">
        <v>0</v>
      </c>
      <c r="AH2028">
        <v>0</v>
      </c>
      <c r="AI2028" s="4">
        <v>39128</v>
      </c>
    </row>
    <row r="2029" spans="1:35">
      <c r="A2029">
        <v>2028</v>
      </c>
      <c r="B2029" t="str">
        <f>"002036"</f>
        <v>002036</v>
      </c>
      <c r="C2029" t="s">
        <v>10232</v>
      </c>
      <c r="D2029" s="4">
        <v>43190</v>
      </c>
      <c r="E2029" t="s">
        <v>695</v>
      </c>
      <c r="F2029" t="s">
        <v>2468</v>
      </c>
      <c r="G2029" t="s">
        <v>779</v>
      </c>
      <c r="H2029">
        <v>0.04</v>
      </c>
      <c r="I2029">
        <v>3.38</v>
      </c>
      <c r="J2029">
        <v>1.18</v>
      </c>
      <c r="K2029" t="s">
        <v>460</v>
      </c>
      <c r="L2029">
        <v>33.97</v>
      </c>
      <c r="M2029" t="s">
        <v>5901</v>
      </c>
      <c r="N2029" t="s">
        <v>6934</v>
      </c>
      <c r="O2029" t="s">
        <v>5890</v>
      </c>
      <c r="P2029" t="s">
        <v>8557</v>
      </c>
      <c r="Q2029">
        <v>101.33</v>
      </c>
      <c r="R2029" t="s">
        <v>871</v>
      </c>
      <c r="S2029">
        <v>1.37</v>
      </c>
      <c r="T2029">
        <v>11.13</v>
      </c>
      <c r="U2029" t="s">
        <v>2961</v>
      </c>
      <c r="V2029" t="s">
        <v>1881</v>
      </c>
      <c r="W2029" t="s">
        <v>855</v>
      </c>
      <c r="X2029">
        <v>1.18</v>
      </c>
      <c r="Y2029" t="s">
        <v>1396</v>
      </c>
      <c r="Z2029" t="s">
        <v>700</v>
      </c>
      <c r="AA2029" t="s">
        <v>3321</v>
      </c>
      <c r="AB2029">
        <v>3.78</v>
      </c>
      <c r="AC2029" t="s">
        <v>308</v>
      </c>
      <c r="AD2029">
        <v>35.229999999999997</v>
      </c>
      <c r="AE2029" t="s">
        <v>2792</v>
      </c>
      <c r="AF2029">
        <v>0.86</v>
      </c>
      <c r="AG2029">
        <v>0</v>
      </c>
      <c r="AH2029">
        <v>0</v>
      </c>
      <c r="AI2029" s="4">
        <v>38233</v>
      </c>
    </row>
    <row r="2030" spans="1:35">
      <c r="A2030">
        <v>2029</v>
      </c>
      <c r="B2030" t="str">
        <f>"002006"</f>
        <v>002006</v>
      </c>
      <c r="C2030" t="s">
        <v>10233</v>
      </c>
      <c r="D2030" s="4">
        <v>43190</v>
      </c>
      <c r="E2030" t="s">
        <v>155</v>
      </c>
      <c r="F2030" t="s">
        <v>155</v>
      </c>
      <c r="G2030" t="s">
        <v>4216</v>
      </c>
      <c r="H2030">
        <v>0.03</v>
      </c>
      <c r="I2030">
        <v>2.2599999999999998</v>
      </c>
      <c r="J2030">
        <v>1.18</v>
      </c>
      <c r="K2030" t="s">
        <v>552</v>
      </c>
      <c r="L2030">
        <v>-2.84</v>
      </c>
      <c r="M2030" t="s">
        <v>9532</v>
      </c>
      <c r="N2030" t="s">
        <v>10234</v>
      </c>
      <c r="O2030" t="s">
        <v>7101</v>
      </c>
      <c r="P2030" t="s">
        <v>5828</v>
      </c>
      <c r="Q2030">
        <v>5.37</v>
      </c>
      <c r="R2030" t="s">
        <v>118</v>
      </c>
      <c r="S2030">
        <v>0.44</v>
      </c>
      <c r="T2030">
        <v>13.81</v>
      </c>
      <c r="U2030" t="s">
        <v>754</v>
      </c>
      <c r="V2030" t="s">
        <v>300</v>
      </c>
      <c r="W2030" t="s">
        <v>1287</v>
      </c>
      <c r="X2030">
        <v>1.18</v>
      </c>
      <c r="Y2030" t="s">
        <v>776</v>
      </c>
      <c r="Z2030" t="s">
        <v>515</v>
      </c>
      <c r="AA2030" t="s">
        <v>10235</v>
      </c>
      <c r="AB2030">
        <v>2.4700000000000002</v>
      </c>
      <c r="AC2030" t="s">
        <v>919</v>
      </c>
      <c r="AD2030">
        <v>56.9</v>
      </c>
      <c r="AE2030" t="s">
        <v>1977</v>
      </c>
      <c r="AF2030">
        <v>0.59</v>
      </c>
      <c r="AG2030">
        <v>0</v>
      </c>
      <c r="AH2030">
        <v>0</v>
      </c>
      <c r="AI2030" s="4">
        <v>38163</v>
      </c>
    </row>
    <row r="2031" spans="1:35">
      <c r="A2031">
        <v>2030</v>
      </c>
      <c r="B2031" t="str">
        <f>"000836"</f>
        <v>000836</v>
      </c>
      <c r="C2031" t="s">
        <v>10236</v>
      </c>
      <c r="D2031" s="4">
        <v>43190</v>
      </c>
      <c r="E2031" t="s">
        <v>264</v>
      </c>
      <c r="F2031" t="s">
        <v>264</v>
      </c>
      <c r="G2031" t="s">
        <v>3640</v>
      </c>
      <c r="H2031">
        <v>0.02</v>
      </c>
      <c r="I2031">
        <v>1.45</v>
      </c>
      <c r="J2031">
        <v>1.18</v>
      </c>
      <c r="K2031" t="s">
        <v>1358</v>
      </c>
      <c r="L2031">
        <v>12.92</v>
      </c>
      <c r="M2031" t="s">
        <v>10237</v>
      </c>
      <c r="N2031" t="s">
        <v>10238</v>
      </c>
      <c r="O2031" t="s">
        <v>10239</v>
      </c>
      <c r="P2031" t="s">
        <v>7251</v>
      </c>
      <c r="Q2031">
        <v>354.26</v>
      </c>
      <c r="R2031" t="s">
        <v>1964</v>
      </c>
      <c r="S2031">
        <v>0.23</v>
      </c>
      <c r="T2031">
        <v>14.35</v>
      </c>
      <c r="U2031" t="s">
        <v>1675</v>
      </c>
      <c r="V2031" t="s">
        <v>141</v>
      </c>
      <c r="W2031" t="s">
        <v>1794</v>
      </c>
      <c r="X2031">
        <v>1.18</v>
      </c>
      <c r="Y2031" t="s">
        <v>1015</v>
      </c>
      <c r="Z2031" t="s">
        <v>2230</v>
      </c>
      <c r="AA2031" t="s">
        <v>1459</v>
      </c>
      <c r="AB2031">
        <v>3.13</v>
      </c>
      <c r="AC2031" t="s">
        <v>303</v>
      </c>
      <c r="AD2031">
        <v>65.73</v>
      </c>
      <c r="AE2031" t="s">
        <v>3768</v>
      </c>
      <c r="AF2031">
        <v>0.17</v>
      </c>
      <c r="AG2031">
        <v>0</v>
      </c>
      <c r="AH2031">
        <v>0</v>
      </c>
      <c r="AI2031" s="4">
        <v>35702</v>
      </c>
    </row>
    <row r="2032" spans="1:35">
      <c r="A2032">
        <v>2031</v>
      </c>
      <c r="B2032" t="str">
        <f>"000833"</f>
        <v>000833</v>
      </c>
      <c r="C2032" t="s">
        <v>10240</v>
      </c>
      <c r="D2032" s="4">
        <v>43190</v>
      </c>
      <c r="E2032" t="s">
        <v>380</v>
      </c>
      <c r="F2032" t="s">
        <v>2224</v>
      </c>
      <c r="G2032">
        <v>6838</v>
      </c>
      <c r="H2032">
        <v>0.05</v>
      </c>
      <c r="I2032">
        <v>4.08</v>
      </c>
      <c r="J2032">
        <v>1.18</v>
      </c>
      <c r="K2032" t="s">
        <v>1212</v>
      </c>
      <c r="L2032">
        <v>47.31</v>
      </c>
      <c r="M2032" t="s">
        <v>10241</v>
      </c>
      <c r="N2032">
        <v>0</v>
      </c>
      <c r="O2032" t="s">
        <v>10242</v>
      </c>
      <c r="P2032" t="s">
        <v>3294</v>
      </c>
      <c r="Q2032">
        <v>114.33</v>
      </c>
      <c r="R2032" t="s">
        <v>2450</v>
      </c>
      <c r="S2032">
        <v>0.86</v>
      </c>
      <c r="T2032">
        <v>17.559999999999999</v>
      </c>
      <c r="U2032" t="s">
        <v>1211</v>
      </c>
      <c r="V2032" t="s">
        <v>1190</v>
      </c>
      <c r="W2032" t="s">
        <v>652</v>
      </c>
      <c r="X2032">
        <v>1.18</v>
      </c>
      <c r="Y2032" t="s">
        <v>407</v>
      </c>
      <c r="Z2032" t="s">
        <v>3312</v>
      </c>
      <c r="AA2032" t="s">
        <v>1364</v>
      </c>
      <c r="AB2032">
        <v>1.26</v>
      </c>
      <c r="AC2032" t="s">
        <v>426</v>
      </c>
      <c r="AD2032">
        <v>72.180000000000007</v>
      </c>
      <c r="AE2032" t="s">
        <v>624</v>
      </c>
      <c r="AF2032">
        <v>2.0699999999999998</v>
      </c>
      <c r="AG2032">
        <v>0</v>
      </c>
      <c r="AH2032">
        <v>0</v>
      </c>
      <c r="AI2032" s="4">
        <v>36110</v>
      </c>
    </row>
    <row r="2033" spans="1:35">
      <c r="A2033">
        <v>2032</v>
      </c>
      <c r="B2033" t="str">
        <f>"603833"</f>
        <v>603833</v>
      </c>
      <c r="C2033" t="s">
        <v>10243</v>
      </c>
      <c r="D2033" s="4">
        <v>43190</v>
      </c>
      <c r="E2033" t="s">
        <v>202</v>
      </c>
      <c r="F2033" t="s">
        <v>10244</v>
      </c>
      <c r="G2033">
        <v>9574</v>
      </c>
      <c r="H2033">
        <v>0.17</v>
      </c>
      <c r="I2033">
        <v>15.01</v>
      </c>
      <c r="J2033">
        <v>1.17</v>
      </c>
      <c r="K2033" t="s">
        <v>389</v>
      </c>
      <c r="L2033">
        <v>31.58</v>
      </c>
      <c r="M2033" t="s">
        <v>10245</v>
      </c>
      <c r="N2033" t="s">
        <v>2533</v>
      </c>
      <c r="O2033" t="s">
        <v>10246</v>
      </c>
      <c r="P2033" t="s">
        <v>472</v>
      </c>
      <c r="Q2033">
        <v>32.479999999999997</v>
      </c>
      <c r="R2033" t="s">
        <v>1161</v>
      </c>
      <c r="S2033">
        <v>7.23</v>
      </c>
      <c r="T2033">
        <v>33.909999999999997</v>
      </c>
      <c r="U2033" t="s">
        <v>2601</v>
      </c>
      <c r="V2033" t="s">
        <v>2901</v>
      </c>
      <c r="W2033" t="s">
        <v>756</v>
      </c>
      <c r="X2033">
        <v>1.17</v>
      </c>
      <c r="Y2033" t="s">
        <v>2523</v>
      </c>
      <c r="Z2033" t="s">
        <v>451</v>
      </c>
      <c r="AA2033" t="s">
        <v>1016</v>
      </c>
      <c r="AB2033">
        <v>9.1999999999999993</v>
      </c>
      <c r="AC2033" t="s">
        <v>1442</v>
      </c>
      <c r="AD2033">
        <v>69.56</v>
      </c>
      <c r="AE2033" t="s">
        <v>1350</v>
      </c>
      <c r="AF2033">
        <v>7.05</v>
      </c>
      <c r="AG2033">
        <v>0</v>
      </c>
      <c r="AH2033">
        <v>0</v>
      </c>
      <c r="AI2033" s="4">
        <v>42822</v>
      </c>
    </row>
    <row r="2034" spans="1:35">
      <c r="A2034">
        <v>2033</v>
      </c>
      <c r="B2034" t="str">
        <f>"300331"</f>
        <v>300331</v>
      </c>
      <c r="C2034" t="s">
        <v>10247</v>
      </c>
      <c r="D2034" s="4">
        <v>43190</v>
      </c>
      <c r="E2034" t="s">
        <v>2733</v>
      </c>
      <c r="F2034" t="s">
        <v>1376</v>
      </c>
      <c r="G2034">
        <v>5936</v>
      </c>
      <c r="H2034">
        <v>7.0000000000000007E-2</v>
      </c>
      <c r="I2034">
        <v>6.17</v>
      </c>
      <c r="J2034">
        <v>1.17</v>
      </c>
      <c r="K2034" t="s">
        <v>1049</v>
      </c>
      <c r="L2034">
        <v>35.89</v>
      </c>
      <c r="M2034" t="s">
        <v>10248</v>
      </c>
      <c r="N2034" t="s">
        <v>10249</v>
      </c>
      <c r="O2034" t="s">
        <v>10250</v>
      </c>
      <c r="P2034" t="s">
        <v>8993</v>
      </c>
      <c r="Q2034">
        <v>40.119999999999997</v>
      </c>
      <c r="R2034" t="s">
        <v>1417</v>
      </c>
      <c r="S2034">
        <v>0.86</v>
      </c>
      <c r="T2034">
        <v>28.76</v>
      </c>
      <c r="U2034" t="s">
        <v>1000</v>
      </c>
      <c r="V2034" t="s">
        <v>521</v>
      </c>
      <c r="W2034" t="s">
        <v>296</v>
      </c>
      <c r="X2034">
        <v>1.17</v>
      </c>
      <c r="Y2034" t="s">
        <v>1502</v>
      </c>
      <c r="Z2034" t="s">
        <v>1212</v>
      </c>
      <c r="AA2034" t="s">
        <v>7007</v>
      </c>
      <c r="AB2034">
        <v>2.15</v>
      </c>
      <c r="AC2034" t="s">
        <v>1384</v>
      </c>
      <c r="AD2034">
        <v>70.680000000000007</v>
      </c>
      <c r="AE2034" t="s">
        <v>2731</v>
      </c>
      <c r="AF2034">
        <v>4.1500000000000004</v>
      </c>
      <c r="AG2034">
        <v>0</v>
      </c>
      <c r="AH2034">
        <v>0</v>
      </c>
      <c r="AI2034" s="4">
        <v>41088</v>
      </c>
    </row>
    <row r="2035" spans="1:35">
      <c r="A2035">
        <v>2034</v>
      </c>
      <c r="B2035" t="str">
        <f>"300137"</f>
        <v>300137</v>
      </c>
      <c r="C2035" t="s">
        <v>10251</v>
      </c>
      <c r="D2035" s="4">
        <v>43190</v>
      </c>
      <c r="E2035" t="s">
        <v>2041</v>
      </c>
      <c r="F2035" t="s">
        <v>36</v>
      </c>
      <c r="G2035">
        <v>3963</v>
      </c>
      <c r="H2035">
        <v>0.06</v>
      </c>
      <c r="I2035">
        <v>4.71</v>
      </c>
      <c r="J2035">
        <v>1.17</v>
      </c>
      <c r="K2035" t="s">
        <v>1210</v>
      </c>
      <c r="L2035">
        <v>27.3</v>
      </c>
      <c r="M2035" t="s">
        <v>6840</v>
      </c>
      <c r="N2035">
        <v>0</v>
      </c>
      <c r="O2035" t="s">
        <v>10252</v>
      </c>
      <c r="P2035" t="s">
        <v>10253</v>
      </c>
      <c r="Q2035">
        <v>47.24</v>
      </c>
      <c r="R2035" t="s">
        <v>2111</v>
      </c>
      <c r="S2035">
        <v>1.55</v>
      </c>
      <c r="T2035">
        <v>47.89</v>
      </c>
      <c r="U2035" t="s">
        <v>1693</v>
      </c>
      <c r="V2035" t="s">
        <v>391</v>
      </c>
      <c r="W2035" t="s">
        <v>531</v>
      </c>
      <c r="X2035">
        <v>1.17</v>
      </c>
      <c r="Y2035" t="s">
        <v>922</v>
      </c>
      <c r="Z2035" t="s">
        <v>335</v>
      </c>
      <c r="AA2035" t="s">
        <v>8254</v>
      </c>
      <c r="AB2035">
        <v>3.26</v>
      </c>
      <c r="AC2035" t="s">
        <v>1062</v>
      </c>
      <c r="AD2035">
        <v>76.48</v>
      </c>
      <c r="AE2035" t="s">
        <v>189</v>
      </c>
      <c r="AF2035">
        <v>1.97</v>
      </c>
      <c r="AG2035">
        <v>0</v>
      </c>
      <c r="AH2035">
        <v>0</v>
      </c>
      <c r="AI2035" s="4">
        <v>40487</v>
      </c>
    </row>
    <row r="2036" spans="1:35">
      <c r="A2036">
        <v>2035</v>
      </c>
      <c r="B2036" t="str">
        <f>"002747"</f>
        <v>002747</v>
      </c>
      <c r="C2036" t="s">
        <v>10254</v>
      </c>
      <c r="D2036" s="4">
        <v>43190</v>
      </c>
      <c r="E2036" t="s">
        <v>1047</v>
      </c>
      <c r="F2036" t="s">
        <v>1487</v>
      </c>
      <c r="G2036" t="s">
        <v>3240</v>
      </c>
      <c r="H2036">
        <v>0.02</v>
      </c>
      <c r="I2036">
        <v>1.81</v>
      </c>
      <c r="J2036">
        <v>1.17</v>
      </c>
      <c r="K2036" t="s">
        <v>1206</v>
      </c>
      <c r="L2036">
        <v>123.69</v>
      </c>
      <c r="M2036" t="s">
        <v>5072</v>
      </c>
      <c r="N2036" t="s">
        <v>5398</v>
      </c>
      <c r="O2036" t="s">
        <v>4400</v>
      </c>
      <c r="P2036" t="s">
        <v>10255</v>
      </c>
      <c r="Q2036">
        <v>35.090000000000003</v>
      </c>
      <c r="R2036" t="s">
        <v>2387</v>
      </c>
      <c r="S2036">
        <v>0.24</v>
      </c>
      <c r="T2036">
        <v>40.51</v>
      </c>
      <c r="U2036" t="s">
        <v>1054</v>
      </c>
      <c r="V2036" t="s">
        <v>1678</v>
      </c>
      <c r="W2036" t="s">
        <v>217</v>
      </c>
      <c r="X2036">
        <v>1.17</v>
      </c>
      <c r="Y2036" t="s">
        <v>833</v>
      </c>
      <c r="Z2036" t="s">
        <v>147</v>
      </c>
      <c r="AA2036" t="s">
        <v>2581</v>
      </c>
      <c r="AB2036">
        <v>6.69</v>
      </c>
      <c r="AC2036" t="s">
        <v>1367</v>
      </c>
      <c r="AD2036">
        <v>49.25</v>
      </c>
      <c r="AE2036" t="s">
        <v>2479</v>
      </c>
      <c r="AF2036">
        <v>0.62</v>
      </c>
      <c r="AG2036">
        <v>0</v>
      </c>
      <c r="AH2036">
        <v>0</v>
      </c>
      <c r="AI2036" s="4">
        <v>42083</v>
      </c>
    </row>
    <row r="2037" spans="1:35">
      <c r="A2037">
        <v>2036</v>
      </c>
      <c r="B2037" t="str">
        <f>"002483"</f>
        <v>002483</v>
      </c>
      <c r="C2037" t="s">
        <v>10256</v>
      </c>
      <c r="D2037" s="4">
        <v>43190</v>
      </c>
      <c r="E2037" t="s">
        <v>675</v>
      </c>
      <c r="F2037" t="s">
        <v>2450</v>
      </c>
      <c r="G2037" t="s">
        <v>1131</v>
      </c>
      <c r="H2037">
        <v>0.04</v>
      </c>
      <c r="I2037">
        <v>3.71</v>
      </c>
      <c r="J2037">
        <v>1.17</v>
      </c>
      <c r="K2037" t="s">
        <v>324</v>
      </c>
      <c r="L2037">
        <v>-3.01</v>
      </c>
      <c r="M2037" t="s">
        <v>10257</v>
      </c>
      <c r="N2037" t="s">
        <v>1773</v>
      </c>
      <c r="O2037" t="s">
        <v>10258</v>
      </c>
      <c r="P2037" t="s">
        <v>6110</v>
      </c>
      <c r="Q2037">
        <v>38.33</v>
      </c>
      <c r="R2037" t="s">
        <v>603</v>
      </c>
      <c r="S2037">
        <v>0.26</v>
      </c>
      <c r="T2037">
        <v>26.21</v>
      </c>
      <c r="U2037" t="s">
        <v>2105</v>
      </c>
      <c r="V2037" t="s">
        <v>576</v>
      </c>
      <c r="W2037" t="s">
        <v>602</v>
      </c>
      <c r="X2037">
        <v>1.17</v>
      </c>
      <c r="Y2037" t="s">
        <v>1214</v>
      </c>
      <c r="Z2037" t="s">
        <v>3154</v>
      </c>
      <c r="AA2037" t="s">
        <v>340</v>
      </c>
      <c r="AB2037">
        <v>1.05</v>
      </c>
      <c r="AC2037" t="s">
        <v>981</v>
      </c>
      <c r="AD2037">
        <v>58.62</v>
      </c>
      <c r="AE2037" t="s">
        <v>1367</v>
      </c>
      <c r="AF2037">
        <v>2.35</v>
      </c>
      <c r="AG2037">
        <v>0</v>
      </c>
      <c r="AH2037">
        <v>0</v>
      </c>
      <c r="AI2037" s="4">
        <v>40450</v>
      </c>
    </row>
    <row r="2038" spans="1:35">
      <c r="A2038">
        <v>2037</v>
      </c>
      <c r="B2038" t="str">
        <f>"002173"</f>
        <v>002173</v>
      </c>
      <c r="C2038" t="s">
        <v>10259</v>
      </c>
      <c r="D2038" s="4">
        <v>43190</v>
      </c>
      <c r="E2038" t="s">
        <v>155</v>
      </c>
      <c r="F2038" t="s">
        <v>975</v>
      </c>
      <c r="G2038" t="s">
        <v>6078</v>
      </c>
      <c r="H2038">
        <v>0.09</v>
      </c>
      <c r="I2038">
        <v>8.1300000000000008</v>
      </c>
      <c r="J2038">
        <v>1.17</v>
      </c>
      <c r="K2038" t="s">
        <v>1245</v>
      </c>
      <c r="L2038">
        <v>23.63</v>
      </c>
      <c r="M2038" t="s">
        <v>10260</v>
      </c>
      <c r="N2038" t="s">
        <v>10261</v>
      </c>
      <c r="O2038" t="s">
        <v>9475</v>
      </c>
      <c r="P2038" t="s">
        <v>379</v>
      </c>
      <c r="Q2038">
        <v>79.06</v>
      </c>
      <c r="R2038" t="s">
        <v>335</v>
      </c>
      <c r="S2038">
        <v>0.97</v>
      </c>
      <c r="T2038">
        <v>43.6</v>
      </c>
      <c r="U2038" t="s">
        <v>3386</v>
      </c>
      <c r="V2038" t="s">
        <v>1213</v>
      </c>
      <c r="W2038" t="s">
        <v>2073</v>
      </c>
      <c r="X2038">
        <v>1.17</v>
      </c>
      <c r="Y2038" t="s">
        <v>1094</v>
      </c>
      <c r="Z2038" t="s">
        <v>1917</v>
      </c>
      <c r="AA2038" t="s">
        <v>1626</v>
      </c>
      <c r="AB2038">
        <v>1.45</v>
      </c>
      <c r="AC2038" t="s">
        <v>2871</v>
      </c>
      <c r="AD2038">
        <v>78.53</v>
      </c>
      <c r="AE2038" t="s">
        <v>2523</v>
      </c>
      <c r="AF2038">
        <v>6.07</v>
      </c>
      <c r="AG2038">
        <v>0</v>
      </c>
      <c r="AH2038">
        <v>0</v>
      </c>
      <c r="AI2038" s="4">
        <v>39350</v>
      </c>
    </row>
    <row r="2039" spans="1:35">
      <c r="A2039">
        <v>2038</v>
      </c>
      <c r="B2039" t="str">
        <f>"002076"</f>
        <v>002076</v>
      </c>
      <c r="C2039" t="s">
        <v>10262</v>
      </c>
      <c r="D2039" s="4">
        <v>43190</v>
      </c>
      <c r="E2039" t="s">
        <v>515</v>
      </c>
      <c r="F2039" t="s">
        <v>4044</v>
      </c>
      <c r="G2039">
        <v>8669</v>
      </c>
      <c r="H2039">
        <v>0.02</v>
      </c>
      <c r="I2039">
        <v>1.72</v>
      </c>
      <c r="J2039">
        <v>1.17</v>
      </c>
      <c r="K2039" t="s">
        <v>608</v>
      </c>
      <c r="L2039">
        <v>-7.47</v>
      </c>
      <c r="M2039" t="s">
        <v>10263</v>
      </c>
      <c r="N2039" t="s">
        <v>10264</v>
      </c>
      <c r="O2039" t="s">
        <v>7057</v>
      </c>
      <c r="P2039" t="s">
        <v>10265</v>
      </c>
      <c r="Q2039">
        <v>61.35</v>
      </c>
      <c r="R2039" t="s">
        <v>1366</v>
      </c>
      <c r="S2039">
        <v>0.23</v>
      </c>
      <c r="T2039">
        <v>27.21</v>
      </c>
      <c r="U2039" t="s">
        <v>2542</v>
      </c>
      <c r="V2039" t="s">
        <v>759</v>
      </c>
      <c r="W2039" t="s">
        <v>1511</v>
      </c>
      <c r="X2039">
        <v>1.17</v>
      </c>
      <c r="Y2039" t="s">
        <v>141</v>
      </c>
      <c r="Z2039" t="s">
        <v>624</v>
      </c>
      <c r="AA2039" t="s">
        <v>5579</v>
      </c>
      <c r="AB2039">
        <v>2.63</v>
      </c>
      <c r="AC2039" t="s">
        <v>295</v>
      </c>
      <c r="AD2039">
        <v>42.13</v>
      </c>
      <c r="AE2039" t="s">
        <v>657</v>
      </c>
      <c r="AF2039">
        <v>0.5</v>
      </c>
      <c r="AG2039">
        <v>0</v>
      </c>
      <c r="AH2039">
        <v>0</v>
      </c>
      <c r="AI2039" s="4">
        <v>39015</v>
      </c>
    </row>
    <row r="2040" spans="1:35">
      <c r="A2040">
        <v>2039</v>
      </c>
      <c r="B2040" t="str">
        <f>"000671"</f>
        <v>000671</v>
      </c>
      <c r="C2040" t="s">
        <v>10266</v>
      </c>
      <c r="D2040" s="4">
        <v>43190</v>
      </c>
      <c r="E2040" t="s">
        <v>1545</v>
      </c>
      <c r="F2040" t="s">
        <v>1396</v>
      </c>
      <c r="G2040" t="s">
        <v>10267</v>
      </c>
      <c r="H2040">
        <v>0.06</v>
      </c>
      <c r="I2040">
        <v>3.8</v>
      </c>
      <c r="J2040">
        <v>1.17</v>
      </c>
      <c r="K2040" t="s">
        <v>1032</v>
      </c>
      <c r="L2040">
        <v>77.56</v>
      </c>
      <c r="M2040" t="s">
        <v>597</v>
      </c>
      <c r="N2040" t="s">
        <v>10268</v>
      </c>
      <c r="O2040" t="s">
        <v>52</v>
      </c>
      <c r="P2040" t="s">
        <v>509</v>
      </c>
      <c r="Q2040">
        <v>6.19</v>
      </c>
      <c r="R2040" t="s">
        <v>3852</v>
      </c>
      <c r="S2040">
        <v>1.68</v>
      </c>
      <c r="T2040">
        <v>25.01</v>
      </c>
      <c r="U2040" t="s">
        <v>10269</v>
      </c>
      <c r="V2040" t="s">
        <v>10270</v>
      </c>
      <c r="W2040" t="s">
        <v>511</v>
      </c>
      <c r="X2040">
        <v>1.17</v>
      </c>
      <c r="Y2040" t="s">
        <v>10271</v>
      </c>
      <c r="Z2040" t="s">
        <v>10272</v>
      </c>
      <c r="AA2040" t="s">
        <v>10273</v>
      </c>
      <c r="AB2040">
        <v>1.64</v>
      </c>
      <c r="AC2040" t="s">
        <v>786</v>
      </c>
      <c r="AD2040">
        <v>8.5500000000000007</v>
      </c>
      <c r="AE2040" t="s">
        <v>816</v>
      </c>
      <c r="AF2040">
        <v>0.88</v>
      </c>
      <c r="AG2040">
        <v>0</v>
      </c>
      <c r="AH2040">
        <v>0</v>
      </c>
      <c r="AI2040" s="4">
        <v>35417</v>
      </c>
    </row>
    <row r="2041" spans="1:35">
      <c r="A2041">
        <v>2040</v>
      </c>
      <c r="B2041" t="str">
        <f>"000591"</f>
        <v>000591</v>
      </c>
      <c r="C2041" t="s">
        <v>10274</v>
      </c>
      <c r="D2041" s="4">
        <v>43190</v>
      </c>
      <c r="E2041" t="s">
        <v>1625</v>
      </c>
      <c r="F2041" t="s">
        <v>1843</v>
      </c>
      <c r="G2041" t="s">
        <v>10275</v>
      </c>
      <c r="H2041">
        <v>0.05</v>
      </c>
      <c r="I2041">
        <v>4</v>
      </c>
      <c r="J2041">
        <v>1.17</v>
      </c>
      <c r="K2041" t="s">
        <v>1375</v>
      </c>
      <c r="L2041">
        <v>47.62</v>
      </c>
      <c r="M2041" t="s">
        <v>609</v>
      </c>
      <c r="N2041" t="s">
        <v>10276</v>
      </c>
      <c r="O2041" t="s">
        <v>609</v>
      </c>
      <c r="P2041" t="s">
        <v>920</v>
      </c>
      <c r="Q2041">
        <v>89.52</v>
      </c>
      <c r="R2041" t="s">
        <v>1687</v>
      </c>
      <c r="S2041">
        <v>0.75</v>
      </c>
      <c r="T2041">
        <v>46.2</v>
      </c>
      <c r="U2041" t="s">
        <v>1983</v>
      </c>
      <c r="V2041" t="s">
        <v>4239</v>
      </c>
      <c r="W2041" t="s">
        <v>1749</v>
      </c>
      <c r="X2041">
        <v>1.17</v>
      </c>
      <c r="Y2041" t="s">
        <v>4304</v>
      </c>
      <c r="Z2041" t="s">
        <v>1250</v>
      </c>
      <c r="AA2041" t="s">
        <v>1524</v>
      </c>
      <c r="AB2041">
        <v>1.02</v>
      </c>
      <c r="AC2041" t="s">
        <v>580</v>
      </c>
      <c r="AD2041">
        <v>39.01</v>
      </c>
      <c r="AE2041" t="s">
        <v>1469</v>
      </c>
      <c r="AF2041">
        <v>2.23</v>
      </c>
      <c r="AG2041">
        <v>0</v>
      </c>
      <c r="AH2041">
        <v>0</v>
      </c>
      <c r="AI2041" s="4">
        <v>35103</v>
      </c>
    </row>
    <row r="2042" spans="1:35">
      <c r="A2042">
        <v>2041</v>
      </c>
      <c r="B2042" t="str">
        <f>"600793"</f>
        <v>600793</v>
      </c>
      <c r="C2042" t="s">
        <v>10277</v>
      </c>
      <c r="D2042" s="4">
        <v>43190</v>
      </c>
      <c r="E2042" t="s">
        <v>198</v>
      </c>
      <c r="F2042" t="s">
        <v>198</v>
      </c>
      <c r="G2042" t="s">
        <v>4418</v>
      </c>
      <c r="H2042">
        <v>0.02</v>
      </c>
      <c r="I2042">
        <v>1.4</v>
      </c>
      <c r="J2042">
        <v>1.1599999999999999</v>
      </c>
      <c r="K2042" t="s">
        <v>1594</v>
      </c>
      <c r="L2042">
        <v>52.07</v>
      </c>
      <c r="M2042" t="s">
        <v>631</v>
      </c>
      <c r="N2042">
        <v>0</v>
      </c>
      <c r="O2042" t="s">
        <v>631</v>
      </c>
      <c r="P2042" t="s">
        <v>631</v>
      </c>
      <c r="Q2042">
        <v>103.44</v>
      </c>
      <c r="R2042" t="s">
        <v>10278</v>
      </c>
      <c r="S2042">
        <v>-0.64</v>
      </c>
      <c r="T2042">
        <v>17.829999999999998</v>
      </c>
      <c r="U2042" t="s">
        <v>1397</v>
      </c>
      <c r="V2042" t="s">
        <v>1869</v>
      </c>
      <c r="W2042" t="s">
        <v>1284</v>
      </c>
      <c r="X2042">
        <v>1.1599999999999999</v>
      </c>
      <c r="Y2042" t="s">
        <v>2212</v>
      </c>
      <c r="Z2042" t="s">
        <v>2499</v>
      </c>
      <c r="AA2042" t="s">
        <v>1157</v>
      </c>
      <c r="AB2042">
        <v>11.26</v>
      </c>
      <c r="AC2042" t="s">
        <v>745</v>
      </c>
      <c r="AD2042">
        <v>4.05</v>
      </c>
      <c r="AE2042" t="s">
        <v>198</v>
      </c>
      <c r="AF2042">
        <v>1</v>
      </c>
      <c r="AG2042">
        <v>0</v>
      </c>
      <c r="AH2042">
        <v>0</v>
      </c>
      <c r="AI2042" s="4">
        <v>35481</v>
      </c>
    </row>
    <row r="2043" spans="1:35">
      <c r="A2043">
        <v>2042</v>
      </c>
      <c r="B2043" t="str">
        <f>"300151"</f>
        <v>300151</v>
      </c>
      <c r="C2043" t="s">
        <v>10279</v>
      </c>
      <c r="D2043" s="4">
        <v>43190</v>
      </c>
      <c r="E2043" t="s">
        <v>442</v>
      </c>
      <c r="F2043" t="s">
        <v>1184</v>
      </c>
      <c r="G2043">
        <v>8137</v>
      </c>
      <c r="H2043">
        <v>0.02</v>
      </c>
      <c r="I2043">
        <v>1.64</v>
      </c>
      <c r="J2043">
        <v>1.1599999999999999</v>
      </c>
      <c r="K2043" t="s">
        <v>609</v>
      </c>
      <c r="L2043">
        <v>18.690000000000001</v>
      </c>
      <c r="M2043" t="s">
        <v>8132</v>
      </c>
      <c r="N2043" t="s">
        <v>10280</v>
      </c>
      <c r="O2043" t="s">
        <v>10281</v>
      </c>
      <c r="P2043" t="s">
        <v>10282</v>
      </c>
      <c r="Q2043">
        <v>141.32</v>
      </c>
      <c r="R2043" t="s">
        <v>193</v>
      </c>
      <c r="S2043">
        <v>0.39</v>
      </c>
      <c r="T2043">
        <v>26.18</v>
      </c>
      <c r="U2043" t="s">
        <v>4953</v>
      </c>
      <c r="V2043" t="s">
        <v>2094</v>
      </c>
      <c r="W2043" t="s">
        <v>807</v>
      </c>
      <c r="X2043">
        <v>1.1599999999999999</v>
      </c>
      <c r="Y2043" t="s">
        <v>651</v>
      </c>
      <c r="Z2043" t="s">
        <v>10283</v>
      </c>
      <c r="AA2043" t="s">
        <v>1975</v>
      </c>
      <c r="AB2043">
        <v>3.44</v>
      </c>
      <c r="AC2043" t="s">
        <v>1047</v>
      </c>
      <c r="AD2043">
        <v>87.78</v>
      </c>
      <c r="AE2043" t="s">
        <v>443</v>
      </c>
      <c r="AF2043">
        <v>0.22</v>
      </c>
      <c r="AG2043">
        <v>0</v>
      </c>
      <c r="AH2043">
        <v>0</v>
      </c>
      <c r="AI2043" s="4">
        <v>40534</v>
      </c>
    </row>
    <row r="2044" spans="1:35">
      <c r="A2044">
        <v>2043</v>
      </c>
      <c r="B2044" t="str">
        <f>"300066"</f>
        <v>300066</v>
      </c>
      <c r="C2044" t="s">
        <v>10284</v>
      </c>
      <c r="D2044" s="4">
        <v>43190</v>
      </c>
      <c r="E2044" t="s">
        <v>919</v>
      </c>
      <c r="F2044" t="s">
        <v>5494</v>
      </c>
      <c r="G2044" t="s">
        <v>7516</v>
      </c>
      <c r="H2044">
        <v>0.02</v>
      </c>
      <c r="I2044">
        <v>1.46</v>
      </c>
      <c r="J2044">
        <v>1.1599999999999999</v>
      </c>
      <c r="K2044" t="s">
        <v>920</v>
      </c>
      <c r="L2044">
        <v>12.41</v>
      </c>
      <c r="M2044" t="s">
        <v>7228</v>
      </c>
      <c r="N2044" t="s">
        <v>10285</v>
      </c>
      <c r="O2044" t="s">
        <v>10286</v>
      </c>
      <c r="P2044" t="s">
        <v>6480</v>
      </c>
      <c r="Q2044">
        <v>-17.45</v>
      </c>
      <c r="R2044" t="s">
        <v>681</v>
      </c>
      <c r="S2044">
        <v>0.3</v>
      </c>
      <c r="T2044">
        <v>32.64</v>
      </c>
      <c r="U2044" t="s">
        <v>757</v>
      </c>
      <c r="V2044" t="s">
        <v>147</v>
      </c>
      <c r="W2044" t="s">
        <v>492</v>
      </c>
      <c r="X2044">
        <v>1.1599999999999999</v>
      </c>
      <c r="Y2044" t="s">
        <v>319</v>
      </c>
      <c r="Z2044" t="s">
        <v>1376</v>
      </c>
      <c r="AA2044" t="s">
        <v>6107</v>
      </c>
      <c r="AB2044">
        <v>2.36</v>
      </c>
      <c r="AC2044" t="s">
        <v>833</v>
      </c>
      <c r="AD2044">
        <v>85.67</v>
      </c>
      <c r="AE2044" t="s">
        <v>752</v>
      </c>
      <c r="AF2044">
        <v>7.0000000000000007E-2</v>
      </c>
      <c r="AG2044">
        <v>0</v>
      </c>
      <c r="AH2044">
        <v>0</v>
      </c>
      <c r="AI2044" s="4">
        <v>40263</v>
      </c>
    </row>
    <row r="2045" spans="1:35">
      <c r="A2045">
        <v>2044</v>
      </c>
      <c r="B2045" t="str">
        <f>"300051"</f>
        <v>300051</v>
      </c>
      <c r="C2045" t="s">
        <v>10287</v>
      </c>
      <c r="D2045" s="4">
        <v>43190</v>
      </c>
      <c r="E2045" t="s">
        <v>2268</v>
      </c>
      <c r="F2045" t="s">
        <v>203</v>
      </c>
      <c r="G2045">
        <v>5179</v>
      </c>
      <c r="H2045">
        <v>0.03</v>
      </c>
      <c r="I2045">
        <v>2.69</v>
      </c>
      <c r="J2045">
        <v>1.1599999999999999</v>
      </c>
      <c r="K2045" t="s">
        <v>4019</v>
      </c>
      <c r="L2045">
        <v>-23.65</v>
      </c>
      <c r="M2045" t="s">
        <v>10288</v>
      </c>
      <c r="N2045" t="s">
        <v>10289</v>
      </c>
      <c r="O2045" t="s">
        <v>10290</v>
      </c>
      <c r="P2045" t="s">
        <v>9481</v>
      </c>
      <c r="Q2045">
        <v>-22.54</v>
      </c>
      <c r="R2045" t="s">
        <v>8187</v>
      </c>
      <c r="S2045">
        <v>0.22</v>
      </c>
      <c r="T2045">
        <v>73.59</v>
      </c>
      <c r="U2045" t="s">
        <v>759</v>
      </c>
      <c r="V2045" t="s">
        <v>1180</v>
      </c>
      <c r="W2045" t="s">
        <v>97</v>
      </c>
      <c r="X2045">
        <v>1.1599999999999999</v>
      </c>
      <c r="Y2045" t="s">
        <v>142</v>
      </c>
      <c r="Z2045" t="s">
        <v>642</v>
      </c>
      <c r="AA2045" t="s">
        <v>1320</v>
      </c>
      <c r="AB2045">
        <v>3.05</v>
      </c>
      <c r="AC2045" t="s">
        <v>1856</v>
      </c>
      <c r="AD2045">
        <v>66.33</v>
      </c>
      <c r="AE2045" t="s">
        <v>1212</v>
      </c>
      <c r="AF2045">
        <v>1.47</v>
      </c>
      <c r="AG2045">
        <v>0</v>
      </c>
      <c r="AH2045">
        <v>0</v>
      </c>
      <c r="AI2045" s="4">
        <v>40220</v>
      </c>
    </row>
    <row r="2046" spans="1:35">
      <c r="A2046">
        <v>2045</v>
      </c>
      <c r="B2046" t="str">
        <f>"002657"</f>
        <v>002657</v>
      </c>
      <c r="C2046" t="s">
        <v>10291</v>
      </c>
      <c r="D2046" s="4">
        <v>43190</v>
      </c>
      <c r="E2046" t="s">
        <v>499</v>
      </c>
      <c r="F2046" t="s">
        <v>4871</v>
      </c>
      <c r="G2046">
        <v>4228</v>
      </c>
      <c r="H2046">
        <v>0.09</v>
      </c>
      <c r="I2046">
        <v>7.54</v>
      </c>
      <c r="J2046">
        <v>1.1599999999999999</v>
      </c>
      <c r="K2046" t="s">
        <v>2733</v>
      </c>
      <c r="L2046">
        <v>7.03</v>
      </c>
      <c r="M2046" t="s">
        <v>6443</v>
      </c>
      <c r="N2046" t="s">
        <v>6151</v>
      </c>
      <c r="O2046" t="s">
        <v>10292</v>
      </c>
      <c r="P2046" t="s">
        <v>9980</v>
      </c>
      <c r="Q2046">
        <v>-15.19</v>
      </c>
      <c r="R2046" t="s">
        <v>2751</v>
      </c>
      <c r="S2046">
        <v>1.1000000000000001</v>
      </c>
      <c r="T2046">
        <v>36.19</v>
      </c>
      <c r="U2046" t="s">
        <v>1859</v>
      </c>
      <c r="V2046" t="s">
        <v>1700</v>
      </c>
      <c r="W2046" t="s">
        <v>7259</v>
      </c>
      <c r="X2046">
        <v>1.1599999999999999</v>
      </c>
      <c r="Y2046" t="s">
        <v>924</v>
      </c>
      <c r="Z2046" t="s">
        <v>548</v>
      </c>
      <c r="AA2046" t="s">
        <v>1119</v>
      </c>
      <c r="AB2046">
        <v>2.08</v>
      </c>
      <c r="AC2046" t="s">
        <v>774</v>
      </c>
      <c r="AD2046">
        <v>64.92</v>
      </c>
      <c r="AE2046" t="s">
        <v>1126</v>
      </c>
      <c r="AF2046">
        <v>5.25</v>
      </c>
      <c r="AG2046">
        <v>0</v>
      </c>
      <c r="AH2046">
        <v>0</v>
      </c>
      <c r="AI2046" s="4">
        <v>40967</v>
      </c>
    </row>
    <row r="2047" spans="1:35">
      <c r="A2047">
        <v>2046</v>
      </c>
      <c r="B2047" t="str">
        <f>"002574"</f>
        <v>002574</v>
      </c>
      <c r="C2047" t="s">
        <v>10293</v>
      </c>
      <c r="D2047" s="4">
        <v>43190</v>
      </c>
      <c r="E2047" t="s">
        <v>769</v>
      </c>
      <c r="F2047" t="s">
        <v>769</v>
      </c>
      <c r="G2047" t="s">
        <v>3091</v>
      </c>
      <c r="H2047">
        <v>7.0000000000000007E-2</v>
      </c>
      <c r="I2047">
        <v>5.95</v>
      </c>
      <c r="J2047">
        <v>1.1599999999999999</v>
      </c>
      <c r="K2047" t="s">
        <v>300</v>
      </c>
      <c r="L2047">
        <v>12.26</v>
      </c>
      <c r="M2047" t="s">
        <v>5243</v>
      </c>
      <c r="N2047" t="s">
        <v>10282</v>
      </c>
      <c r="O2047" t="s">
        <v>10294</v>
      </c>
      <c r="P2047" t="s">
        <v>4670</v>
      </c>
      <c r="Q2047">
        <v>72.61</v>
      </c>
      <c r="R2047" t="s">
        <v>421</v>
      </c>
      <c r="S2047">
        <v>1.61</v>
      </c>
      <c r="T2047">
        <v>8.56</v>
      </c>
      <c r="U2047" t="s">
        <v>447</v>
      </c>
      <c r="V2047" t="s">
        <v>402</v>
      </c>
      <c r="W2047" t="s">
        <v>454</v>
      </c>
      <c r="X2047">
        <v>1.1599999999999999</v>
      </c>
      <c r="Y2047" t="s">
        <v>3716</v>
      </c>
      <c r="Z2047" t="s">
        <v>3716</v>
      </c>
      <c r="AA2047">
        <v>0</v>
      </c>
      <c r="AB2047">
        <v>0.93</v>
      </c>
      <c r="AC2047" t="s">
        <v>1404</v>
      </c>
      <c r="AD2047">
        <v>81.13</v>
      </c>
      <c r="AE2047" t="s">
        <v>1052</v>
      </c>
      <c r="AF2047">
        <v>3.13</v>
      </c>
      <c r="AG2047">
        <v>0</v>
      </c>
      <c r="AH2047">
        <v>0</v>
      </c>
      <c r="AI2047" s="4">
        <v>40655</v>
      </c>
    </row>
    <row r="2048" spans="1:35">
      <c r="A2048">
        <v>2047</v>
      </c>
      <c r="B2048" t="str">
        <f>"000988"</f>
        <v>000988</v>
      </c>
      <c r="C2048" t="s">
        <v>10295</v>
      </c>
      <c r="D2048" s="4">
        <v>43190</v>
      </c>
      <c r="E2048" t="s">
        <v>1094</v>
      </c>
      <c r="F2048" t="s">
        <v>1587</v>
      </c>
      <c r="G2048" t="s">
        <v>2449</v>
      </c>
      <c r="H2048">
        <v>0.06</v>
      </c>
      <c r="I2048">
        <v>5.26</v>
      </c>
      <c r="J2048">
        <v>1.1599999999999999</v>
      </c>
      <c r="K2048" t="s">
        <v>164</v>
      </c>
      <c r="L2048">
        <v>36.409999999999997</v>
      </c>
      <c r="M2048" t="s">
        <v>3220</v>
      </c>
      <c r="N2048" t="s">
        <v>10296</v>
      </c>
      <c r="O2048" t="s">
        <v>10297</v>
      </c>
      <c r="P2048" t="s">
        <v>10298</v>
      </c>
      <c r="Q2048">
        <v>10.61</v>
      </c>
      <c r="R2048" t="s">
        <v>848</v>
      </c>
      <c r="S2048">
        <v>1.57</v>
      </c>
      <c r="T2048">
        <v>23.95</v>
      </c>
      <c r="U2048" t="s">
        <v>3807</v>
      </c>
      <c r="V2048" t="s">
        <v>1531</v>
      </c>
      <c r="W2048" t="s">
        <v>1033</v>
      </c>
      <c r="X2048">
        <v>1.1599999999999999</v>
      </c>
      <c r="Y2048" t="s">
        <v>312</v>
      </c>
      <c r="Z2048" t="s">
        <v>2283</v>
      </c>
      <c r="AA2048" t="s">
        <v>993</v>
      </c>
      <c r="AB2048">
        <v>2.64</v>
      </c>
      <c r="AC2048" t="s">
        <v>4159</v>
      </c>
      <c r="AD2048">
        <v>59.63</v>
      </c>
      <c r="AE2048" t="s">
        <v>512</v>
      </c>
      <c r="AF2048">
        <v>2.58</v>
      </c>
      <c r="AG2048">
        <v>0</v>
      </c>
      <c r="AH2048">
        <v>0</v>
      </c>
      <c r="AI2048" s="4">
        <v>36685</v>
      </c>
    </row>
    <row r="2049" spans="1:35">
      <c r="A2049">
        <v>2048</v>
      </c>
      <c r="B2049" t="str">
        <f>"000630"</f>
        <v>000630</v>
      </c>
      <c r="C2049" t="s">
        <v>10299</v>
      </c>
      <c r="D2049" s="4">
        <v>43190</v>
      </c>
      <c r="E2049" t="s">
        <v>525</v>
      </c>
      <c r="F2049" t="s">
        <v>411</v>
      </c>
      <c r="G2049" t="s">
        <v>4553</v>
      </c>
      <c r="H2049">
        <v>0.02</v>
      </c>
      <c r="I2049">
        <v>1.65</v>
      </c>
      <c r="J2049">
        <v>1.1599999999999999</v>
      </c>
      <c r="K2049" t="s">
        <v>2271</v>
      </c>
      <c r="L2049">
        <v>-2.54</v>
      </c>
      <c r="M2049" t="s">
        <v>1124</v>
      </c>
      <c r="N2049" t="s">
        <v>803</v>
      </c>
      <c r="O2049" t="s">
        <v>1124</v>
      </c>
      <c r="P2049" t="s">
        <v>975</v>
      </c>
      <c r="Q2049">
        <v>40.49</v>
      </c>
      <c r="R2049" t="s">
        <v>1127</v>
      </c>
      <c r="S2049">
        <v>0.3</v>
      </c>
      <c r="T2049">
        <v>5.04</v>
      </c>
      <c r="U2049" t="s">
        <v>2333</v>
      </c>
      <c r="V2049" t="s">
        <v>1653</v>
      </c>
      <c r="W2049" t="s">
        <v>1222</v>
      </c>
      <c r="X2049">
        <v>1.1599999999999999</v>
      </c>
      <c r="Y2049" t="s">
        <v>3563</v>
      </c>
      <c r="Z2049" t="s">
        <v>1454</v>
      </c>
      <c r="AA2049" t="s">
        <v>1545</v>
      </c>
      <c r="AB2049">
        <v>1.34</v>
      </c>
      <c r="AC2049" t="s">
        <v>5633</v>
      </c>
      <c r="AD2049">
        <v>36.119999999999997</v>
      </c>
      <c r="AE2049" t="s">
        <v>1516</v>
      </c>
      <c r="AF2049">
        <v>0.23</v>
      </c>
      <c r="AG2049">
        <v>0</v>
      </c>
      <c r="AH2049">
        <v>0</v>
      </c>
      <c r="AI2049" s="4">
        <v>35389</v>
      </c>
    </row>
    <row r="2050" spans="1:35">
      <c r="A2050">
        <v>2049</v>
      </c>
      <c r="B2050" t="str">
        <f>"000551"</f>
        <v>000551</v>
      </c>
      <c r="C2050" t="s">
        <v>10300</v>
      </c>
      <c r="D2050" s="4">
        <v>43190</v>
      </c>
      <c r="E2050" t="s">
        <v>150</v>
      </c>
      <c r="F2050" t="s">
        <v>150</v>
      </c>
      <c r="G2050" t="s">
        <v>861</v>
      </c>
      <c r="H2050">
        <v>0.05</v>
      </c>
      <c r="I2050">
        <v>3.97</v>
      </c>
      <c r="J2050">
        <v>1.1599999999999999</v>
      </c>
      <c r="K2050" t="s">
        <v>615</v>
      </c>
      <c r="L2050">
        <v>14.29</v>
      </c>
      <c r="M2050" t="s">
        <v>10301</v>
      </c>
      <c r="N2050" t="s">
        <v>10302</v>
      </c>
      <c r="O2050" t="s">
        <v>10303</v>
      </c>
      <c r="P2050" t="s">
        <v>10067</v>
      </c>
      <c r="Q2050">
        <v>12.79</v>
      </c>
      <c r="R2050" t="s">
        <v>108</v>
      </c>
      <c r="S2050">
        <v>1.35</v>
      </c>
      <c r="T2050">
        <v>24.05</v>
      </c>
      <c r="U2050" t="s">
        <v>1412</v>
      </c>
      <c r="V2050" t="s">
        <v>1661</v>
      </c>
      <c r="W2050" t="s">
        <v>1575</v>
      </c>
      <c r="X2050">
        <v>1.1599999999999999</v>
      </c>
      <c r="Y2050" t="s">
        <v>1920</v>
      </c>
      <c r="Z2050" t="s">
        <v>516</v>
      </c>
      <c r="AA2050" t="s">
        <v>1288</v>
      </c>
      <c r="AB2050">
        <v>1.4</v>
      </c>
      <c r="AC2050" t="s">
        <v>1244</v>
      </c>
      <c r="AD2050">
        <v>38.78</v>
      </c>
      <c r="AE2050" t="s">
        <v>1400</v>
      </c>
      <c r="AF2050">
        <v>0.82</v>
      </c>
      <c r="AG2050">
        <v>0</v>
      </c>
      <c r="AH2050">
        <v>0</v>
      </c>
      <c r="AI2050" s="4">
        <v>34340</v>
      </c>
    </row>
    <row r="2051" spans="1:35">
      <c r="A2051">
        <v>2050</v>
      </c>
      <c r="B2051" t="str">
        <f>"603977"</f>
        <v>603977</v>
      </c>
      <c r="C2051" t="s">
        <v>10304</v>
      </c>
      <c r="D2051" s="4">
        <v>43190</v>
      </c>
      <c r="E2051" t="s">
        <v>1048</v>
      </c>
      <c r="F2051" t="s">
        <v>603</v>
      </c>
      <c r="G2051">
        <v>6349</v>
      </c>
      <c r="H2051">
        <v>0.04</v>
      </c>
      <c r="I2051">
        <v>3.03</v>
      </c>
      <c r="J2051">
        <v>1.1499999999999999</v>
      </c>
      <c r="K2051" t="s">
        <v>677</v>
      </c>
      <c r="L2051">
        <v>23.6</v>
      </c>
      <c r="M2051" t="s">
        <v>10305</v>
      </c>
      <c r="N2051" t="s">
        <v>3947</v>
      </c>
      <c r="O2051" t="s">
        <v>9580</v>
      </c>
      <c r="P2051" t="s">
        <v>9721</v>
      </c>
      <c r="Q2051">
        <v>46.84</v>
      </c>
      <c r="R2051" t="s">
        <v>1400</v>
      </c>
      <c r="S2051">
        <v>0.98</v>
      </c>
      <c r="T2051">
        <v>37.369999999999997</v>
      </c>
      <c r="U2051" t="s">
        <v>538</v>
      </c>
      <c r="V2051" t="s">
        <v>153</v>
      </c>
      <c r="W2051" t="s">
        <v>1330</v>
      </c>
      <c r="X2051">
        <v>1.1499999999999999</v>
      </c>
      <c r="Y2051" t="s">
        <v>133</v>
      </c>
      <c r="Z2051" t="s">
        <v>1124</v>
      </c>
      <c r="AA2051" t="s">
        <v>1475</v>
      </c>
      <c r="AB2051">
        <v>2.57</v>
      </c>
      <c r="AC2051" t="s">
        <v>5494</v>
      </c>
      <c r="AD2051">
        <v>68.599999999999994</v>
      </c>
      <c r="AE2051" t="s">
        <v>204</v>
      </c>
      <c r="AF2051">
        <v>0.88</v>
      </c>
      <c r="AG2051">
        <v>0</v>
      </c>
      <c r="AH2051">
        <v>0</v>
      </c>
      <c r="AI2051" s="4">
        <v>42685</v>
      </c>
    </row>
    <row r="2052" spans="1:35">
      <c r="A2052">
        <v>2051</v>
      </c>
      <c r="B2052" t="str">
        <f>"603085"</f>
        <v>603085</v>
      </c>
      <c r="C2052" t="s">
        <v>10306</v>
      </c>
      <c r="D2052" s="4">
        <v>43190</v>
      </c>
      <c r="E2052" t="s">
        <v>509</v>
      </c>
      <c r="F2052" t="s">
        <v>10307</v>
      </c>
      <c r="G2052" t="s">
        <v>6659</v>
      </c>
      <c r="H2052">
        <v>0.05</v>
      </c>
      <c r="I2052">
        <v>4.34</v>
      </c>
      <c r="J2052">
        <v>1.1499999999999999</v>
      </c>
      <c r="K2052" t="s">
        <v>1288</v>
      </c>
      <c r="L2052">
        <v>75.209999999999994</v>
      </c>
      <c r="M2052" t="s">
        <v>5762</v>
      </c>
      <c r="N2052">
        <v>0</v>
      </c>
      <c r="O2052" t="s">
        <v>4805</v>
      </c>
      <c r="P2052" t="s">
        <v>6831</v>
      </c>
      <c r="Q2052">
        <v>56.48</v>
      </c>
      <c r="R2052" t="s">
        <v>807</v>
      </c>
      <c r="S2052">
        <v>0.92</v>
      </c>
      <c r="T2052">
        <v>27.1</v>
      </c>
      <c r="U2052" t="s">
        <v>1367</v>
      </c>
      <c r="V2052" t="s">
        <v>1065</v>
      </c>
      <c r="W2052" t="s">
        <v>3259</v>
      </c>
      <c r="X2052">
        <v>1.1499999999999999</v>
      </c>
      <c r="Y2052" t="s">
        <v>107</v>
      </c>
      <c r="Z2052" t="s">
        <v>107</v>
      </c>
      <c r="AA2052">
        <v>0</v>
      </c>
      <c r="AB2052">
        <v>5.68</v>
      </c>
      <c r="AC2052" t="s">
        <v>2620</v>
      </c>
      <c r="AD2052">
        <v>62.79</v>
      </c>
      <c r="AE2052" t="s">
        <v>97</v>
      </c>
      <c r="AF2052">
        <v>2.29</v>
      </c>
      <c r="AG2052">
        <v>0</v>
      </c>
      <c r="AH2052">
        <v>0</v>
      </c>
      <c r="AI2052" s="4">
        <v>42185</v>
      </c>
    </row>
    <row r="2053" spans="1:35">
      <c r="A2053">
        <v>2052</v>
      </c>
      <c r="B2053" t="str">
        <f>"600661"</f>
        <v>600661</v>
      </c>
      <c r="C2053" t="s">
        <v>10308</v>
      </c>
      <c r="D2053" s="4">
        <v>43190</v>
      </c>
      <c r="E2053" t="s">
        <v>1184</v>
      </c>
      <c r="F2053" t="s">
        <v>507</v>
      </c>
      <c r="G2053" t="s">
        <v>3138</v>
      </c>
      <c r="H2053">
        <v>0.06</v>
      </c>
      <c r="I2053">
        <v>5.48</v>
      </c>
      <c r="J2053">
        <v>1.1499999999999999</v>
      </c>
      <c r="K2053" t="s">
        <v>545</v>
      </c>
      <c r="L2053">
        <v>28</v>
      </c>
      <c r="M2053" t="s">
        <v>8231</v>
      </c>
      <c r="N2053" t="s">
        <v>2687</v>
      </c>
      <c r="O2053" t="s">
        <v>3108</v>
      </c>
      <c r="P2053" t="s">
        <v>10309</v>
      </c>
      <c r="Q2053">
        <v>12.08</v>
      </c>
      <c r="R2053" t="s">
        <v>1028</v>
      </c>
      <c r="S2053">
        <v>1.25</v>
      </c>
      <c r="T2053">
        <v>43.36</v>
      </c>
      <c r="U2053" t="s">
        <v>1285</v>
      </c>
      <c r="V2053" t="s">
        <v>251</v>
      </c>
      <c r="W2053" t="s">
        <v>1074</v>
      </c>
      <c r="X2053">
        <v>1.1499999999999999</v>
      </c>
      <c r="Y2053" t="s">
        <v>547</v>
      </c>
      <c r="Z2053" t="s">
        <v>759</v>
      </c>
      <c r="AA2053" t="s">
        <v>9717</v>
      </c>
      <c r="AB2053">
        <v>4.4400000000000004</v>
      </c>
      <c r="AC2053" t="s">
        <v>848</v>
      </c>
      <c r="AD2053">
        <v>50.14</v>
      </c>
      <c r="AE2053" t="s">
        <v>605</v>
      </c>
      <c r="AF2053">
        <v>2.86</v>
      </c>
      <c r="AG2053">
        <v>0</v>
      </c>
      <c r="AH2053">
        <v>0</v>
      </c>
      <c r="AI2053" s="4">
        <v>34134</v>
      </c>
    </row>
    <row r="2054" spans="1:35">
      <c r="A2054">
        <v>2053</v>
      </c>
      <c r="B2054" t="str">
        <f>"600118"</f>
        <v>600118</v>
      </c>
      <c r="C2054" t="s">
        <v>10310</v>
      </c>
      <c r="D2054" s="4">
        <v>43190</v>
      </c>
      <c r="E2054" t="s">
        <v>250</v>
      </c>
      <c r="F2054" t="s">
        <v>250</v>
      </c>
      <c r="G2054">
        <v>8024</v>
      </c>
      <c r="H2054">
        <v>0.05</v>
      </c>
      <c r="I2054">
        <v>4.4400000000000004</v>
      </c>
      <c r="J2054">
        <v>1.1499999999999999</v>
      </c>
      <c r="K2054" t="s">
        <v>1082</v>
      </c>
      <c r="L2054">
        <v>13.63</v>
      </c>
      <c r="M2054" t="s">
        <v>10311</v>
      </c>
      <c r="N2054" t="s">
        <v>10312</v>
      </c>
      <c r="O2054" t="s">
        <v>6356</v>
      </c>
      <c r="P2054" t="s">
        <v>6364</v>
      </c>
      <c r="Q2054">
        <v>3.27</v>
      </c>
      <c r="R2054" t="s">
        <v>316</v>
      </c>
      <c r="S2054">
        <v>1.94</v>
      </c>
      <c r="T2054">
        <v>14.63</v>
      </c>
      <c r="U2054" t="s">
        <v>716</v>
      </c>
      <c r="V2054" t="s">
        <v>796</v>
      </c>
      <c r="W2054" t="s">
        <v>405</v>
      </c>
      <c r="X2054">
        <v>1.1499999999999999</v>
      </c>
      <c r="Y2054" t="s">
        <v>2667</v>
      </c>
      <c r="Z2054" t="s">
        <v>464</v>
      </c>
      <c r="AA2054" t="s">
        <v>3332</v>
      </c>
      <c r="AB2054">
        <v>4</v>
      </c>
      <c r="AC2054" t="s">
        <v>1858</v>
      </c>
      <c r="AD2054">
        <v>51.52</v>
      </c>
      <c r="AE2054" t="s">
        <v>76</v>
      </c>
      <c r="AF2054">
        <v>1.39</v>
      </c>
      <c r="AG2054">
        <v>0</v>
      </c>
      <c r="AH2054">
        <v>0</v>
      </c>
      <c r="AI2054" s="4">
        <v>35681</v>
      </c>
    </row>
    <row r="2055" spans="1:35">
      <c r="A2055">
        <v>2054</v>
      </c>
      <c r="B2055" t="str">
        <f>"300692"</f>
        <v>300692</v>
      </c>
      <c r="C2055" t="s">
        <v>10313</v>
      </c>
      <c r="D2055" s="4">
        <v>43190</v>
      </c>
      <c r="E2055" t="s">
        <v>1203</v>
      </c>
      <c r="F2055" t="s">
        <v>2417</v>
      </c>
      <c r="G2055">
        <v>1387</v>
      </c>
      <c r="H2055">
        <v>0.05</v>
      </c>
      <c r="I2055">
        <v>4.38</v>
      </c>
      <c r="J2055">
        <v>1.1499999999999999</v>
      </c>
      <c r="K2055" t="s">
        <v>10314</v>
      </c>
      <c r="L2055">
        <v>45.38</v>
      </c>
      <c r="M2055" t="s">
        <v>10315</v>
      </c>
      <c r="N2055" t="s">
        <v>10316</v>
      </c>
      <c r="O2055" t="s">
        <v>10315</v>
      </c>
      <c r="P2055" t="s">
        <v>271</v>
      </c>
      <c r="Q2055">
        <v>12.37</v>
      </c>
      <c r="R2055" t="s">
        <v>603</v>
      </c>
      <c r="S2055">
        <v>1.07</v>
      </c>
      <c r="T2055">
        <v>33.71</v>
      </c>
      <c r="U2055" t="s">
        <v>521</v>
      </c>
      <c r="V2055" t="s">
        <v>1732</v>
      </c>
      <c r="W2055" t="s">
        <v>10317</v>
      </c>
      <c r="X2055">
        <v>1.1499999999999999</v>
      </c>
      <c r="Y2055" t="s">
        <v>1184</v>
      </c>
      <c r="Z2055" t="s">
        <v>920</v>
      </c>
      <c r="AA2055" t="s">
        <v>1724</v>
      </c>
      <c r="AB2055">
        <v>5.32</v>
      </c>
      <c r="AC2055" t="s">
        <v>1723</v>
      </c>
      <c r="AD2055">
        <v>66.77</v>
      </c>
      <c r="AE2055" t="s">
        <v>104</v>
      </c>
      <c r="AF2055">
        <v>2.2599999999999998</v>
      </c>
      <c r="AG2055">
        <v>0</v>
      </c>
      <c r="AH2055">
        <v>0</v>
      </c>
      <c r="AI2055" s="4">
        <v>42968</v>
      </c>
    </row>
    <row r="2056" spans="1:35">
      <c r="A2056">
        <v>2055</v>
      </c>
      <c r="B2056" t="str">
        <f>"002819"</f>
        <v>002819</v>
      </c>
      <c r="C2056" t="s">
        <v>10318</v>
      </c>
      <c r="D2056" s="4">
        <v>43190</v>
      </c>
      <c r="E2056" t="s">
        <v>1349</v>
      </c>
      <c r="F2056" t="s">
        <v>10319</v>
      </c>
      <c r="G2056">
        <v>3855</v>
      </c>
      <c r="H2056">
        <v>0.03</v>
      </c>
      <c r="I2056">
        <v>3.87</v>
      </c>
      <c r="J2056">
        <v>1.1499999999999999</v>
      </c>
      <c r="K2056" t="s">
        <v>2031</v>
      </c>
      <c r="L2056">
        <v>25.71</v>
      </c>
      <c r="M2056" t="s">
        <v>2566</v>
      </c>
      <c r="N2056" t="s">
        <v>10320</v>
      </c>
      <c r="O2056" t="s">
        <v>3175</v>
      </c>
      <c r="P2056" t="s">
        <v>4830</v>
      </c>
      <c r="Q2056">
        <v>240.14</v>
      </c>
      <c r="R2056" t="s">
        <v>1597</v>
      </c>
      <c r="S2056">
        <v>1.57</v>
      </c>
      <c r="T2056">
        <v>13.25</v>
      </c>
      <c r="U2056" t="s">
        <v>3238</v>
      </c>
      <c r="V2056" t="s">
        <v>1611</v>
      </c>
      <c r="W2056" t="s">
        <v>7963</v>
      </c>
      <c r="X2056">
        <v>1.1499999999999999</v>
      </c>
      <c r="Y2056" t="s">
        <v>2603</v>
      </c>
      <c r="Z2056" t="s">
        <v>2603</v>
      </c>
      <c r="AA2056" t="s">
        <v>10321</v>
      </c>
      <c r="AB2056">
        <v>7.38</v>
      </c>
      <c r="AC2056" t="s">
        <v>3044</v>
      </c>
      <c r="AD2056">
        <v>76.97</v>
      </c>
      <c r="AE2056" t="s">
        <v>2603</v>
      </c>
      <c r="AF2056">
        <v>1.1000000000000001</v>
      </c>
      <c r="AG2056">
        <v>0</v>
      </c>
      <c r="AH2056">
        <v>0</v>
      </c>
      <c r="AI2056" s="4">
        <v>42685</v>
      </c>
    </row>
    <row r="2057" spans="1:35">
      <c r="A2057">
        <v>2056</v>
      </c>
      <c r="B2057" t="str">
        <f>"002813"</f>
        <v>002813</v>
      </c>
      <c r="C2057" t="s">
        <v>10322</v>
      </c>
      <c r="D2057" s="4">
        <v>43190</v>
      </c>
      <c r="E2057" t="s">
        <v>280</v>
      </c>
      <c r="F2057" t="s">
        <v>482</v>
      </c>
      <c r="G2057">
        <v>1429</v>
      </c>
      <c r="H2057">
        <v>0.06</v>
      </c>
      <c r="I2057">
        <v>5.54</v>
      </c>
      <c r="J2057">
        <v>1.1499999999999999</v>
      </c>
      <c r="K2057" t="s">
        <v>618</v>
      </c>
      <c r="L2057">
        <v>1.02</v>
      </c>
      <c r="M2057" t="s">
        <v>10323</v>
      </c>
      <c r="N2057" t="s">
        <v>10324</v>
      </c>
      <c r="O2057" t="s">
        <v>10323</v>
      </c>
      <c r="P2057" t="s">
        <v>9469</v>
      </c>
      <c r="Q2057">
        <v>-35.630000000000003</v>
      </c>
      <c r="R2057" t="s">
        <v>1791</v>
      </c>
      <c r="S2057">
        <v>2.5299999999999998</v>
      </c>
      <c r="T2057">
        <v>19.100000000000001</v>
      </c>
      <c r="U2057" t="s">
        <v>847</v>
      </c>
      <c r="V2057" t="s">
        <v>521</v>
      </c>
      <c r="W2057" t="s">
        <v>1970</v>
      </c>
      <c r="X2057">
        <v>1.1499999999999999</v>
      </c>
      <c r="Y2057" t="s">
        <v>687</v>
      </c>
      <c r="Z2057" t="s">
        <v>2512</v>
      </c>
      <c r="AA2057" t="s">
        <v>10325</v>
      </c>
      <c r="AB2057">
        <v>7</v>
      </c>
      <c r="AC2057" t="s">
        <v>1847</v>
      </c>
      <c r="AD2057">
        <v>41.62</v>
      </c>
      <c r="AE2057" t="s">
        <v>292</v>
      </c>
      <c r="AF2057">
        <v>1.7</v>
      </c>
      <c r="AG2057">
        <v>0</v>
      </c>
      <c r="AH2057">
        <v>0</v>
      </c>
      <c r="AI2057" s="4">
        <v>42655</v>
      </c>
    </row>
    <row r="2058" spans="1:35">
      <c r="A2058">
        <v>2057</v>
      </c>
      <c r="B2058" t="str">
        <f>"002761"</f>
        <v>002761</v>
      </c>
      <c r="C2058" t="s">
        <v>10326</v>
      </c>
      <c r="D2058" s="4">
        <v>43190</v>
      </c>
      <c r="E2058" t="s">
        <v>292</v>
      </c>
      <c r="F2058" t="s">
        <v>663</v>
      </c>
      <c r="G2058">
        <v>8460</v>
      </c>
      <c r="H2058">
        <v>0.04</v>
      </c>
      <c r="I2058">
        <v>3.3</v>
      </c>
      <c r="J2058">
        <v>1.1499999999999999</v>
      </c>
      <c r="K2058" t="s">
        <v>1689</v>
      </c>
      <c r="L2058">
        <v>11.47</v>
      </c>
      <c r="M2058" t="s">
        <v>10327</v>
      </c>
      <c r="N2058" t="s">
        <v>10328</v>
      </c>
      <c r="O2058" t="s">
        <v>6746</v>
      </c>
      <c r="P2058" t="s">
        <v>8555</v>
      </c>
      <c r="Q2058">
        <v>81.03</v>
      </c>
      <c r="R2058" t="s">
        <v>1067</v>
      </c>
      <c r="S2058">
        <v>1.37</v>
      </c>
      <c r="T2058">
        <v>39.29</v>
      </c>
      <c r="U2058" t="s">
        <v>299</v>
      </c>
      <c r="V2058" t="s">
        <v>347</v>
      </c>
      <c r="W2058" t="s">
        <v>1400</v>
      </c>
      <c r="X2058">
        <v>1.1499999999999999</v>
      </c>
      <c r="Y2058" t="s">
        <v>862</v>
      </c>
      <c r="Z2058" t="s">
        <v>382</v>
      </c>
      <c r="AA2058" t="s">
        <v>10329</v>
      </c>
      <c r="AB2058">
        <v>10.6</v>
      </c>
      <c r="AC2058" t="s">
        <v>883</v>
      </c>
      <c r="AD2058">
        <v>75.94</v>
      </c>
      <c r="AE2058" t="s">
        <v>94</v>
      </c>
      <c r="AF2058">
        <v>0.77</v>
      </c>
      <c r="AG2058">
        <v>0</v>
      </c>
      <c r="AH2058">
        <v>0</v>
      </c>
      <c r="AI2058" s="4">
        <v>42165</v>
      </c>
    </row>
    <row r="2059" spans="1:35">
      <c r="A2059">
        <v>2058</v>
      </c>
      <c r="B2059" t="str">
        <f>"002705"</f>
        <v>002705</v>
      </c>
      <c r="C2059" t="s">
        <v>10330</v>
      </c>
      <c r="D2059" s="4">
        <v>43190</v>
      </c>
      <c r="E2059" t="s">
        <v>1756</v>
      </c>
      <c r="F2059" t="s">
        <v>856</v>
      </c>
      <c r="G2059" t="s">
        <v>4074</v>
      </c>
      <c r="H2059">
        <v>0.05</v>
      </c>
      <c r="I2059">
        <v>4.34</v>
      </c>
      <c r="J2059">
        <v>1.1499999999999999</v>
      </c>
      <c r="K2059" t="s">
        <v>754</v>
      </c>
      <c r="L2059">
        <v>3.93</v>
      </c>
      <c r="M2059" t="s">
        <v>4538</v>
      </c>
      <c r="N2059" t="s">
        <v>497</v>
      </c>
      <c r="O2059" t="s">
        <v>9046</v>
      </c>
      <c r="P2059" t="s">
        <v>10331</v>
      </c>
      <c r="Q2059">
        <v>-32.58</v>
      </c>
      <c r="R2059" t="s">
        <v>141</v>
      </c>
      <c r="S2059">
        <v>1.52</v>
      </c>
      <c r="T2059">
        <v>17.91</v>
      </c>
      <c r="U2059" t="s">
        <v>7234</v>
      </c>
      <c r="V2059" t="s">
        <v>737</v>
      </c>
      <c r="W2059" t="s">
        <v>867</v>
      </c>
      <c r="X2059">
        <v>1.1499999999999999</v>
      </c>
      <c r="Y2059" t="s">
        <v>502</v>
      </c>
      <c r="Z2059" t="s">
        <v>502</v>
      </c>
      <c r="AA2059" t="s">
        <v>10200</v>
      </c>
      <c r="AB2059">
        <v>2.12</v>
      </c>
      <c r="AC2059" t="s">
        <v>1698</v>
      </c>
      <c r="AD2059">
        <v>57.4</v>
      </c>
      <c r="AE2059" t="s">
        <v>405</v>
      </c>
      <c r="AF2059">
        <v>1.51</v>
      </c>
      <c r="AG2059">
        <v>0</v>
      </c>
      <c r="AH2059">
        <v>0</v>
      </c>
      <c r="AI2059" s="4">
        <v>41660</v>
      </c>
    </row>
    <row r="2060" spans="1:35">
      <c r="A2060">
        <v>2059</v>
      </c>
      <c r="B2060" t="str">
        <f>"002421"</f>
        <v>002421</v>
      </c>
      <c r="C2060" t="s">
        <v>10332</v>
      </c>
      <c r="D2060" s="4">
        <v>43190</v>
      </c>
      <c r="E2060" t="s">
        <v>702</v>
      </c>
      <c r="F2060" t="s">
        <v>547</v>
      </c>
      <c r="G2060" t="s">
        <v>1381</v>
      </c>
      <c r="H2060">
        <v>0.02</v>
      </c>
      <c r="I2060">
        <v>1.59</v>
      </c>
      <c r="J2060">
        <v>1.1499999999999999</v>
      </c>
      <c r="K2060" t="s">
        <v>2224</v>
      </c>
      <c r="L2060">
        <v>-15.93</v>
      </c>
      <c r="M2060" t="s">
        <v>10333</v>
      </c>
      <c r="N2060" t="s">
        <v>10334</v>
      </c>
      <c r="O2060" t="s">
        <v>10335</v>
      </c>
      <c r="P2060" t="s">
        <v>10336</v>
      </c>
      <c r="Q2060">
        <v>-11.2</v>
      </c>
      <c r="R2060" t="s">
        <v>4224</v>
      </c>
      <c r="S2060">
        <v>0.46</v>
      </c>
      <c r="T2060">
        <v>34.94</v>
      </c>
      <c r="U2060" t="s">
        <v>1599</v>
      </c>
      <c r="V2060" t="s">
        <v>1698</v>
      </c>
      <c r="W2060" t="s">
        <v>1203</v>
      </c>
      <c r="X2060">
        <v>1.1499999999999999</v>
      </c>
      <c r="Y2060" t="s">
        <v>706</v>
      </c>
      <c r="Z2060" t="s">
        <v>1343</v>
      </c>
      <c r="AA2060" t="s">
        <v>1993</v>
      </c>
      <c r="AB2060">
        <v>2.4500000000000002</v>
      </c>
      <c r="AC2060" t="s">
        <v>313</v>
      </c>
      <c r="AD2060">
        <v>54.49</v>
      </c>
      <c r="AE2060" t="s">
        <v>682</v>
      </c>
      <c r="AF2060">
        <v>0.11</v>
      </c>
      <c r="AG2060">
        <v>0</v>
      </c>
      <c r="AH2060">
        <v>0</v>
      </c>
      <c r="AI2060" s="4">
        <v>40332</v>
      </c>
    </row>
    <row r="2061" spans="1:35">
      <c r="A2061">
        <v>2060</v>
      </c>
      <c r="B2061" t="str">
        <f>"002362"</f>
        <v>002362</v>
      </c>
      <c r="C2061" t="s">
        <v>10337</v>
      </c>
      <c r="D2061" s="4">
        <v>43190</v>
      </c>
      <c r="E2061" t="s">
        <v>912</v>
      </c>
      <c r="F2061" t="s">
        <v>1202</v>
      </c>
      <c r="G2061">
        <v>2935</v>
      </c>
      <c r="H2061">
        <v>0.04</v>
      </c>
      <c r="I2061">
        <v>3.92</v>
      </c>
      <c r="J2061">
        <v>1.1499999999999999</v>
      </c>
      <c r="K2061" t="s">
        <v>993</v>
      </c>
      <c r="L2061">
        <v>8.9700000000000006</v>
      </c>
      <c r="M2061" t="s">
        <v>10338</v>
      </c>
      <c r="N2061" t="s">
        <v>5379</v>
      </c>
      <c r="O2061" t="s">
        <v>9462</v>
      </c>
      <c r="P2061" t="s">
        <v>9108</v>
      </c>
      <c r="Q2061">
        <v>5.0199999999999996</v>
      </c>
      <c r="R2061" t="s">
        <v>5231</v>
      </c>
      <c r="S2061">
        <v>-1.85</v>
      </c>
      <c r="T2061">
        <v>47.62</v>
      </c>
      <c r="U2061" t="s">
        <v>919</v>
      </c>
      <c r="V2061" t="s">
        <v>5415</v>
      </c>
      <c r="W2061" t="s">
        <v>905</v>
      </c>
      <c r="X2061">
        <v>1.1499999999999999</v>
      </c>
      <c r="Y2061" t="s">
        <v>290</v>
      </c>
      <c r="Z2061" t="s">
        <v>1360</v>
      </c>
      <c r="AA2061" t="s">
        <v>5916</v>
      </c>
      <c r="AB2061">
        <v>4.8899999999999997</v>
      </c>
      <c r="AC2061" t="s">
        <v>3557</v>
      </c>
      <c r="AD2061">
        <v>81.67</v>
      </c>
      <c r="AE2061" t="s">
        <v>978</v>
      </c>
      <c r="AF2061">
        <v>4.75</v>
      </c>
      <c r="AG2061">
        <v>0</v>
      </c>
      <c r="AH2061">
        <v>0</v>
      </c>
      <c r="AI2061" s="4">
        <v>40240</v>
      </c>
    </row>
    <row r="2062" spans="1:35">
      <c r="A2062">
        <v>2061</v>
      </c>
      <c r="B2062" t="str">
        <f>"000713"</f>
        <v>000713</v>
      </c>
      <c r="C2062" t="s">
        <v>10339</v>
      </c>
      <c r="D2062" s="4">
        <v>43190</v>
      </c>
      <c r="E2062" t="s">
        <v>1621</v>
      </c>
      <c r="F2062" t="s">
        <v>1621</v>
      </c>
      <c r="G2062">
        <v>8312</v>
      </c>
      <c r="H2062">
        <v>0.05</v>
      </c>
      <c r="I2062">
        <v>4.5199999999999996</v>
      </c>
      <c r="J2062">
        <v>1.1499999999999999</v>
      </c>
      <c r="K2062" t="s">
        <v>645</v>
      </c>
      <c r="L2062">
        <v>30.56</v>
      </c>
      <c r="M2062" t="s">
        <v>307</v>
      </c>
      <c r="N2062" t="s">
        <v>8665</v>
      </c>
      <c r="O2062" t="s">
        <v>7619</v>
      </c>
      <c r="P2062" t="s">
        <v>10066</v>
      </c>
      <c r="Q2062">
        <v>364.43</v>
      </c>
      <c r="R2062" t="s">
        <v>335</v>
      </c>
      <c r="S2062">
        <v>1.47</v>
      </c>
      <c r="T2062">
        <v>15.34</v>
      </c>
      <c r="U2062" t="s">
        <v>2753</v>
      </c>
      <c r="V2062" t="s">
        <v>982</v>
      </c>
      <c r="W2062" t="s">
        <v>123</v>
      </c>
      <c r="X2062">
        <v>1.1499999999999999</v>
      </c>
      <c r="Y2062" t="s">
        <v>2148</v>
      </c>
      <c r="Z2062" t="s">
        <v>889</v>
      </c>
      <c r="AA2062" t="s">
        <v>9207</v>
      </c>
      <c r="AB2062">
        <v>1.44</v>
      </c>
      <c r="AC2062" t="s">
        <v>1214</v>
      </c>
      <c r="AD2062">
        <v>62.21</v>
      </c>
      <c r="AE2062" t="s">
        <v>1128</v>
      </c>
      <c r="AF2062">
        <v>1.69</v>
      </c>
      <c r="AG2062">
        <v>0</v>
      </c>
      <c r="AH2062">
        <v>0</v>
      </c>
      <c r="AI2062" s="4">
        <v>35542</v>
      </c>
    </row>
    <row r="2063" spans="1:35">
      <c r="A2063">
        <v>2062</v>
      </c>
      <c r="B2063" t="str">
        <f>"600110"</f>
        <v>600110</v>
      </c>
      <c r="C2063" t="s">
        <v>10340</v>
      </c>
      <c r="D2063" s="4">
        <v>43190</v>
      </c>
      <c r="E2063" t="s">
        <v>973</v>
      </c>
      <c r="F2063" t="s">
        <v>973</v>
      </c>
      <c r="G2063" t="s">
        <v>2305</v>
      </c>
      <c r="H2063">
        <v>0.02</v>
      </c>
      <c r="I2063">
        <v>1.82</v>
      </c>
      <c r="J2063">
        <v>1.1499999999999999</v>
      </c>
      <c r="K2063" t="s">
        <v>1037</v>
      </c>
      <c r="L2063">
        <v>-15.06</v>
      </c>
      <c r="M2063" t="s">
        <v>9649</v>
      </c>
      <c r="N2063" t="s">
        <v>6828</v>
      </c>
      <c r="O2063" t="s">
        <v>6521</v>
      </c>
      <c r="P2063" t="s">
        <v>9697</v>
      </c>
      <c r="Q2063">
        <v>-32.75</v>
      </c>
      <c r="R2063" t="s">
        <v>37</v>
      </c>
      <c r="S2063">
        <v>0.16</v>
      </c>
      <c r="T2063">
        <v>26.58</v>
      </c>
      <c r="U2063" t="s">
        <v>1591</v>
      </c>
      <c r="V2063" t="s">
        <v>2028</v>
      </c>
      <c r="W2063" t="s">
        <v>980</v>
      </c>
      <c r="X2063">
        <v>1.1499999999999999</v>
      </c>
      <c r="Y2063" t="s">
        <v>1291</v>
      </c>
      <c r="Z2063" t="s">
        <v>2283</v>
      </c>
      <c r="AA2063" t="s">
        <v>2836</v>
      </c>
      <c r="AB2063">
        <v>2.99</v>
      </c>
      <c r="AC2063" t="s">
        <v>159</v>
      </c>
      <c r="AD2063">
        <v>31.35</v>
      </c>
      <c r="AE2063" t="s">
        <v>491</v>
      </c>
      <c r="AF2063">
        <v>0.59</v>
      </c>
      <c r="AG2063">
        <v>0</v>
      </c>
      <c r="AH2063">
        <v>0</v>
      </c>
      <c r="AI2063" s="4">
        <v>35710</v>
      </c>
    </row>
    <row r="2064" spans="1:35">
      <c r="A2064">
        <v>2063</v>
      </c>
      <c r="B2064" t="str">
        <f>"600692"</f>
        <v>600692</v>
      </c>
      <c r="C2064" t="s">
        <v>10341</v>
      </c>
      <c r="D2064" s="4">
        <v>43190</v>
      </c>
      <c r="E2064" t="s">
        <v>2807</v>
      </c>
      <c r="F2064" t="s">
        <v>258</v>
      </c>
      <c r="G2064">
        <v>6569</v>
      </c>
      <c r="H2064">
        <v>0.02</v>
      </c>
      <c r="I2064">
        <v>2.0099999999999998</v>
      </c>
      <c r="J2064">
        <v>1.1399999999999999</v>
      </c>
      <c r="K2064" t="s">
        <v>1597</v>
      </c>
      <c r="L2064">
        <v>-32.81</v>
      </c>
      <c r="M2064" t="s">
        <v>10342</v>
      </c>
      <c r="N2064" t="s">
        <v>3136</v>
      </c>
      <c r="O2064" t="s">
        <v>10343</v>
      </c>
      <c r="P2064" t="s">
        <v>8581</v>
      </c>
      <c r="Q2064">
        <v>-20.45</v>
      </c>
      <c r="R2064" t="s">
        <v>1245</v>
      </c>
      <c r="S2064">
        <v>0.66</v>
      </c>
      <c r="T2064">
        <v>21.1</v>
      </c>
      <c r="U2064" t="s">
        <v>1693</v>
      </c>
      <c r="V2064" t="s">
        <v>1062</v>
      </c>
      <c r="W2064" t="s">
        <v>5805</v>
      </c>
      <c r="X2064">
        <v>1.1399999999999999</v>
      </c>
      <c r="Y2064" t="s">
        <v>124</v>
      </c>
      <c r="Z2064" t="s">
        <v>1025</v>
      </c>
      <c r="AA2064" t="s">
        <v>2857</v>
      </c>
      <c r="AB2064">
        <v>3.46</v>
      </c>
      <c r="AC2064" t="s">
        <v>1723</v>
      </c>
      <c r="AD2064">
        <v>33.369999999999997</v>
      </c>
      <c r="AE2064" t="s">
        <v>3416</v>
      </c>
      <c r="AF2064">
        <v>0.17</v>
      </c>
      <c r="AG2064">
        <v>0</v>
      </c>
      <c r="AH2064">
        <v>0</v>
      </c>
      <c r="AI2064" s="4">
        <v>34292</v>
      </c>
    </row>
    <row r="2065" spans="1:35">
      <c r="A2065">
        <v>2064</v>
      </c>
      <c r="B2065" t="str">
        <f>"603308"</f>
        <v>603308</v>
      </c>
      <c r="C2065" t="s">
        <v>10344</v>
      </c>
      <c r="D2065" s="4">
        <v>43190</v>
      </c>
      <c r="E2065" t="s">
        <v>1209</v>
      </c>
      <c r="F2065" t="s">
        <v>150</v>
      </c>
      <c r="G2065" t="s">
        <v>892</v>
      </c>
      <c r="H2065">
        <v>0.08</v>
      </c>
      <c r="I2065">
        <v>6.55</v>
      </c>
      <c r="J2065">
        <v>1.1399999999999999</v>
      </c>
      <c r="K2065" t="s">
        <v>48</v>
      </c>
      <c r="L2065">
        <v>15.02</v>
      </c>
      <c r="M2065" t="s">
        <v>10345</v>
      </c>
      <c r="N2065">
        <v>0</v>
      </c>
      <c r="O2065" t="s">
        <v>10345</v>
      </c>
      <c r="P2065" t="s">
        <v>10346</v>
      </c>
      <c r="Q2065">
        <v>4.57</v>
      </c>
      <c r="R2065" t="s">
        <v>2913</v>
      </c>
      <c r="S2065">
        <v>1.66</v>
      </c>
      <c r="T2065">
        <v>35.299999999999997</v>
      </c>
      <c r="U2065" t="s">
        <v>951</v>
      </c>
      <c r="V2065" t="s">
        <v>158</v>
      </c>
      <c r="W2065" t="s">
        <v>2339</v>
      </c>
      <c r="X2065">
        <v>1.1399999999999999</v>
      </c>
      <c r="Y2065" t="s">
        <v>588</v>
      </c>
      <c r="Z2065" t="s">
        <v>907</v>
      </c>
      <c r="AA2065" t="s">
        <v>327</v>
      </c>
      <c r="AB2065">
        <v>1.86</v>
      </c>
      <c r="AC2065" t="s">
        <v>2941</v>
      </c>
      <c r="AD2065">
        <v>41.53</v>
      </c>
      <c r="AE2065" t="s">
        <v>1367</v>
      </c>
      <c r="AF2065">
        <v>3.64</v>
      </c>
      <c r="AG2065">
        <v>0</v>
      </c>
      <c r="AH2065">
        <v>0</v>
      </c>
      <c r="AI2065" s="4">
        <v>41661</v>
      </c>
    </row>
    <row r="2066" spans="1:35">
      <c r="A2066">
        <v>2065</v>
      </c>
      <c r="B2066" t="str">
        <f>"603078"</f>
        <v>603078</v>
      </c>
      <c r="C2066" t="s">
        <v>10347</v>
      </c>
      <c r="D2066" s="4">
        <v>43190</v>
      </c>
      <c r="E2066" t="s">
        <v>6356</v>
      </c>
      <c r="F2066" t="s">
        <v>6535</v>
      </c>
      <c r="G2066">
        <v>2105</v>
      </c>
      <c r="H2066">
        <v>0.1</v>
      </c>
      <c r="I2066">
        <v>8.58</v>
      </c>
      <c r="J2066">
        <v>1.1399999999999999</v>
      </c>
      <c r="K2066" t="s">
        <v>10348</v>
      </c>
      <c r="L2066">
        <v>5.38</v>
      </c>
      <c r="M2066" t="s">
        <v>10349</v>
      </c>
      <c r="N2066" t="s">
        <v>6566</v>
      </c>
      <c r="O2066" t="s">
        <v>10350</v>
      </c>
      <c r="P2066" t="s">
        <v>10351</v>
      </c>
      <c r="Q2066">
        <v>-26.18</v>
      </c>
      <c r="R2066" t="s">
        <v>4871</v>
      </c>
      <c r="S2066">
        <v>3.07</v>
      </c>
      <c r="T2066">
        <v>26.41</v>
      </c>
      <c r="U2066" t="s">
        <v>1506</v>
      </c>
      <c r="V2066" t="s">
        <v>494</v>
      </c>
      <c r="W2066" t="s">
        <v>505</v>
      </c>
      <c r="X2066">
        <v>1.1399999999999999</v>
      </c>
      <c r="Y2066" t="s">
        <v>1366</v>
      </c>
      <c r="Z2066" t="s">
        <v>2603</v>
      </c>
      <c r="AA2066" t="s">
        <v>10352</v>
      </c>
      <c r="AB2066">
        <v>4.4800000000000004</v>
      </c>
      <c r="AC2066" t="s">
        <v>3234</v>
      </c>
      <c r="AD2066">
        <v>80.23</v>
      </c>
      <c r="AE2066" t="s">
        <v>138</v>
      </c>
      <c r="AF2066">
        <v>4.17</v>
      </c>
      <c r="AG2066">
        <v>0</v>
      </c>
      <c r="AH2066">
        <v>0</v>
      </c>
      <c r="AI2066" s="4">
        <v>42835</v>
      </c>
    </row>
    <row r="2067" spans="1:35">
      <c r="A2067">
        <v>2066</v>
      </c>
      <c r="B2067" t="str">
        <f>"603022"</f>
        <v>603022</v>
      </c>
      <c r="C2067" t="s">
        <v>10353</v>
      </c>
      <c r="D2067" s="4">
        <v>43190</v>
      </c>
      <c r="E2067" t="s">
        <v>293</v>
      </c>
      <c r="F2067" t="s">
        <v>293</v>
      </c>
      <c r="G2067">
        <v>2994</v>
      </c>
      <c r="H2067">
        <v>0.03</v>
      </c>
      <c r="I2067">
        <v>3</v>
      </c>
      <c r="J2067">
        <v>1.1399999999999999</v>
      </c>
      <c r="K2067" t="s">
        <v>2424</v>
      </c>
      <c r="L2067">
        <v>18.73</v>
      </c>
      <c r="M2067" t="s">
        <v>5859</v>
      </c>
      <c r="N2067" t="s">
        <v>10354</v>
      </c>
      <c r="O2067" t="s">
        <v>5859</v>
      </c>
      <c r="P2067" t="s">
        <v>10355</v>
      </c>
      <c r="Q2067">
        <v>26.48</v>
      </c>
      <c r="R2067" t="s">
        <v>203</v>
      </c>
      <c r="S2067">
        <v>1.23</v>
      </c>
      <c r="T2067">
        <v>19.38</v>
      </c>
      <c r="U2067" t="s">
        <v>3549</v>
      </c>
      <c r="V2067" t="s">
        <v>2563</v>
      </c>
      <c r="W2067" t="s">
        <v>862</v>
      </c>
      <c r="X2067">
        <v>1.1399999999999999</v>
      </c>
      <c r="Y2067" t="s">
        <v>2123</v>
      </c>
      <c r="Z2067" t="s">
        <v>1077</v>
      </c>
      <c r="AA2067" t="s">
        <v>3618</v>
      </c>
      <c r="AB2067">
        <v>2.75</v>
      </c>
      <c r="AC2067" t="s">
        <v>3368</v>
      </c>
      <c r="AD2067">
        <v>75.95</v>
      </c>
      <c r="AE2067" t="s">
        <v>1370</v>
      </c>
      <c r="AF2067">
        <v>0.67</v>
      </c>
      <c r="AG2067">
        <v>0</v>
      </c>
      <c r="AH2067">
        <v>0</v>
      </c>
      <c r="AI2067" s="4">
        <v>42142</v>
      </c>
    </row>
    <row r="2068" spans="1:35">
      <c r="A2068">
        <v>2067</v>
      </c>
      <c r="B2068" t="str">
        <f>"600898"</f>
        <v>600898</v>
      </c>
      <c r="C2068" t="s">
        <v>10356</v>
      </c>
      <c r="D2068" s="4">
        <v>43190</v>
      </c>
      <c r="E2068" t="s">
        <v>998</v>
      </c>
      <c r="F2068" t="s">
        <v>998</v>
      </c>
      <c r="G2068" t="s">
        <v>2125</v>
      </c>
      <c r="H2068">
        <v>0.02</v>
      </c>
      <c r="I2068">
        <v>1.82</v>
      </c>
      <c r="J2068">
        <v>1.1399999999999999</v>
      </c>
      <c r="K2068" t="s">
        <v>619</v>
      </c>
      <c r="L2068">
        <v>130.38999999999999</v>
      </c>
      <c r="M2068" t="s">
        <v>10357</v>
      </c>
      <c r="N2068">
        <v>0</v>
      </c>
      <c r="O2068" t="s">
        <v>10358</v>
      </c>
      <c r="P2068" t="s">
        <v>6558</v>
      </c>
      <c r="Q2068">
        <v>602.23</v>
      </c>
      <c r="R2068" t="s">
        <v>10359</v>
      </c>
      <c r="S2068">
        <v>0.23</v>
      </c>
      <c r="T2068">
        <v>4.46</v>
      </c>
      <c r="U2068" t="s">
        <v>693</v>
      </c>
      <c r="V2068" t="s">
        <v>1000</v>
      </c>
      <c r="W2068" t="s">
        <v>802</v>
      </c>
      <c r="X2068">
        <v>1.1399999999999999</v>
      </c>
      <c r="Y2068" t="s">
        <v>1908</v>
      </c>
      <c r="Z2068" t="s">
        <v>891</v>
      </c>
      <c r="AA2068" t="s">
        <v>7297</v>
      </c>
      <c r="AB2068">
        <v>5.22</v>
      </c>
      <c r="AC2068" t="s">
        <v>856</v>
      </c>
      <c r="AD2068">
        <v>14.25</v>
      </c>
      <c r="AE2068" t="s">
        <v>10360</v>
      </c>
      <c r="AF2068">
        <v>0.18</v>
      </c>
      <c r="AG2068">
        <v>0</v>
      </c>
      <c r="AH2068">
        <v>0</v>
      </c>
      <c r="AI2068" s="4">
        <v>35173</v>
      </c>
    </row>
    <row r="2069" spans="1:35">
      <c r="A2069">
        <v>2068</v>
      </c>
      <c r="B2069" t="str">
        <f>"600823"</f>
        <v>600823</v>
      </c>
      <c r="C2069" t="s">
        <v>10361</v>
      </c>
      <c r="D2069" s="4">
        <v>43190</v>
      </c>
      <c r="E2069" t="s">
        <v>1486</v>
      </c>
      <c r="F2069" t="s">
        <v>1486</v>
      </c>
      <c r="G2069" t="s">
        <v>4181</v>
      </c>
      <c r="H2069">
        <v>7.0000000000000007E-2</v>
      </c>
      <c r="I2069">
        <v>5.86</v>
      </c>
      <c r="J2069">
        <v>1.1399999999999999</v>
      </c>
      <c r="K2069" t="s">
        <v>260</v>
      </c>
      <c r="L2069">
        <v>2.0299999999999998</v>
      </c>
      <c r="M2069" t="s">
        <v>6809</v>
      </c>
      <c r="N2069" t="s">
        <v>10362</v>
      </c>
      <c r="O2069" t="s">
        <v>2647</v>
      </c>
      <c r="P2069" t="s">
        <v>3535</v>
      </c>
      <c r="Q2069">
        <v>1.07</v>
      </c>
      <c r="R2069" t="s">
        <v>1784</v>
      </c>
      <c r="S2069">
        <v>3.5</v>
      </c>
      <c r="T2069">
        <v>43.88</v>
      </c>
      <c r="U2069" t="s">
        <v>10363</v>
      </c>
      <c r="V2069" t="s">
        <v>10364</v>
      </c>
      <c r="W2069" t="s">
        <v>115</v>
      </c>
      <c r="X2069">
        <v>1.1399999999999999</v>
      </c>
      <c r="Y2069" t="s">
        <v>2247</v>
      </c>
      <c r="Z2069" t="s">
        <v>1544</v>
      </c>
      <c r="AA2069" t="s">
        <v>718</v>
      </c>
      <c r="AB2069">
        <v>0.74</v>
      </c>
      <c r="AC2069" t="s">
        <v>5503</v>
      </c>
      <c r="AD2069">
        <v>23.03</v>
      </c>
      <c r="AE2069" t="s">
        <v>1770</v>
      </c>
      <c r="AF2069">
        <v>0.19</v>
      </c>
      <c r="AG2069">
        <v>0</v>
      </c>
      <c r="AH2069">
        <v>0</v>
      </c>
      <c r="AI2069" s="4">
        <v>34369</v>
      </c>
    </row>
    <row r="2070" spans="1:35">
      <c r="A2070">
        <v>2069</v>
      </c>
      <c r="B2070" t="str">
        <f>"600682"</f>
        <v>600682</v>
      </c>
      <c r="C2070" t="s">
        <v>10365</v>
      </c>
      <c r="D2070" s="4">
        <v>43190</v>
      </c>
      <c r="E2070" t="s">
        <v>323</v>
      </c>
      <c r="F2070" t="s">
        <v>2781</v>
      </c>
      <c r="G2070" t="s">
        <v>10366</v>
      </c>
      <c r="H2070">
        <v>0.08</v>
      </c>
      <c r="I2070">
        <v>7.26</v>
      </c>
      <c r="J2070">
        <v>1.1399999999999999</v>
      </c>
      <c r="K2070" t="s">
        <v>1397</v>
      </c>
      <c r="L2070">
        <v>11.12</v>
      </c>
      <c r="M2070" t="s">
        <v>1860</v>
      </c>
      <c r="N2070" t="s">
        <v>6191</v>
      </c>
      <c r="O2070" t="s">
        <v>1860</v>
      </c>
      <c r="P2070" t="s">
        <v>10367</v>
      </c>
      <c r="Q2070">
        <v>251.92</v>
      </c>
      <c r="R2070" t="s">
        <v>775</v>
      </c>
      <c r="S2070">
        <v>1.58</v>
      </c>
      <c r="T2070">
        <v>36</v>
      </c>
      <c r="U2070" t="s">
        <v>2543</v>
      </c>
      <c r="V2070" t="s">
        <v>1697</v>
      </c>
      <c r="W2070" t="s">
        <v>2028</v>
      </c>
      <c r="X2070">
        <v>1.1399999999999999</v>
      </c>
      <c r="Y2070" t="s">
        <v>2016</v>
      </c>
      <c r="Z2070" t="s">
        <v>315</v>
      </c>
      <c r="AA2070" t="s">
        <v>3749</v>
      </c>
      <c r="AB2070">
        <v>4.78</v>
      </c>
      <c r="AC2070" t="s">
        <v>5720</v>
      </c>
      <c r="AD2070">
        <v>32.51</v>
      </c>
      <c r="AE2070" t="s">
        <v>1032</v>
      </c>
      <c r="AF2070">
        <v>3.86</v>
      </c>
      <c r="AG2070">
        <v>0</v>
      </c>
      <c r="AH2070">
        <v>0</v>
      </c>
      <c r="AI2070" s="4">
        <v>34260</v>
      </c>
    </row>
    <row r="2071" spans="1:35">
      <c r="A2071">
        <v>2070</v>
      </c>
      <c r="B2071" t="str">
        <f>"300453"</f>
        <v>300453</v>
      </c>
      <c r="C2071" t="s">
        <v>10368</v>
      </c>
      <c r="D2071" s="4">
        <v>43190</v>
      </c>
      <c r="E2071" t="s">
        <v>1689</v>
      </c>
      <c r="F2071" t="s">
        <v>600</v>
      </c>
      <c r="G2071">
        <v>5436</v>
      </c>
      <c r="H2071">
        <v>0.04</v>
      </c>
      <c r="I2071">
        <v>3.59</v>
      </c>
      <c r="J2071">
        <v>1.1399999999999999</v>
      </c>
      <c r="K2071" t="s">
        <v>677</v>
      </c>
      <c r="L2071">
        <v>44.54</v>
      </c>
      <c r="M2071" t="s">
        <v>10369</v>
      </c>
      <c r="N2071" t="s">
        <v>10370</v>
      </c>
      <c r="O2071" t="s">
        <v>5217</v>
      </c>
      <c r="P2071" t="s">
        <v>10371</v>
      </c>
      <c r="Q2071">
        <v>1.45</v>
      </c>
      <c r="R2071" t="s">
        <v>1245</v>
      </c>
      <c r="S2071">
        <v>1.37</v>
      </c>
      <c r="T2071">
        <v>28.98</v>
      </c>
      <c r="U2071" t="s">
        <v>1723</v>
      </c>
      <c r="V2071" t="s">
        <v>1621</v>
      </c>
      <c r="W2071" t="s">
        <v>121</v>
      </c>
      <c r="X2071">
        <v>1.1399999999999999</v>
      </c>
      <c r="Y2071" t="s">
        <v>1626</v>
      </c>
      <c r="Z2071" t="s">
        <v>443</v>
      </c>
      <c r="AA2071" t="s">
        <v>10372</v>
      </c>
      <c r="AB2071">
        <v>2.93</v>
      </c>
      <c r="AC2071" t="s">
        <v>181</v>
      </c>
      <c r="AD2071">
        <v>82.97</v>
      </c>
      <c r="AE2071" t="s">
        <v>319</v>
      </c>
      <c r="AF2071">
        <v>1.02</v>
      </c>
      <c r="AG2071">
        <v>0</v>
      </c>
      <c r="AH2071">
        <v>0</v>
      </c>
      <c r="AI2071" s="4">
        <v>42139</v>
      </c>
    </row>
    <row r="2072" spans="1:35">
      <c r="A2072">
        <v>2071</v>
      </c>
      <c r="B2072" t="str">
        <f>"300325"</f>
        <v>300325</v>
      </c>
      <c r="C2072" t="s">
        <v>10373</v>
      </c>
      <c r="D2072" s="4">
        <v>43190</v>
      </c>
      <c r="E2072" t="s">
        <v>1094</v>
      </c>
      <c r="F2072" t="s">
        <v>2192</v>
      </c>
      <c r="G2072" t="s">
        <v>1710</v>
      </c>
      <c r="H2072">
        <v>0.02</v>
      </c>
      <c r="I2072">
        <v>1.48</v>
      </c>
      <c r="J2072">
        <v>1.1399999999999999</v>
      </c>
      <c r="K2072" t="s">
        <v>105</v>
      </c>
      <c r="L2072">
        <v>58.82</v>
      </c>
      <c r="M2072" t="s">
        <v>6337</v>
      </c>
      <c r="N2072" t="s">
        <v>10374</v>
      </c>
      <c r="O2072" t="s">
        <v>3656</v>
      </c>
      <c r="P2072" t="s">
        <v>10375</v>
      </c>
      <c r="Q2072">
        <v>82.31</v>
      </c>
      <c r="R2072" t="s">
        <v>349</v>
      </c>
      <c r="S2072">
        <v>0.41</v>
      </c>
      <c r="T2072">
        <v>16.38</v>
      </c>
      <c r="U2072" t="s">
        <v>783</v>
      </c>
      <c r="V2072" t="s">
        <v>1345</v>
      </c>
      <c r="W2072" t="s">
        <v>2194</v>
      </c>
      <c r="X2072">
        <v>1.1399999999999999</v>
      </c>
      <c r="Y2072" t="s">
        <v>239</v>
      </c>
      <c r="Z2072" t="s">
        <v>223</v>
      </c>
      <c r="AA2072" t="s">
        <v>52</v>
      </c>
      <c r="AB2072">
        <v>2.38</v>
      </c>
      <c r="AC2072" t="s">
        <v>759</v>
      </c>
      <c r="AD2072">
        <v>32.950000000000003</v>
      </c>
      <c r="AE2072" t="s">
        <v>10376</v>
      </c>
      <c r="AF2072">
        <v>0.04</v>
      </c>
      <c r="AG2072">
        <v>0</v>
      </c>
      <c r="AH2072">
        <v>0</v>
      </c>
      <c r="AI2072" s="4">
        <v>41061</v>
      </c>
    </row>
    <row r="2073" spans="1:35">
      <c r="A2073">
        <v>2072</v>
      </c>
      <c r="B2073" t="str">
        <f>"300203"</f>
        <v>300203</v>
      </c>
      <c r="C2073" t="s">
        <v>10377</v>
      </c>
      <c r="D2073" s="4">
        <v>43190</v>
      </c>
      <c r="E2073" t="s">
        <v>645</v>
      </c>
      <c r="F2073" t="s">
        <v>153</v>
      </c>
      <c r="G2073" t="s">
        <v>4011</v>
      </c>
      <c r="H2073">
        <v>0.08</v>
      </c>
      <c r="I2073">
        <v>7.02</v>
      </c>
      <c r="J2073">
        <v>1.1399999999999999</v>
      </c>
      <c r="K2073" t="s">
        <v>2255</v>
      </c>
      <c r="L2073">
        <v>42.75</v>
      </c>
      <c r="M2073" t="s">
        <v>1992</v>
      </c>
      <c r="N2073" t="s">
        <v>7036</v>
      </c>
      <c r="O2073" t="s">
        <v>6661</v>
      </c>
      <c r="P2073" t="s">
        <v>10378</v>
      </c>
      <c r="Q2073">
        <v>141.35</v>
      </c>
      <c r="R2073" t="s">
        <v>1062</v>
      </c>
      <c r="S2073">
        <v>3.59</v>
      </c>
      <c r="T2073">
        <v>49.86</v>
      </c>
      <c r="U2073" t="s">
        <v>3164</v>
      </c>
      <c r="V2073" t="s">
        <v>3303</v>
      </c>
      <c r="W2073" t="s">
        <v>1209</v>
      </c>
      <c r="X2073">
        <v>1.1399999999999999</v>
      </c>
      <c r="Y2073" t="s">
        <v>356</v>
      </c>
      <c r="Z2073" t="s">
        <v>1029</v>
      </c>
      <c r="AA2073" t="s">
        <v>2681</v>
      </c>
      <c r="AB2073">
        <v>3.34</v>
      </c>
      <c r="AC2073" t="s">
        <v>1404</v>
      </c>
      <c r="AD2073">
        <v>50.08</v>
      </c>
      <c r="AE2073" t="s">
        <v>5620</v>
      </c>
      <c r="AF2073">
        <v>2.1</v>
      </c>
      <c r="AG2073">
        <v>0</v>
      </c>
      <c r="AH2073">
        <v>0</v>
      </c>
      <c r="AI2073" s="4">
        <v>40648</v>
      </c>
    </row>
    <row r="2074" spans="1:35">
      <c r="A2074">
        <v>2073</v>
      </c>
      <c r="B2074" t="str">
        <f>"002390"</f>
        <v>002390</v>
      </c>
      <c r="C2074" t="s">
        <v>10379</v>
      </c>
      <c r="D2074" s="4">
        <v>43190</v>
      </c>
      <c r="E2074" t="s">
        <v>1190</v>
      </c>
      <c r="F2074" t="s">
        <v>354</v>
      </c>
      <c r="G2074" t="s">
        <v>135</v>
      </c>
      <c r="H2074">
        <v>0.04</v>
      </c>
      <c r="I2074">
        <v>3.82</v>
      </c>
      <c r="J2074">
        <v>1.1399999999999999</v>
      </c>
      <c r="K2074" t="s">
        <v>547</v>
      </c>
      <c r="L2074">
        <v>11.66</v>
      </c>
      <c r="M2074" t="s">
        <v>6936</v>
      </c>
      <c r="N2074" t="s">
        <v>10380</v>
      </c>
      <c r="O2074" t="s">
        <v>10381</v>
      </c>
      <c r="P2074" t="s">
        <v>10382</v>
      </c>
      <c r="Q2074">
        <v>40.53</v>
      </c>
      <c r="R2074" t="s">
        <v>919</v>
      </c>
      <c r="S2074">
        <v>0.62</v>
      </c>
      <c r="T2074">
        <v>21.81</v>
      </c>
      <c r="U2074" t="s">
        <v>815</v>
      </c>
      <c r="V2074" t="s">
        <v>1701</v>
      </c>
      <c r="W2074" t="s">
        <v>876</v>
      </c>
      <c r="X2074">
        <v>1.1399999999999999</v>
      </c>
      <c r="Y2074" t="s">
        <v>1858</v>
      </c>
      <c r="Z2074" t="s">
        <v>780</v>
      </c>
      <c r="AA2074" t="s">
        <v>2807</v>
      </c>
      <c r="AB2074">
        <v>1.86</v>
      </c>
      <c r="AC2074" t="s">
        <v>3316</v>
      </c>
      <c r="AD2074">
        <v>54.17</v>
      </c>
      <c r="AE2074" t="s">
        <v>1803</v>
      </c>
      <c r="AF2074">
        <v>2.33</v>
      </c>
      <c r="AG2074">
        <v>0</v>
      </c>
      <c r="AH2074">
        <v>0</v>
      </c>
      <c r="AI2074" s="4">
        <v>40284</v>
      </c>
    </row>
    <row r="2075" spans="1:35">
      <c r="A2075">
        <v>2074</v>
      </c>
      <c r="B2075" t="str">
        <f>"600509"</f>
        <v>600509</v>
      </c>
      <c r="C2075" t="s">
        <v>10383</v>
      </c>
      <c r="D2075" s="4">
        <v>43190</v>
      </c>
      <c r="E2075" t="s">
        <v>973</v>
      </c>
      <c r="F2075" t="s">
        <v>458</v>
      </c>
      <c r="G2075" t="s">
        <v>53</v>
      </c>
      <c r="H2075">
        <v>0.06</v>
      </c>
      <c r="I2075">
        <v>5.71</v>
      </c>
      <c r="J2075">
        <v>1.1299999999999999</v>
      </c>
      <c r="K2075" t="s">
        <v>982</v>
      </c>
      <c r="L2075">
        <v>18.61</v>
      </c>
      <c r="M2075" t="s">
        <v>10384</v>
      </c>
      <c r="N2075">
        <v>0</v>
      </c>
      <c r="O2075" t="s">
        <v>10385</v>
      </c>
      <c r="P2075" t="s">
        <v>10386</v>
      </c>
      <c r="Q2075">
        <v>-45.01</v>
      </c>
      <c r="R2075" t="s">
        <v>323</v>
      </c>
      <c r="S2075">
        <v>0.96</v>
      </c>
      <c r="T2075">
        <v>24.34</v>
      </c>
      <c r="U2075" t="s">
        <v>388</v>
      </c>
      <c r="V2075" t="s">
        <v>1291</v>
      </c>
      <c r="W2075" t="s">
        <v>1453</v>
      </c>
      <c r="X2075">
        <v>1.1299999999999999</v>
      </c>
      <c r="Y2075" t="s">
        <v>1524</v>
      </c>
      <c r="Z2075" t="s">
        <v>1231</v>
      </c>
      <c r="AA2075" t="s">
        <v>4911</v>
      </c>
      <c r="AB2075">
        <v>0.76</v>
      </c>
      <c r="AC2075" t="s">
        <v>2243</v>
      </c>
      <c r="AD2075">
        <v>32.9</v>
      </c>
      <c r="AE2075" t="s">
        <v>1031</v>
      </c>
      <c r="AF2075">
        <v>3.47</v>
      </c>
      <c r="AG2075">
        <v>0</v>
      </c>
      <c r="AH2075">
        <v>0</v>
      </c>
      <c r="AI2075" s="4">
        <v>37315</v>
      </c>
    </row>
    <row r="2076" spans="1:35">
      <c r="A2076">
        <v>2075</v>
      </c>
      <c r="B2076" t="str">
        <f>"600361"</f>
        <v>600361</v>
      </c>
      <c r="C2076" t="s">
        <v>10387</v>
      </c>
      <c r="D2076" s="4">
        <v>43190</v>
      </c>
      <c r="E2076" t="s">
        <v>43</v>
      </c>
      <c r="F2076" t="s">
        <v>43</v>
      </c>
      <c r="G2076" t="s">
        <v>723</v>
      </c>
      <c r="H2076">
        <v>0.05</v>
      </c>
      <c r="I2076">
        <v>4.1100000000000003</v>
      </c>
      <c r="J2076">
        <v>1.1299999999999999</v>
      </c>
      <c r="K2076" t="s">
        <v>884</v>
      </c>
      <c r="L2076">
        <v>-3.4</v>
      </c>
      <c r="M2076" t="s">
        <v>10388</v>
      </c>
      <c r="N2076" t="s">
        <v>10389</v>
      </c>
      <c r="O2076" t="s">
        <v>10390</v>
      </c>
      <c r="P2076" t="s">
        <v>1823</v>
      </c>
      <c r="Q2076">
        <v>853.38</v>
      </c>
      <c r="R2076" t="s">
        <v>1489</v>
      </c>
      <c r="S2076">
        <v>0.36</v>
      </c>
      <c r="T2076">
        <v>20.74</v>
      </c>
      <c r="U2076" t="s">
        <v>2802</v>
      </c>
      <c r="V2076" t="s">
        <v>2180</v>
      </c>
      <c r="W2076" t="s">
        <v>607</v>
      </c>
      <c r="X2076">
        <v>1.1299999999999999</v>
      </c>
      <c r="Y2076" t="s">
        <v>2138</v>
      </c>
      <c r="Z2076" t="s">
        <v>1109</v>
      </c>
      <c r="AA2076" t="s">
        <v>2648</v>
      </c>
      <c r="AB2076">
        <v>1</v>
      </c>
      <c r="AC2076" t="s">
        <v>426</v>
      </c>
      <c r="AD2076">
        <v>27.68</v>
      </c>
      <c r="AE2076" t="s">
        <v>1569</v>
      </c>
      <c r="AF2076">
        <v>2.52</v>
      </c>
      <c r="AG2076">
        <v>0</v>
      </c>
      <c r="AH2076">
        <v>0</v>
      </c>
      <c r="AI2076" s="4">
        <v>37224</v>
      </c>
    </row>
    <row r="2077" spans="1:35">
      <c r="A2077">
        <v>2076</v>
      </c>
      <c r="B2077" t="str">
        <f>"300647"</f>
        <v>300647</v>
      </c>
      <c r="C2077" t="s">
        <v>10391</v>
      </c>
      <c r="D2077" s="4">
        <v>43190</v>
      </c>
      <c r="E2077" t="s">
        <v>682</v>
      </c>
      <c r="F2077" t="s">
        <v>3897</v>
      </c>
      <c r="G2077">
        <v>1996</v>
      </c>
      <c r="H2077">
        <v>0.03</v>
      </c>
      <c r="I2077">
        <v>2.2799999999999998</v>
      </c>
      <c r="J2077">
        <v>1.1299999999999999</v>
      </c>
      <c r="K2077" t="s">
        <v>677</v>
      </c>
      <c r="L2077">
        <v>66.78</v>
      </c>
      <c r="M2077" t="s">
        <v>9462</v>
      </c>
      <c r="N2077">
        <v>0</v>
      </c>
      <c r="O2077" t="s">
        <v>10392</v>
      </c>
      <c r="P2077" t="s">
        <v>5298</v>
      </c>
      <c r="Q2077">
        <v>-31.63</v>
      </c>
      <c r="R2077" t="s">
        <v>86</v>
      </c>
      <c r="S2077">
        <v>0.52</v>
      </c>
      <c r="T2077">
        <v>32.06</v>
      </c>
      <c r="U2077" t="s">
        <v>407</v>
      </c>
      <c r="V2077" t="s">
        <v>2310</v>
      </c>
      <c r="W2077" t="s">
        <v>3297</v>
      </c>
      <c r="X2077">
        <v>1.1299999999999999</v>
      </c>
      <c r="Y2077" t="s">
        <v>3496</v>
      </c>
      <c r="Z2077" t="s">
        <v>540</v>
      </c>
      <c r="AA2077" t="s">
        <v>1772</v>
      </c>
      <c r="AB2077">
        <v>8</v>
      </c>
      <c r="AC2077" t="s">
        <v>2230</v>
      </c>
      <c r="AD2077">
        <v>49.27</v>
      </c>
      <c r="AE2077" t="s">
        <v>286</v>
      </c>
      <c r="AF2077">
        <v>0.87</v>
      </c>
      <c r="AG2077">
        <v>0</v>
      </c>
      <c r="AH2077">
        <v>0</v>
      </c>
      <c r="AI2077" s="4">
        <v>42858</v>
      </c>
    </row>
    <row r="2078" spans="1:35">
      <c r="A2078">
        <v>2077</v>
      </c>
      <c r="B2078" t="str">
        <f>"300043"</f>
        <v>300043</v>
      </c>
      <c r="C2078" t="s">
        <v>10393</v>
      </c>
      <c r="D2078" s="4">
        <v>43190</v>
      </c>
      <c r="E2078" t="s">
        <v>548</v>
      </c>
      <c r="F2078" t="s">
        <v>1998</v>
      </c>
      <c r="G2078" t="s">
        <v>210</v>
      </c>
      <c r="H2078">
        <v>0.02</v>
      </c>
      <c r="I2078">
        <v>2.0699999999999998</v>
      </c>
      <c r="J2078">
        <v>1.1299999999999999</v>
      </c>
      <c r="K2078" t="s">
        <v>1518</v>
      </c>
      <c r="L2078">
        <v>2.96</v>
      </c>
      <c r="M2078" t="s">
        <v>8362</v>
      </c>
      <c r="N2078" t="s">
        <v>6948</v>
      </c>
      <c r="O2078" t="s">
        <v>5159</v>
      </c>
      <c r="P2078" t="s">
        <v>10394</v>
      </c>
      <c r="Q2078">
        <v>-75.400000000000006</v>
      </c>
      <c r="R2078" t="s">
        <v>192</v>
      </c>
      <c r="S2078">
        <v>0.94</v>
      </c>
      <c r="T2078">
        <v>38.72</v>
      </c>
      <c r="U2078" t="s">
        <v>2390</v>
      </c>
      <c r="V2078" t="s">
        <v>354</v>
      </c>
      <c r="W2078" t="s">
        <v>2620</v>
      </c>
      <c r="X2078">
        <v>1.1299999999999999</v>
      </c>
      <c r="Y2078" t="s">
        <v>2283</v>
      </c>
      <c r="Z2078" t="s">
        <v>848</v>
      </c>
      <c r="AA2078" t="s">
        <v>1126</v>
      </c>
      <c r="AB2078">
        <v>1.92</v>
      </c>
      <c r="AC2078" t="s">
        <v>1504</v>
      </c>
      <c r="AD2078">
        <v>43.09</v>
      </c>
      <c r="AE2078" t="s">
        <v>9091</v>
      </c>
      <c r="AF2078">
        <v>0.06</v>
      </c>
      <c r="AG2078">
        <v>0</v>
      </c>
      <c r="AH2078">
        <v>0</v>
      </c>
      <c r="AI2078" s="4">
        <v>40198</v>
      </c>
    </row>
    <row r="2079" spans="1:35">
      <c r="A2079">
        <v>2078</v>
      </c>
      <c r="B2079" t="str">
        <f>"002548"</f>
        <v>002548</v>
      </c>
      <c r="C2079" t="s">
        <v>10395</v>
      </c>
      <c r="D2079" s="4">
        <v>43190</v>
      </c>
      <c r="E2079" t="s">
        <v>3259</v>
      </c>
      <c r="F2079" t="s">
        <v>679</v>
      </c>
      <c r="G2079">
        <v>9244</v>
      </c>
      <c r="H2079">
        <v>0.05</v>
      </c>
      <c r="I2079">
        <v>4.25</v>
      </c>
      <c r="J2079">
        <v>1.1299999999999999</v>
      </c>
      <c r="K2079" t="s">
        <v>3234</v>
      </c>
      <c r="L2079">
        <v>-12.95</v>
      </c>
      <c r="M2079" t="s">
        <v>10396</v>
      </c>
      <c r="N2079" t="s">
        <v>10397</v>
      </c>
      <c r="O2079" t="s">
        <v>10398</v>
      </c>
      <c r="P2079" t="s">
        <v>10399</v>
      </c>
      <c r="Q2079">
        <v>-46</v>
      </c>
      <c r="R2079" t="s">
        <v>344</v>
      </c>
      <c r="S2079">
        <v>0.79</v>
      </c>
      <c r="T2079">
        <v>14.83</v>
      </c>
      <c r="U2079" t="s">
        <v>2105</v>
      </c>
      <c r="V2079" t="s">
        <v>389</v>
      </c>
      <c r="W2079" t="s">
        <v>605</v>
      </c>
      <c r="X2079">
        <v>1.1299999999999999</v>
      </c>
      <c r="Y2079" t="s">
        <v>1390</v>
      </c>
      <c r="Z2079" t="s">
        <v>759</v>
      </c>
      <c r="AA2079" t="s">
        <v>4404</v>
      </c>
      <c r="AB2079">
        <v>1.99</v>
      </c>
      <c r="AC2079" t="s">
        <v>754</v>
      </c>
      <c r="AD2079">
        <v>42.81</v>
      </c>
      <c r="AE2079" t="s">
        <v>2131</v>
      </c>
      <c r="AF2079">
        <v>2.2999999999999998</v>
      </c>
      <c r="AG2079">
        <v>0</v>
      </c>
      <c r="AH2079">
        <v>0</v>
      </c>
      <c r="AI2079" s="4">
        <v>40592</v>
      </c>
    </row>
    <row r="2080" spans="1:35">
      <c r="A2080">
        <v>2079</v>
      </c>
      <c r="B2080" t="str">
        <f>"002433"</f>
        <v>002433</v>
      </c>
      <c r="C2080" t="s">
        <v>10400</v>
      </c>
      <c r="D2080" s="4">
        <v>43190</v>
      </c>
      <c r="E2080" t="s">
        <v>1204</v>
      </c>
      <c r="F2080" t="s">
        <v>741</v>
      </c>
      <c r="G2080" t="s">
        <v>2258</v>
      </c>
      <c r="H2080">
        <v>7.0000000000000007E-2</v>
      </c>
      <c r="I2080">
        <v>6.46</v>
      </c>
      <c r="J2080">
        <v>1.1299999999999999</v>
      </c>
      <c r="K2080" t="s">
        <v>3293</v>
      </c>
      <c r="L2080">
        <v>-11</v>
      </c>
      <c r="M2080" t="s">
        <v>10401</v>
      </c>
      <c r="N2080">
        <v>0</v>
      </c>
      <c r="O2080" t="s">
        <v>10402</v>
      </c>
      <c r="P2080" t="s">
        <v>10403</v>
      </c>
      <c r="Q2080">
        <v>10.54</v>
      </c>
      <c r="R2080" t="s">
        <v>1033</v>
      </c>
      <c r="S2080">
        <v>1.55</v>
      </c>
      <c r="T2080">
        <v>33.99</v>
      </c>
      <c r="U2080" t="s">
        <v>8431</v>
      </c>
      <c r="V2080" t="s">
        <v>5300</v>
      </c>
      <c r="W2080" t="s">
        <v>702</v>
      </c>
      <c r="X2080">
        <v>1.1299999999999999</v>
      </c>
      <c r="Y2080" t="s">
        <v>818</v>
      </c>
      <c r="Z2080" t="s">
        <v>3356</v>
      </c>
      <c r="AA2080" t="s">
        <v>625</v>
      </c>
      <c r="AB2080">
        <v>1.1499999999999999</v>
      </c>
      <c r="AC2080" t="s">
        <v>952</v>
      </c>
      <c r="AD2080">
        <v>59.42</v>
      </c>
      <c r="AE2080" t="s">
        <v>1242</v>
      </c>
      <c r="AF2080">
        <v>3.83</v>
      </c>
      <c r="AG2080">
        <v>0</v>
      </c>
      <c r="AH2080">
        <v>0</v>
      </c>
      <c r="AI2080" s="4">
        <v>40347</v>
      </c>
    </row>
    <row r="2081" spans="1:35">
      <c r="A2081">
        <v>2080</v>
      </c>
      <c r="B2081" t="str">
        <f>"000738"</f>
        <v>000738</v>
      </c>
      <c r="C2081" t="s">
        <v>10404</v>
      </c>
      <c r="D2081" s="4">
        <v>43190</v>
      </c>
      <c r="E2081" t="s">
        <v>973</v>
      </c>
      <c r="F2081" t="s">
        <v>973</v>
      </c>
      <c r="G2081" t="s">
        <v>2589</v>
      </c>
      <c r="H2081">
        <v>0.05</v>
      </c>
      <c r="I2081">
        <v>4.53</v>
      </c>
      <c r="J2081">
        <v>1.1299999999999999</v>
      </c>
      <c r="K2081" t="s">
        <v>4176</v>
      </c>
      <c r="L2081">
        <v>-2.62</v>
      </c>
      <c r="M2081" t="s">
        <v>10099</v>
      </c>
      <c r="N2081">
        <v>0</v>
      </c>
      <c r="O2081" t="s">
        <v>10405</v>
      </c>
      <c r="P2081" t="s">
        <v>10406</v>
      </c>
      <c r="Q2081">
        <v>58.93</v>
      </c>
      <c r="R2081" t="s">
        <v>1025</v>
      </c>
      <c r="S2081">
        <v>1.1299999999999999</v>
      </c>
      <c r="T2081">
        <v>29.49</v>
      </c>
      <c r="U2081" t="s">
        <v>3243</v>
      </c>
      <c r="V2081" t="s">
        <v>408</v>
      </c>
      <c r="W2081" t="s">
        <v>510</v>
      </c>
      <c r="X2081">
        <v>1.1299999999999999</v>
      </c>
      <c r="Y2081" t="s">
        <v>847</v>
      </c>
      <c r="Z2081" t="s">
        <v>405</v>
      </c>
      <c r="AA2081" t="s">
        <v>1461</v>
      </c>
      <c r="AB2081">
        <v>2.64</v>
      </c>
      <c r="AC2081" t="s">
        <v>428</v>
      </c>
      <c r="AD2081">
        <v>73.11</v>
      </c>
      <c r="AE2081" t="s">
        <v>260</v>
      </c>
      <c r="AF2081">
        <v>2.33</v>
      </c>
      <c r="AG2081">
        <v>0</v>
      </c>
      <c r="AH2081">
        <v>0</v>
      </c>
      <c r="AI2081" s="4">
        <v>35607</v>
      </c>
    </row>
    <row r="2082" spans="1:35">
      <c r="A2082">
        <v>2081</v>
      </c>
      <c r="B2082" t="str">
        <f>"603829"</f>
        <v>603829</v>
      </c>
      <c r="C2082" t="s">
        <v>10407</v>
      </c>
      <c r="D2082" s="4">
        <v>43190</v>
      </c>
      <c r="E2082" t="s">
        <v>1203</v>
      </c>
      <c r="F2082" t="s">
        <v>4429</v>
      </c>
      <c r="G2082">
        <v>1963</v>
      </c>
      <c r="H2082">
        <v>0.04</v>
      </c>
      <c r="I2082">
        <v>3.86</v>
      </c>
      <c r="J2082">
        <v>1.1200000000000001</v>
      </c>
      <c r="K2082" t="s">
        <v>4311</v>
      </c>
      <c r="L2082">
        <v>28.31</v>
      </c>
      <c r="M2082" t="s">
        <v>10408</v>
      </c>
      <c r="N2082" t="s">
        <v>10409</v>
      </c>
      <c r="O2082" t="s">
        <v>10225</v>
      </c>
      <c r="P2082" t="s">
        <v>10410</v>
      </c>
      <c r="Q2082">
        <v>1.63</v>
      </c>
      <c r="R2082" t="s">
        <v>1119</v>
      </c>
      <c r="S2082">
        <v>0.65</v>
      </c>
      <c r="T2082">
        <v>20.309999999999999</v>
      </c>
      <c r="U2082" t="s">
        <v>605</v>
      </c>
      <c r="V2082" t="s">
        <v>1157</v>
      </c>
      <c r="W2082" t="s">
        <v>209</v>
      </c>
      <c r="X2082">
        <v>1.1200000000000001</v>
      </c>
      <c r="Y2082" t="s">
        <v>1853</v>
      </c>
      <c r="Z2082" t="s">
        <v>293</v>
      </c>
      <c r="AA2082" t="s">
        <v>2945</v>
      </c>
      <c r="AB2082">
        <v>3.81</v>
      </c>
      <c r="AC2082" t="s">
        <v>792</v>
      </c>
      <c r="AD2082">
        <v>75.16</v>
      </c>
      <c r="AE2082" t="s">
        <v>344</v>
      </c>
      <c r="AF2082">
        <v>2.12</v>
      </c>
      <c r="AG2082">
        <v>0</v>
      </c>
      <c r="AH2082">
        <v>0</v>
      </c>
      <c r="AI2082" s="4">
        <v>43025</v>
      </c>
    </row>
    <row r="2083" spans="1:35">
      <c r="A2083">
        <v>2082</v>
      </c>
      <c r="B2083" t="str">
        <f>"603139"</f>
        <v>603139</v>
      </c>
      <c r="C2083" t="s">
        <v>10411</v>
      </c>
      <c r="D2083" s="4">
        <v>43190</v>
      </c>
      <c r="E2083" t="s">
        <v>10412</v>
      </c>
      <c r="F2083" t="s">
        <v>10413</v>
      </c>
      <c r="G2083">
        <v>1944</v>
      </c>
      <c r="H2083">
        <v>0.1</v>
      </c>
      <c r="I2083">
        <v>9.2200000000000006</v>
      </c>
      <c r="J2083">
        <v>1.1200000000000001</v>
      </c>
      <c r="K2083" t="s">
        <v>10414</v>
      </c>
      <c r="L2083">
        <v>27.23</v>
      </c>
      <c r="M2083" t="s">
        <v>10415</v>
      </c>
      <c r="N2083">
        <v>0</v>
      </c>
      <c r="O2083" t="s">
        <v>9536</v>
      </c>
      <c r="P2083" t="s">
        <v>1696</v>
      </c>
      <c r="Q2083">
        <v>8.7799999999999994</v>
      </c>
      <c r="R2083" t="s">
        <v>3726</v>
      </c>
      <c r="S2083">
        <v>3.7</v>
      </c>
      <c r="T2083">
        <v>50.47</v>
      </c>
      <c r="U2083" t="s">
        <v>1094</v>
      </c>
      <c r="V2083" t="s">
        <v>649</v>
      </c>
      <c r="W2083" t="s">
        <v>938</v>
      </c>
      <c r="X2083">
        <v>1.1200000000000001</v>
      </c>
      <c r="Y2083" t="s">
        <v>211</v>
      </c>
      <c r="Z2083" t="s">
        <v>9135</v>
      </c>
      <c r="AA2083" t="s">
        <v>6327</v>
      </c>
      <c r="AB2083">
        <v>2.19</v>
      </c>
      <c r="AC2083" t="s">
        <v>5061</v>
      </c>
      <c r="AD2083">
        <v>90.91</v>
      </c>
      <c r="AE2083" t="s">
        <v>349</v>
      </c>
      <c r="AF2083">
        <v>4.13</v>
      </c>
      <c r="AG2083">
        <v>0</v>
      </c>
      <c r="AH2083">
        <v>0</v>
      </c>
      <c r="AI2083" s="4">
        <v>42846</v>
      </c>
    </row>
    <row r="2084" spans="1:35">
      <c r="A2084">
        <v>2083</v>
      </c>
      <c r="B2084" t="str">
        <f>"600988"</f>
        <v>600988</v>
      </c>
      <c r="C2084" t="s">
        <v>10416</v>
      </c>
      <c r="D2084" s="4">
        <v>43190</v>
      </c>
      <c r="E2084" t="s">
        <v>162</v>
      </c>
      <c r="F2084" t="s">
        <v>162</v>
      </c>
      <c r="G2084" t="s">
        <v>2478</v>
      </c>
      <c r="H2084">
        <v>0.02</v>
      </c>
      <c r="I2084">
        <v>1.95</v>
      </c>
      <c r="J2084">
        <v>1.1200000000000001</v>
      </c>
      <c r="K2084" t="s">
        <v>364</v>
      </c>
      <c r="L2084">
        <v>27.39</v>
      </c>
      <c r="M2084" t="s">
        <v>1953</v>
      </c>
      <c r="N2084" t="s">
        <v>10417</v>
      </c>
      <c r="O2084" t="s">
        <v>10418</v>
      </c>
      <c r="P2084" t="s">
        <v>10419</v>
      </c>
      <c r="Q2084">
        <v>304.52999999999997</v>
      </c>
      <c r="R2084" t="s">
        <v>323</v>
      </c>
      <c r="S2084">
        <v>0.78</v>
      </c>
      <c r="T2084">
        <v>16.010000000000002</v>
      </c>
      <c r="U2084" t="s">
        <v>1061</v>
      </c>
      <c r="V2084" t="s">
        <v>2273</v>
      </c>
      <c r="W2084" t="s">
        <v>1792</v>
      </c>
      <c r="X2084">
        <v>1.1200000000000001</v>
      </c>
      <c r="Y2084" t="s">
        <v>2568</v>
      </c>
      <c r="Z2084" t="s">
        <v>624</v>
      </c>
      <c r="AA2084" t="s">
        <v>2984</v>
      </c>
      <c r="AB2084">
        <v>2.59</v>
      </c>
      <c r="AC2084" t="s">
        <v>1700</v>
      </c>
      <c r="AD2084">
        <v>55.04</v>
      </c>
      <c r="AE2084" t="s">
        <v>985</v>
      </c>
      <c r="AF2084">
        <v>0.16</v>
      </c>
      <c r="AG2084">
        <v>0</v>
      </c>
      <c r="AH2084">
        <v>0</v>
      </c>
      <c r="AI2084" s="4">
        <v>38091</v>
      </c>
    </row>
    <row r="2085" spans="1:35">
      <c r="A2085">
        <v>2084</v>
      </c>
      <c r="B2085" t="str">
        <f>"600633"</f>
        <v>600633</v>
      </c>
      <c r="C2085" t="s">
        <v>10420</v>
      </c>
      <c r="D2085" s="4">
        <v>43190</v>
      </c>
      <c r="E2085" t="s">
        <v>1025</v>
      </c>
      <c r="F2085" t="s">
        <v>101</v>
      </c>
      <c r="G2085" t="s">
        <v>5021</v>
      </c>
      <c r="H2085">
        <v>7.0000000000000007E-2</v>
      </c>
      <c r="I2085">
        <v>5.92</v>
      </c>
      <c r="J2085">
        <v>1.1200000000000001</v>
      </c>
      <c r="K2085" t="s">
        <v>3197</v>
      </c>
      <c r="L2085">
        <v>-42.73</v>
      </c>
      <c r="M2085" t="s">
        <v>2360</v>
      </c>
      <c r="N2085" t="s">
        <v>10421</v>
      </c>
      <c r="O2085" t="s">
        <v>677</v>
      </c>
      <c r="P2085" t="s">
        <v>10422</v>
      </c>
      <c r="Q2085">
        <v>-92.97</v>
      </c>
      <c r="R2085" t="s">
        <v>1219</v>
      </c>
      <c r="S2085">
        <v>2.4</v>
      </c>
      <c r="T2085">
        <v>78.989999999999995</v>
      </c>
      <c r="U2085" t="s">
        <v>10423</v>
      </c>
      <c r="V2085" t="s">
        <v>1350</v>
      </c>
      <c r="W2085" t="s">
        <v>9502</v>
      </c>
      <c r="X2085">
        <v>1.1200000000000001</v>
      </c>
      <c r="Y2085" t="s">
        <v>1223</v>
      </c>
      <c r="Z2085" t="s">
        <v>2041</v>
      </c>
      <c r="AA2085" t="s">
        <v>3544</v>
      </c>
      <c r="AB2085">
        <v>1.25</v>
      </c>
      <c r="AC2085" t="s">
        <v>6615</v>
      </c>
      <c r="AD2085">
        <v>80.489999999999995</v>
      </c>
      <c r="AE2085" t="s">
        <v>818</v>
      </c>
      <c r="AF2085">
        <v>2.52</v>
      </c>
      <c r="AG2085">
        <v>0</v>
      </c>
      <c r="AH2085">
        <v>0</v>
      </c>
      <c r="AI2085" s="4">
        <v>34032</v>
      </c>
    </row>
    <row r="2086" spans="1:35">
      <c r="A2086">
        <v>2085</v>
      </c>
      <c r="B2086" t="str">
        <f>"300569"</f>
        <v>300569</v>
      </c>
      <c r="C2086" t="s">
        <v>10424</v>
      </c>
      <c r="D2086" s="4">
        <v>43190</v>
      </c>
      <c r="E2086" t="s">
        <v>609</v>
      </c>
      <c r="F2086" t="s">
        <v>10425</v>
      </c>
      <c r="G2086">
        <v>6452</v>
      </c>
      <c r="H2086">
        <v>0.13</v>
      </c>
      <c r="I2086">
        <v>11.32</v>
      </c>
      <c r="J2086">
        <v>1.1200000000000001</v>
      </c>
      <c r="K2086" t="s">
        <v>1370</v>
      </c>
      <c r="L2086">
        <v>-20.190000000000001</v>
      </c>
      <c r="M2086" t="s">
        <v>10426</v>
      </c>
      <c r="N2086">
        <v>0</v>
      </c>
      <c r="O2086" t="s">
        <v>10427</v>
      </c>
      <c r="P2086" t="s">
        <v>5726</v>
      </c>
      <c r="Q2086">
        <v>-42.25</v>
      </c>
      <c r="R2086" t="s">
        <v>456</v>
      </c>
      <c r="S2086">
        <v>3.95</v>
      </c>
      <c r="T2086">
        <v>34.42</v>
      </c>
      <c r="U2086" t="s">
        <v>423</v>
      </c>
      <c r="V2086" t="s">
        <v>2291</v>
      </c>
      <c r="W2086" t="s">
        <v>1382</v>
      </c>
      <c r="X2086">
        <v>1.1200000000000001</v>
      </c>
      <c r="Y2086" t="s">
        <v>173</v>
      </c>
      <c r="Z2086" t="s">
        <v>173</v>
      </c>
      <c r="AA2086">
        <v>0</v>
      </c>
      <c r="AB2086">
        <v>1.34</v>
      </c>
      <c r="AC2086" t="s">
        <v>820</v>
      </c>
      <c r="AD2086">
        <v>53.83</v>
      </c>
      <c r="AE2086" t="s">
        <v>746</v>
      </c>
      <c r="AF2086">
        <v>6</v>
      </c>
      <c r="AG2086">
        <v>0</v>
      </c>
      <c r="AH2086">
        <v>0</v>
      </c>
      <c r="AI2086" s="4">
        <v>42699</v>
      </c>
    </row>
    <row r="2087" spans="1:35">
      <c r="A2087">
        <v>2086</v>
      </c>
      <c r="B2087" t="str">
        <f>"300063"</f>
        <v>300063</v>
      </c>
      <c r="C2087" t="s">
        <v>10428</v>
      </c>
      <c r="D2087" s="4">
        <v>43190</v>
      </c>
      <c r="E2087" t="s">
        <v>500</v>
      </c>
      <c r="F2087" t="s">
        <v>3027</v>
      </c>
      <c r="G2087" t="s">
        <v>779</v>
      </c>
      <c r="H2087">
        <v>0.03</v>
      </c>
      <c r="I2087">
        <v>2.63</v>
      </c>
      <c r="J2087">
        <v>1.1200000000000001</v>
      </c>
      <c r="K2087" t="s">
        <v>183</v>
      </c>
      <c r="L2087">
        <v>40.32</v>
      </c>
      <c r="M2087" t="s">
        <v>10429</v>
      </c>
      <c r="N2087">
        <v>0</v>
      </c>
      <c r="O2087" t="s">
        <v>2841</v>
      </c>
      <c r="P2087" t="s">
        <v>9955</v>
      </c>
      <c r="Q2087">
        <v>-27.85</v>
      </c>
      <c r="R2087" t="s">
        <v>10430</v>
      </c>
      <c r="S2087">
        <v>-0.03</v>
      </c>
      <c r="T2087">
        <v>6.85</v>
      </c>
      <c r="U2087" t="s">
        <v>5550</v>
      </c>
      <c r="V2087" t="s">
        <v>1347</v>
      </c>
      <c r="W2087" t="s">
        <v>958</v>
      </c>
      <c r="X2087">
        <v>1.1200000000000001</v>
      </c>
      <c r="Y2087" t="s">
        <v>275</v>
      </c>
      <c r="Z2087" t="s">
        <v>891</v>
      </c>
      <c r="AA2087" t="s">
        <v>10431</v>
      </c>
      <c r="AB2087">
        <v>1.27</v>
      </c>
      <c r="AC2087" t="s">
        <v>389</v>
      </c>
      <c r="AD2087">
        <v>48.5</v>
      </c>
      <c r="AE2087" t="s">
        <v>1033</v>
      </c>
      <c r="AF2087">
        <v>1.63</v>
      </c>
      <c r="AG2087">
        <v>0</v>
      </c>
      <c r="AH2087">
        <v>0</v>
      </c>
      <c r="AI2087" s="4">
        <v>40263</v>
      </c>
    </row>
    <row r="2088" spans="1:35">
      <c r="A2088">
        <v>2087</v>
      </c>
      <c r="B2088" t="str">
        <f>"002750"</f>
        <v>002750</v>
      </c>
      <c r="C2088" t="s">
        <v>10432</v>
      </c>
      <c r="D2088" s="4">
        <v>43190</v>
      </c>
      <c r="E2088" t="s">
        <v>150</v>
      </c>
      <c r="F2088" t="s">
        <v>2915</v>
      </c>
      <c r="G2088" t="s">
        <v>3438</v>
      </c>
      <c r="H2088">
        <v>0.02</v>
      </c>
      <c r="I2088">
        <v>1.6</v>
      </c>
      <c r="J2088">
        <v>1.1200000000000001</v>
      </c>
      <c r="K2088" t="s">
        <v>543</v>
      </c>
      <c r="L2088">
        <v>39.409999999999997</v>
      </c>
      <c r="M2088" t="s">
        <v>10433</v>
      </c>
      <c r="N2088" t="s">
        <v>10434</v>
      </c>
      <c r="O2088" t="s">
        <v>10433</v>
      </c>
      <c r="P2088" t="s">
        <v>10435</v>
      </c>
      <c r="Q2088">
        <v>-48.07</v>
      </c>
      <c r="R2088" t="s">
        <v>1970</v>
      </c>
      <c r="S2088">
        <v>0.48</v>
      </c>
      <c r="T2088">
        <v>92.09</v>
      </c>
      <c r="U2088" t="s">
        <v>2908</v>
      </c>
      <c r="V2088" t="s">
        <v>2792</v>
      </c>
      <c r="W2088" t="s">
        <v>66</v>
      </c>
      <c r="X2088">
        <v>1.1200000000000001</v>
      </c>
      <c r="Y2088" t="s">
        <v>93</v>
      </c>
      <c r="Z2088" t="s">
        <v>1626</v>
      </c>
      <c r="AA2088" t="s">
        <v>9850</v>
      </c>
      <c r="AB2088">
        <v>4.5199999999999996</v>
      </c>
      <c r="AC2088" t="s">
        <v>504</v>
      </c>
      <c r="AD2088">
        <v>81.760000000000005</v>
      </c>
      <c r="AE2088" t="s">
        <v>10436</v>
      </c>
      <c r="AF2088">
        <v>0</v>
      </c>
      <c r="AG2088">
        <v>0</v>
      </c>
      <c r="AH2088">
        <v>0</v>
      </c>
      <c r="AI2088" s="4">
        <v>42087</v>
      </c>
    </row>
    <row r="2089" spans="1:35">
      <c r="A2089">
        <v>2088</v>
      </c>
      <c r="B2089" t="str">
        <f>"002566"</f>
        <v>002566</v>
      </c>
      <c r="C2089" t="s">
        <v>10437</v>
      </c>
      <c r="D2089" s="4">
        <v>43190</v>
      </c>
      <c r="E2089" t="s">
        <v>977</v>
      </c>
      <c r="F2089" t="s">
        <v>1484</v>
      </c>
      <c r="G2089">
        <v>8256</v>
      </c>
      <c r="H2089">
        <v>0.06</v>
      </c>
      <c r="I2089">
        <v>5.51</v>
      </c>
      <c r="J2089">
        <v>1.1200000000000001</v>
      </c>
      <c r="K2089" t="s">
        <v>217</v>
      </c>
      <c r="L2089">
        <v>13.69</v>
      </c>
      <c r="M2089" t="s">
        <v>9651</v>
      </c>
      <c r="N2089" t="s">
        <v>3763</v>
      </c>
      <c r="O2089" t="s">
        <v>9613</v>
      </c>
      <c r="P2089" t="s">
        <v>6554</v>
      </c>
      <c r="Q2089">
        <v>11.1</v>
      </c>
      <c r="R2089" t="s">
        <v>1002</v>
      </c>
      <c r="S2089">
        <v>1.69</v>
      </c>
      <c r="T2089">
        <v>76.84</v>
      </c>
      <c r="U2089" t="s">
        <v>1308</v>
      </c>
      <c r="V2089" t="s">
        <v>1693</v>
      </c>
      <c r="W2089" t="s">
        <v>1476</v>
      </c>
      <c r="X2089">
        <v>1.1200000000000001</v>
      </c>
      <c r="Y2089" t="s">
        <v>2149</v>
      </c>
      <c r="Z2089" t="s">
        <v>1493</v>
      </c>
      <c r="AA2089" t="s">
        <v>10438</v>
      </c>
      <c r="AB2089">
        <v>1.24</v>
      </c>
      <c r="AC2089" t="s">
        <v>754</v>
      </c>
      <c r="AD2089">
        <v>68.64</v>
      </c>
      <c r="AE2089" t="s">
        <v>2035</v>
      </c>
      <c r="AF2089">
        <v>2.52</v>
      </c>
      <c r="AG2089">
        <v>0</v>
      </c>
      <c r="AH2089">
        <v>0</v>
      </c>
      <c r="AI2089" s="4">
        <v>40620</v>
      </c>
    </row>
    <row r="2090" spans="1:35">
      <c r="A2090">
        <v>2089</v>
      </c>
      <c r="B2090" t="str">
        <f>"002224"</f>
        <v>002224</v>
      </c>
      <c r="C2090" t="s">
        <v>10439</v>
      </c>
      <c r="D2090" s="4">
        <v>43190</v>
      </c>
      <c r="E2090" t="s">
        <v>1523</v>
      </c>
      <c r="F2090" t="s">
        <v>1721</v>
      </c>
      <c r="G2090">
        <v>6906</v>
      </c>
      <c r="H2090">
        <v>0.03</v>
      </c>
      <c r="I2090">
        <v>2.54</v>
      </c>
      <c r="J2090">
        <v>1.1200000000000001</v>
      </c>
      <c r="K2090" t="s">
        <v>1839</v>
      </c>
      <c r="L2090">
        <v>16.59</v>
      </c>
      <c r="M2090" t="s">
        <v>10440</v>
      </c>
      <c r="N2090" t="s">
        <v>10441</v>
      </c>
      <c r="O2090" t="s">
        <v>10442</v>
      </c>
      <c r="P2090" t="s">
        <v>5306</v>
      </c>
      <c r="Q2090">
        <v>-40.049999999999997</v>
      </c>
      <c r="R2090" t="s">
        <v>4000</v>
      </c>
      <c r="S2090">
        <v>1.17</v>
      </c>
      <c r="T2090">
        <v>35.880000000000003</v>
      </c>
      <c r="U2090" t="s">
        <v>119</v>
      </c>
      <c r="V2090" t="s">
        <v>3124</v>
      </c>
      <c r="W2090" t="s">
        <v>3376</v>
      </c>
      <c r="X2090">
        <v>1.1200000000000001</v>
      </c>
      <c r="Y2090" t="s">
        <v>262</v>
      </c>
      <c r="Z2090" t="s">
        <v>1366</v>
      </c>
      <c r="AA2090" t="s">
        <v>10443</v>
      </c>
      <c r="AB2090">
        <v>2.36</v>
      </c>
      <c r="AC2090" t="s">
        <v>646</v>
      </c>
      <c r="AD2090">
        <v>85.87</v>
      </c>
      <c r="AE2090" t="s">
        <v>642</v>
      </c>
      <c r="AF2090">
        <v>0.18</v>
      </c>
      <c r="AG2090">
        <v>0</v>
      </c>
      <c r="AH2090">
        <v>0</v>
      </c>
      <c r="AI2090" s="4">
        <v>39563</v>
      </c>
    </row>
    <row r="2091" spans="1:35">
      <c r="A2091">
        <v>2090</v>
      </c>
      <c r="B2091" t="str">
        <f>"002026"</f>
        <v>002026</v>
      </c>
      <c r="C2091" t="s">
        <v>10444</v>
      </c>
      <c r="D2091" s="4">
        <v>43190</v>
      </c>
      <c r="E2091" t="s">
        <v>324</v>
      </c>
      <c r="F2091" t="s">
        <v>1461</v>
      </c>
      <c r="G2091" t="s">
        <v>2135</v>
      </c>
      <c r="H2091">
        <v>0.06</v>
      </c>
      <c r="I2091">
        <v>5.64</v>
      </c>
      <c r="J2091">
        <v>1.1200000000000001</v>
      </c>
      <c r="K2091" t="s">
        <v>150</v>
      </c>
      <c r="L2091">
        <v>35.200000000000003</v>
      </c>
      <c r="M2091" t="s">
        <v>10127</v>
      </c>
      <c r="N2091" t="s">
        <v>10445</v>
      </c>
      <c r="O2091" t="s">
        <v>10446</v>
      </c>
      <c r="P2091" t="s">
        <v>10447</v>
      </c>
      <c r="Q2091">
        <v>-20.29</v>
      </c>
      <c r="R2091" t="s">
        <v>2674</v>
      </c>
      <c r="S2091">
        <v>1.45</v>
      </c>
      <c r="T2091">
        <v>24.72</v>
      </c>
      <c r="U2091" t="s">
        <v>386</v>
      </c>
      <c r="V2091" t="s">
        <v>308</v>
      </c>
      <c r="W2091" t="s">
        <v>1671</v>
      </c>
      <c r="X2091">
        <v>1.1200000000000001</v>
      </c>
      <c r="Y2091" t="s">
        <v>941</v>
      </c>
      <c r="Z2091" t="s">
        <v>1168</v>
      </c>
      <c r="AA2091" t="s">
        <v>10448</v>
      </c>
      <c r="AB2091">
        <v>1.06</v>
      </c>
      <c r="AC2091" t="s">
        <v>2273</v>
      </c>
      <c r="AD2091">
        <v>78.510000000000005</v>
      </c>
      <c r="AE2091" t="s">
        <v>548</v>
      </c>
      <c r="AF2091">
        <v>2.96</v>
      </c>
      <c r="AG2091">
        <v>0</v>
      </c>
      <c r="AH2091">
        <v>0</v>
      </c>
      <c r="AI2091" s="4">
        <v>38195</v>
      </c>
    </row>
    <row r="2092" spans="1:35">
      <c r="A2092">
        <v>2091</v>
      </c>
      <c r="B2092" t="str">
        <f>"000519"</f>
        <v>000519</v>
      </c>
      <c r="C2092" t="s">
        <v>10449</v>
      </c>
      <c r="D2092" s="4">
        <v>43190</v>
      </c>
      <c r="E2092" t="s">
        <v>538</v>
      </c>
      <c r="F2092" t="s">
        <v>2010</v>
      </c>
      <c r="G2092">
        <v>7959</v>
      </c>
      <c r="H2092">
        <v>0.06</v>
      </c>
      <c r="I2092">
        <v>5.43</v>
      </c>
      <c r="J2092">
        <v>1.1200000000000001</v>
      </c>
      <c r="K2092" t="s">
        <v>3185</v>
      </c>
      <c r="L2092">
        <v>52.64</v>
      </c>
      <c r="M2092" t="s">
        <v>600</v>
      </c>
      <c r="N2092">
        <v>0</v>
      </c>
      <c r="O2092" t="s">
        <v>600</v>
      </c>
      <c r="P2092" t="s">
        <v>4787</v>
      </c>
      <c r="Q2092">
        <v>587.98</v>
      </c>
      <c r="R2092" t="s">
        <v>774</v>
      </c>
      <c r="S2092">
        <v>1.82</v>
      </c>
      <c r="T2092">
        <v>25.76</v>
      </c>
      <c r="U2092" t="s">
        <v>3683</v>
      </c>
      <c r="V2092" t="s">
        <v>4228</v>
      </c>
      <c r="W2092" t="s">
        <v>242</v>
      </c>
      <c r="X2092">
        <v>1.1200000000000001</v>
      </c>
      <c r="Y2092" t="s">
        <v>1000</v>
      </c>
      <c r="Z2092" t="s">
        <v>820</v>
      </c>
      <c r="AA2092" t="s">
        <v>535</v>
      </c>
      <c r="AB2092">
        <v>1.33</v>
      </c>
      <c r="AC2092" t="s">
        <v>3167</v>
      </c>
      <c r="AD2092">
        <v>79.23</v>
      </c>
      <c r="AE2092" t="s">
        <v>305</v>
      </c>
      <c r="AF2092">
        <v>2.5099999999999998</v>
      </c>
      <c r="AG2092">
        <v>0</v>
      </c>
      <c r="AH2092">
        <v>0</v>
      </c>
      <c r="AI2092" s="4">
        <v>34250</v>
      </c>
    </row>
    <row r="2093" spans="1:35">
      <c r="A2093">
        <v>2092</v>
      </c>
      <c r="B2093" t="str">
        <f>"300579"</f>
        <v>300579</v>
      </c>
      <c r="C2093" t="s">
        <v>10450</v>
      </c>
      <c r="D2093" s="4">
        <v>43190</v>
      </c>
      <c r="E2093" t="s">
        <v>280</v>
      </c>
      <c r="F2093" t="s">
        <v>10451</v>
      </c>
      <c r="G2093">
        <v>2551</v>
      </c>
      <c r="H2093">
        <v>0.05</v>
      </c>
      <c r="I2093">
        <v>4.4000000000000004</v>
      </c>
      <c r="J2093">
        <v>1.1100000000000001</v>
      </c>
      <c r="K2093" t="s">
        <v>10452</v>
      </c>
      <c r="L2093">
        <v>32.08</v>
      </c>
      <c r="M2093" t="s">
        <v>6945</v>
      </c>
      <c r="N2093" t="s">
        <v>10453</v>
      </c>
      <c r="O2093" t="s">
        <v>6945</v>
      </c>
      <c r="P2093" t="s">
        <v>10454</v>
      </c>
      <c r="Q2093">
        <v>410.93</v>
      </c>
      <c r="R2093" t="s">
        <v>844</v>
      </c>
      <c r="S2093">
        <v>1.5</v>
      </c>
      <c r="T2093">
        <v>66.86</v>
      </c>
      <c r="U2093" t="s">
        <v>4936</v>
      </c>
      <c r="V2093" t="s">
        <v>1477</v>
      </c>
      <c r="W2093" t="s">
        <v>3395</v>
      </c>
      <c r="X2093">
        <v>1.1100000000000001</v>
      </c>
      <c r="Y2093" t="s">
        <v>1797</v>
      </c>
      <c r="Z2093" t="s">
        <v>1048</v>
      </c>
      <c r="AA2093" t="s">
        <v>10455</v>
      </c>
      <c r="AB2093">
        <v>6.33</v>
      </c>
      <c r="AC2093" t="s">
        <v>1972</v>
      </c>
      <c r="AD2093">
        <v>63.04</v>
      </c>
      <c r="AE2093" t="s">
        <v>531</v>
      </c>
      <c r="AF2093">
        <v>1.69</v>
      </c>
      <c r="AG2093">
        <v>0</v>
      </c>
      <c r="AH2093">
        <v>0</v>
      </c>
      <c r="AI2093" s="4">
        <v>42727</v>
      </c>
    </row>
    <row r="2094" spans="1:35">
      <c r="A2094">
        <v>2093</v>
      </c>
      <c r="B2094" t="str">
        <f>"300559"</f>
        <v>300559</v>
      </c>
      <c r="C2094" t="s">
        <v>10456</v>
      </c>
      <c r="D2094" s="4">
        <v>43190</v>
      </c>
      <c r="E2094" t="s">
        <v>1974</v>
      </c>
      <c r="F2094" t="s">
        <v>10457</v>
      </c>
      <c r="G2094">
        <v>5259</v>
      </c>
      <c r="H2094">
        <v>0.05</v>
      </c>
      <c r="I2094">
        <v>4.57</v>
      </c>
      <c r="J2094">
        <v>1.1100000000000001</v>
      </c>
      <c r="K2094" t="s">
        <v>6012</v>
      </c>
      <c r="L2094">
        <v>134.35</v>
      </c>
      <c r="M2094" t="s">
        <v>6244</v>
      </c>
      <c r="N2094" t="s">
        <v>3136</v>
      </c>
      <c r="O2094" t="s">
        <v>6244</v>
      </c>
      <c r="P2094" t="s">
        <v>1637</v>
      </c>
      <c r="Q2094">
        <v>321.63</v>
      </c>
      <c r="R2094" t="s">
        <v>998</v>
      </c>
      <c r="S2094">
        <v>1.71</v>
      </c>
      <c r="T2094">
        <v>59.01</v>
      </c>
      <c r="U2094" t="s">
        <v>327</v>
      </c>
      <c r="V2094" t="s">
        <v>2938</v>
      </c>
      <c r="W2094" t="s">
        <v>10458</v>
      </c>
      <c r="X2094">
        <v>1.1100000000000001</v>
      </c>
      <c r="Y2094" t="s">
        <v>1475</v>
      </c>
      <c r="Z2094" t="s">
        <v>1119</v>
      </c>
      <c r="AA2094" t="s">
        <v>4735</v>
      </c>
      <c r="AB2094">
        <v>5.67</v>
      </c>
      <c r="AC2094" t="s">
        <v>1518</v>
      </c>
      <c r="AD2094">
        <v>81.93</v>
      </c>
      <c r="AE2094" t="s">
        <v>1964</v>
      </c>
      <c r="AF2094">
        <v>1.8</v>
      </c>
      <c r="AG2094">
        <v>0</v>
      </c>
      <c r="AH2094">
        <v>0</v>
      </c>
      <c r="AI2094" s="4">
        <v>42675</v>
      </c>
    </row>
    <row r="2095" spans="1:35">
      <c r="A2095">
        <v>2094</v>
      </c>
      <c r="B2095" t="str">
        <f>"002533"</f>
        <v>002533</v>
      </c>
      <c r="C2095" t="s">
        <v>10459</v>
      </c>
      <c r="D2095" s="4">
        <v>43190</v>
      </c>
      <c r="E2095" t="s">
        <v>2156</v>
      </c>
      <c r="F2095" t="s">
        <v>97</v>
      </c>
      <c r="G2095" t="s">
        <v>4360</v>
      </c>
      <c r="H2095">
        <v>0.05</v>
      </c>
      <c r="I2095">
        <v>4.04</v>
      </c>
      <c r="J2095">
        <v>1.1100000000000001</v>
      </c>
      <c r="K2095" t="s">
        <v>1274</v>
      </c>
      <c r="L2095">
        <v>35.78</v>
      </c>
      <c r="M2095" t="s">
        <v>10460</v>
      </c>
      <c r="N2095" t="s">
        <v>10461</v>
      </c>
      <c r="O2095" t="s">
        <v>10462</v>
      </c>
      <c r="P2095" t="s">
        <v>4516</v>
      </c>
      <c r="Q2095">
        <v>10.83</v>
      </c>
      <c r="R2095" t="s">
        <v>1561</v>
      </c>
      <c r="S2095">
        <v>1.41</v>
      </c>
      <c r="T2095">
        <v>12.84</v>
      </c>
      <c r="U2095" t="s">
        <v>3073</v>
      </c>
      <c r="V2095" t="s">
        <v>119</v>
      </c>
      <c r="W2095" t="s">
        <v>1408</v>
      </c>
      <c r="X2095">
        <v>1.1100000000000001</v>
      </c>
      <c r="Y2095" t="s">
        <v>1802</v>
      </c>
      <c r="Z2095" t="s">
        <v>632</v>
      </c>
      <c r="AA2095" t="s">
        <v>4352</v>
      </c>
      <c r="AB2095">
        <v>1.1200000000000001</v>
      </c>
      <c r="AC2095" t="s">
        <v>865</v>
      </c>
      <c r="AD2095">
        <v>68.489999999999995</v>
      </c>
      <c r="AE2095" t="s">
        <v>782</v>
      </c>
      <c r="AF2095">
        <v>1.48</v>
      </c>
      <c r="AG2095">
        <v>0</v>
      </c>
      <c r="AH2095">
        <v>0</v>
      </c>
      <c r="AI2095" s="4">
        <v>40543</v>
      </c>
    </row>
    <row r="2096" spans="1:35">
      <c r="A2096">
        <v>2095</v>
      </c>
      <c r="B2096" t="str">
        <f>"002520"</f>
        <v>002520</v>
      </c>
      <c r="C2096" t="s">
        <v>10463</v>
      </c>
      <c r="D2096" s="4">
        <v>43190</v>
      </c>
      <c r="E2096" t="s">
        <v>483</v>
      </c>
      <c r="F2096" t="s">
        <v>2178</v>
      </c>
      <c r="G2096" t="s">
        <v>7516</v>
      </c>
      <c r="H2096">
        <v>0.04</v>
      </c>
      <c r="I2096">
        <v>3.09</v>
      </c>
      <c r="J2096">
        <v>1.1100000000000001</v>
      </c>
      <c r="K2096" t="s">
        <v>81</v>
      </c>
      <c r="L2096">
        <v>11.4</v>
      </c>
      <c r="M2096" t="s">
        <v>10464</v>
      </c>
      <c r="N2096" t="s">
        <v>6177</v>
      </c>
      <c r="O2096" t="s">
        <v>10465</v>
      </c>
      <c r="P2096" t="s">
        <v>4892</v>
      </c>
      <c r="Q2096">
        <v>34.9</v>
      </c>
      <c r="R2096" t="s">
        <v>284</v>
      </c>
      <c r="S2096">
        <v>0.22</v>
      </c>
      <c r="T2096">
        <v>29.73</v>
      </c>
      <c r="U2096" t="s">
        <v>260</v>
      </c>
      <c r="V2096" t="s">
        <v>1920</v>
      </c>
      <c r="W2096" t="s">
        <v>78</v>
      </c>
      <c r="X2096">
        <v>1.1100000000000001</v>
      </c>
      <c r="Y2096" t="s">
        <v>1774</v>
      </c>
      <c r="Z2096" t="s">
        <v>2790</v>
      </c>
      <c r="AA2096" t="s">
        <v>10466</v>
      </c>
      <c r="AB2096">
        <v>2.2999999999999998</v>
      </c>
      <c r="AC2096" t="s">
        <v>1126</v>
      </c>
      <c r="AD2096">
        <v>66.349999999999994</v>
      </c>
      <c r="AE2096" t="s">
        <v>3752</v>
      </c>
      <c r="AF2096">
        <v>1.75</v>
      </c>
      <c r="AG2096">
        <v>0</v>
      </c>
      <c r="AH2096">
        <v>0</v>
      </c>
      <c r="AI2096" s="4">
        <v>40522</v>
      </c>
    </row>
    <row r="2097" spans="1:35">
      <c r="A2097">
        <v>2096</v>
      </c>
      <c r="B2097" t="str">
        <f>"002155"</f>
        <v>002155</v>
      </c>
      <c r="C2097" t="s">
        <v>10467</v>
      </c>
      <c r="D2097" s="4">
        <v>43190</v>
      </c>
      <c r="E2097" t="s">
        <v>625</v>
      </c>
      <c r="F2097" t="s">
        <v>295</v>
      </c>
      <c r="G2097">
        <v>9416</v>
      </c>
      <c r="H2097">
        <v>0.04</v>
      </c>
      <c r="I2097">
        <v>3.84</v>
      </c>
      <c r="J2097">
        <v>1.1100000000000001</v>
      </c>
      <c r="K2097" t="s">
        <v>756</v>
      </c>
      <c r="L2097">
        <v>120.89</v>
      </c>
      <c r="M2097" t="s">
        <v>10468</v>
      </c>
      <c r="N2097" t="s">
        <v>5222</v>
      </c>
      <c r="O2097" t="s">
        <v>4313</v>
      </c>
      <c r="P2097" t="s">
        <v>10469</v>
      </c>
      <c r="Q2097">
        <v>-23.59</v>
      </c>
      <c r="R2097" t="s">
        <v>980</v>
      </c>
      <c r="S2097">
        <v>1.53</v>
      </c>
      <c r="T2097">
        <v>7.56</v>
      </c>
      <c r="U2097" t="s">
        <v>3852</v>
      </c>
      <c r="V2097" t="s">
        <v>2328</v>
      </c>
      <c r="W2097" t="s">
        <v>1687</v>
      </c>
      <c r="X2097">
        <v>1.1100000000000001</v>
      </c>
      <c r="Y2097" t="s">
        <v>514</v>
      </c>
      <c r="Z2097" t="s">
        <v>833</v>
      </c>
      <c r="AA2097" t="s">
        <v>2429</v>
      </c>
      <c r="AB2097">
        <v>1.89</v>
      </c>
      <c r="AC2097" t="s">
        <v>3288</v>
      </c>
      <c r="AD2097">
        <v>67.67</v>
      </c>
      <c r="AE2097" t="s">
        <v>101</v>
      </c>
      <c r="AF2097">
        <v>1.07</v>
      </c>
      <c r="AG2097">
        <v>0</v>
      </c>
      <c r="AH2097">
        <v>0</v>
      </c>
      <c r="AI2097" s="4">
        <v>39310</v>
      </c>
    </row>
    <row r="2098" spans="1:35">
      <c r="A2098">
        <v>2097</v>
      </c>
      <c r="B2098" t="str">
        <f>"002150"</f>
        <v>002150</v>
      </c>
      <c r="C2098" t="s">
        <v>10470</v>
      </c>
      <c r="D2098" s="4">
        <v>43190</v>
      </c>
      <c r="E2098" t="s">
        <v>594</v>
      </c>
      <c r="F2098" t="s">
        <v>594</v>
      </c>
      <c r="G2098" t="s">
        <v>5462</v>
      </c>
      <c r="H2098">
        <v>0.05</v>
      </c>
      <c r="I2098">
        <v>4.1100000000000003</v>
      </c>
      <c r="J2098">
        <v>1.1100000000000001</v>
      </c>
      <c r="K2098" t="s">
        <v>1511</v>
      </c>
      <c r="L2098">
        <v>-2.59</v>
      </c>
      <c r="M2098" t="s">
        <v>10471</v>
      </c>
      <c r="N2098" t="s">
        <v>4887</v>
      </c>
      <c r="O2098" t="s">
        <v>4740</v>
      </c>
      <c r="P2098" t="s">
        <v>10472</v>
      </c>
      <c r="Q2098">
        <v>-36.47</v>
      </c>
      <c r="R2098" t="s">
        <v>204</v>
      </c>
      <c r="S2098">
        <v>1.31</v>
      </c>
      <c r="T2098">
        <v>22.55</v>
      </c>
      <c r="U2098" t="s">
        <v>161</v>
      </c>
      <c r="V2098" t="s">
        <v>521</v>
      </c>
      <c r="W2098" t="s">
        <v>121</v>
      </c>
      <c r="X2098">
        <v>1.1100000000000001</v>
      </c>
      <c r="Y2098" t="s">
        <v>492</v>
      </c>
      <c r="Z2098" t="s">
        <v>258</v>
      </c>
      <c r="AA2098" t="s">
        <v>9901</v>
      </c>
      <c r="AB2098">
        <v>1.56</v>
      </c>
      <c r="AC2098" t="s">
        <v>835</v>
      </c>
      <c r="AD2098">
        <v>78.400000000000006</v>
      </c>
      <c r="AE2098" t="s">
        <v>3376</v>
      </c>
      <c r="AF2098">
        <v>1.54</v>
      </c>
      <c r="AG2098">
        <v>0</v>
      </c>
      <c r="AH2098">
        <v>0</v>
      </c>
      <c r="AI2098" s="4">
        <v>39304</v>
      </c>
    </row>
    <row r="2099" spans="1:35">
      <c r="A2099">
        <v>2098</v>
      </c>
      <c r="B2099" t="str">
        <f>"000521"</f>
        <v>000521</v>
      </c>
      <c r="C2099" t="s">
        <v>10473</v>
      </c>
      <c r="D2099" s="4">
        <v>43190</v>
      </c>
      <c r="E2099" t="s">
        <v>919</v>
      </c>
      <c r="F2099" t="s">
        <v>4009</v>
      </c>
      <c r="G2099">
        <v>0</v>
      </c>
      <c r="H2099">
        <v>0.05</v>
      </c>
      <c r="I2099">
        <v>4.88</v>
      </c>
      <c r="J2099">
        <v>1.1100000000000001</v>
      </c>
      <c r="K2099" t="s">
        <v>2600</v>
      </c>
      <c r="L2099">
        <v>15.79</v>
      </c>
      <c r="M2099" t="s">
        <v>7787</v>
      </c>
      <c r="N2099" t="s">
        <v>7200</v>
      </c>
      <c r="O2099" t="s">
        <v>10474</v>
      </c>
      <c r="P2099" t="s">
        <v>10475</v>
      </c>
      <c r="Q2099">
        <v>-8.2200000000000006</v>
      </c>
      <c r="R2099" t="s">
        <v>6194</v>
      </c>
      <c r="S2099">
        <v>0.95</v>
      </c>
      <c r="T2099">
        <v>20.02</v>
      </c>
      <c r="U2099" t="s">
        <v>2016</v>
      </c>
      <c r="V2099" t="s">
        <v>246</v>
      </c>
      <c r="W2099" t="s">
        <v>855</v>
      </c>
      <c r="X2099">
        <v>1.1100000000000001</v>
      </c>
      <c r="Y2099" t="s">
        <v>404</v>
      </c>
      <c r="Z2099" t="s">
        <v>3472</v>
      </c>
      <c r="AA2099" t="s">
        <v>489</v>
      </c>
      <c r="AB2099">
        <v>0.76</v>
      </c>
      <c r="AC2099" t="s">
        <v>1327</v>
      </c>
      <c r="AD2099">
        <v>30.68</v>
      </c>
      <c r="AE2099" t="s">
        <v>2100</v>
      </c>
      <c r="AF2099">
        <v>2.57</v>
      </c>
      <c r="AG2099" t="s">
        <v>319</v>
      </c>
      <c r="AH2099">
        <v>0</v>
      </c>
      <c r="AI2099" s="4">
        <v>34260</v>
      </c>
    </row>
    <row r="2100" spans="1:35">
      <c r="A2100">
        <v>2099</v>
      </c>
      <c r="B2100" t="str">
        <f>"601700"</f>
        <v>601700</v>
      </c>
      <c r="C2100" t="s">
        <v>10476</v>
      </c>
      <c r="D2100" s="4">
        <v>43190</v>
      </c>
      <c r="E2100" t="s">
        <v>835</v>
      </c>
      <c r="F2100" t="s">
        <v>835</v>
      </c>
      <c r="G2100" t="s">
        <v>1568</v>
      </c>
      <c r="H2100">
        <v>0.03</v>
      </c>
      <c r="I2100">
        <v>2.64</v>
      </c>
      <c r="J2100">
        <v>1.1000000000000001</v>
      </c>
      <c r="K2100" t="s">
        <v>1965</v>
      </c>
      <c r="L2100">
        <v>17.12</v>
      </c>
      <c r="M2100" t="s">
        <v>10477</v>
      </c>
      <c r="N2100" t="s">
        <v>5987</v>
      </c>
      <c r="O2100" t="s">
        <v>10477</v>
      </c>
      <c r="P2100" t="s">
        <v>5159</v>
      </c>
      <c r="Q2100">
        <v>-39.47</v>
      </c>
      <c r="R2100" t="s">
        <v>202</v>
      </c>
      <c r="S2100">
        <v>0.37</v>
      </c>
      <c r="T2100">
        <v>14.24</v>
      </c>
      <c r="U2100" t="s">
        <v>2092</v>
      </c>
      <c r="V2100" t="s">
        <v>2057</v>
      </c>
      <c r="W2100" t="s">
        <v>1243</v>
      </c>
      <c r="X2100">
        <v>1.1000000000000001</v>
      </c>
      <c r="Y2100" t="s">
        <v>1126</v>
      </c>
      <c r="Z2100" t="s">
        <v>867</v>
      </c>
      <c r="AA2100" t="s">
        <v>5761</v>
      </c>
      <c r="AB2100">
        <v>1.25</v>
      </c>
      <c r="AC2100" t="s">
        <v>864</v>
      </c>
      <c r="AD2100">
        <v>62.66</v>
      </c>
      <c r="AE2100" t="s">
        <v>405</v>
      </c>
      <c r="AF2100">
        <v>1.08</v>
      </c>
      <c r="AG2100">
        <v>0</v>
      </c>
      <c r="AH2100">
        <v>0</v>
      </c>
      <c r="AI2100" s="4">
        <v>40561</v>
      </c>
    </row>
    <row r="2101" spans="1:35">
      <c r="A2101">
        <v>2100</v>
      </c>
      <c r="B2101" t="str">
        <f>"600122"</f>
        <v>600122</v>
      </c>
      <c r="C2101" t="s">
        <v>10478</v>
      </c>
      <c r="D2101" s="4">
        <v>43190</v>
      </c>
      <c r="E2101" t="s">
        <v>613</v>
      </c>
      <c r="F2101" t="s">
        <v>613</v>
      </c>
      <c r="G2101" t="s">
        <v>6078</v>
      </c>
      <c r="H2101">
        <v>0.08</v>
      </c>
      <c r="I2101">
        <v>7.4</v>
      </c>
      <c r="J2101">
        <v>1.1000000000000001</v>
      </c>
      <c r="K2101" t="s">
        <v>3770</v>
      </c>
      <c r="L2101">
        <v>-7.13</v>
      </c>
      <c r="M2101" t="s">
        <v>1627</v>
      </c>
      <c r="N2101" t="s">
        <v>9339</v>
      </c>
      <c r="O2101" t="s">
        <v>256</v>
      </c>
      <c r="P2101" t="s">
        <v>9394</v>
      </c>
      <c r="Q2101">
        <v>-8.5299999999999994</v>
      </c>
      <c r="R2101" t="s">
        <v>907</v>
      </c>
      <c r="S2101">
        <v>2.72</v>
      </c>
      <c r="T2101">
        <v>9.6</v>
      </c>
      <c r="U2101" t="s">
        <v>5133</v>
      </c>
      <c r="V2101" t="s">
        <v>1453</v>
      </c>
      <c r="W2101" t="s">
        <v>500</v>
      </c>
      <c r="X2101">
        <v>1.1000000000000001</v>
      </c>
      <c r="Y2101" t="s">
        <v>689</v>
      </c>
      <c r="Z2101" t="s">
        <v>7752</v>
      </c>
      <c r="AA2101" t="s">
        <v>1678</v>
      </c>
      <c r="AB2101">
        <v>1.01</v>
      </c>
      <c r="AC2101" t="s">
        <v>10479</v>
      </c>
      <c r="AD2101">
        <v>41.76</v>
      </c>
      <c r="AE2101" t="s">
        <v>1693</v>
      </c>
      <c r="AF2101">
        <v>1.84</v>
      </c>
      <c r="AG2101">
        <v>0</v>
      </c>
      <c r="AH2101">
        <v>0</v>
      </c>
      <c r="AI2101" s="4">
        <v>35905</v>
      </c>
    </row>
    <row r="2102" spans="1:35">
      <c r="A2102">
        <v>2101</v>
      </c>
      <c r="B2102" t="str">
        <f>"300739"</f>
        <v>300739</v>
      </c>
      <c r="C2102" t="s">
        <v>10480</v>
      </c>
      <c r="D2102" s="4">
        <v>43190</v>
      </c>
      <c r="E2102" t="s">
        <v>748</v>
      </c>
      <c r="F2102" t="s">
        <v>2082</v>
      </c>
      <c r="G2102">
        <v>1154</v>
      </c>
      <c r="H2102">
        <v>0.06</v>
      </c>
      <c r="I2102">
        <v>6.15</v>
      </c>
      <c r="J2102">
        <v>1.1000000000000001</v>
      </c>
      <c r="K2102" t="s">
        <v>998</v>
      </c>
      <c r="L2102">
        <v>14.94</v>
      </c>
      <c r="M2102" t="s">
        <v>10481</v>
      </c>
      <c r="N2102" t="s">
        <v>10482</v>
      </c>
      <c r="O2102" t="s">
        <v>10265</v>
      </c>
      <c r="P2102" t="s">
        <v>2899</v>
      </c>
      <c r="Q2102">
        <v>-56.87</v>
      </c>
      <c r="R2102" t="s">
        <v>368</v>
      </c>
      <c r="S2102">
        <v>0.72</v>
      </c>
      <c r="T2102">
        <v>24.98</v>
      </c>
      <c r="U2102" t="s">
        <v>50</v>
      </c>
      <c r="V2102" t="s">
        <v>323</v>
      </c>
      <c r="W2102" t="s">
        <v>78</v>
      </c>
      <c r="X2102">
        <v>1.1000000000000001</v>
      </c>
      <c r="Y2102" t="s">
        <v>1827</v>
      </c>
      <c r="Z2102" t="s">
        <v>185</v>
      </c>
      <c r="AA2102" t="s">
        <v>7223</v>
      </c>
      <c r="AB2102">
        <v>4.16</v>
      </c>
      <c r="AC2102" t="s">
        <v>192</v>
      </c>
      <c r="AD2102">
        <v>73.150000000000006</v>
      </c>
      <c r="AE2102" t="s">
        <v>125</v>
      </c>
      <c r="AF2102">
        <v>4.37</v>
      </c>
      <c r="AG2102">
        <v>0</v>
      </c>
      <c r="AH2102">
        <v>0</v>
      </c>
      <c r="AI2102" s="4">
        <v>43132</v>
      </c>
    </row>
    <row r="2103" spans="1:35">
      <c r="A2103">
        <v>2102</v>
      </c>
      <c r="B2103" t="str">
        <f>"002885"</f>
        <v>002885</v>
      </c>
      <c r="C2103" t="s">
        <v>10483</v>
      </c>
      <c r="D2103" s="4">
        <v>43190</v>
      </c>
      <c r="E2103" t="s">
        <v>280</v>
      </c>
      <c r="F2103" t="s">
        <v>482</v>
      </c>
      <c r="G2103">
        <v>1616</v>
      </c>
      <c r="H2103">
        <v>0.06</v>
      </c>
      <c r="I2103">
        <v>5.54</v>
      </c>
      <c r="J2103">
        <v>1.1000000000000001</v>
      </c>
      <c r="K2103" t="s">
        <v>1152</v>
      </c>
      <c r="L2103">
        <v>55.66</v>
      </c>
      <c r="M2103" t="s">
        <v>9280</v>
      </c>
      <c r="N2103" t="s">
        <v>10484</v>
      </c>
      <c r="O2103" t="s">
        <v>8582</v>
      </c>
      <c r="P2103" t="s">
        <v>4647</v>
      </c>
      <c r="Q2103">
        <v>-51.91</v>
      </c>
      <c r="R2103" t="s">
        <v>935</v>
      </c>
      <c r="S2103">
        <v>1.85</v>
      </c>
      <c r="T2103">
        <v>13.08</v>
      </c>
      <c r="U2103" t="s">
        <v>971</v>
      </c>
      <c r="V2103" t="s">
        <v>323</v>
      </c>
      <c r="W2103" t="s">
        <v>8926</v>
      </c>
      <c r="X2103">
        <v>1.1000000000000001</v>
      </c>
      <c r="Y2103" t="s">
        <v>5195</v>
      </c>
      <c r="Z2103" t="s">
        <v>2450</v>
      </c>
      <c r="AA2103" t="s">
        <v>1038</v>
      </c>
      <c r="AB2103">
        <v>5.16</v>
      </c>
      <c r="AC2103" t="s">
        <v>563</v>
      </c>
      <c r="AD2103">
        <v>48.83</v>
      </c>
      <c r="AE2103" t="s">
        <v>1074</v>
      </c>
      <c r="AF2103">
        <v>2.5</v>
      </c>
      <c r="AG2103">
        <v>0</v>
      </c>
      <c r="AH2103">
        <v>0</v>
      </c>
      <c r="AI2103" s="4">
        <v>42913</v>
      </c>
    </row>
    <row r="2104" spans="1:35">
      <c r="A2104">
        <v>2103</v>
      </c>
      <c r="B2104" t="str">
        <f>"002687"</f>
        <v>002687</v>
      </c>
      <c r="C2104" t="s">
        <v>10485</v>
      </c>
      <c r="D2104" s="4">
        <v>43190</v>
      </c>
      <c r="E2104" t="s">
        <v>139</v>
      </c>
      <c r="F2104" t="s">
        <v>301</v>
      </c>
      <c r="G2104" t="s">
        <v>4763</v>
      </c>
      <c r="H2104">
        <v>0.03</v>
      </c>
      <c r="I2104">
        <v>2.74</v>
      </c>
      <c r="J2104">
        <v>1.1000000000000001</v>
      </c>
      <c r="K2104" t="s">
        <v>383</v>
      </c>
      <c r="L2104">
        <v>23.84</v>
      </c>
      <c r="M2104" t="s">
        <v>10486</v>
      </c>
      <c r="N2104" t="s">
        <v>10487</v>
      </c>
      <c r="O2104" t="s">
        <v>5381</v>
      </c>
      <c r="P2104" t="s">
        <v>10488</v>
      </c>
      <c r="Q2104">
        <v>26.73</v>
      </c>
      <c r="R2104" t="s">
        <v>1245</v>
      </c>
      <c r="S2104">
        <v>0.51</v>
      </c>
      <c r="T2104">
        <v>46.75</v>
      </c>
      <c r="U2104" t="s">
        <v>971</v>
      </c>
      <c r="V2104" t="s">
        <v>43</v>
      </c>
      <c r="W2104" t="s">
        <v>1645</v>
      </c>
      <c r="X2104">
        <v>1.1000000000000001</v>
      </c>
      <c r="Y2104" t="s">
        <v>2185</v>
      </c>
      <c r="Z2104" t="s">
        <v>1664</v>
      </c>
      <c r="AA2104" t="s">
        <v>5805</v>
      </c>
      <c r="AB2104">
        <v>1.95</v>
      </c>
      <c r="AC2104" t="s">
        <v>1496</v>
      </c>
      <c r="AD2104">
        <v>74.61</v>
      </c>
      <c r="AE2104" t="s">
        <v>1383</v>
      </c>
      <c r="AF2104">
        <v>1.01</v>
      </c>
      <c r="AG2104">
        <v>0</v>
      </c>
      <c r="AH2104">
        <v>0</v>
      </c>
      <c r="AI2104" s="4">
        <v>41103</v>
      </c>
    </row>
    <row r="2105" spans="1:35">
      <c r="A2105">
        <v>2104</v>
      </c>
      <c r="B2105" t="str">
        <f>"002409"</f>
        <v>002409</v>
      </c>
      <c r="C2105" t="s">
        <v>10489</v>
      </c>
      <c r="D2105" s="4">
        <v>43190</v>
      </c>
      <c r="E2105" t="s">
        <v>140</v>
      </c>
      <c r="F2105" t="s">
        <v>1077</v>
      </c>
      <c r="G2105">
        <v>9620</v>
      </c>
      <c r="H2105">
        <v>0.04</v>
      </c>
      <c r="I2105">
        <v>8.7100000000000009</v>
      </c>
      <c r="J2105">
        <v>1.1000000000000001</v>
      </c>
      <c r="K2105" t="s">
        <v>325</v>
      </c>
      <c r="L2105">
        <v>5.75</v>
      </c>
      <c r="M2105" t="s">
        <v>10490</v>
      </c>
      <c r="N2105" t="s">
        <v>10491</v>
      </c>
      <c r="O2105" t="s">
        <v>3688</v>
      </c>
      <c r="P2105" t="s">
        <v>10492</v>
      </c>
      <c r="Q2105">
        <v>-27.85</v>
      </c>
      <c r="R2105" t="s">
        <v>196</v>
      </c>
      <c r="S2105">
        <v>0.98</v>
      </c>
      <c r="T2105">
        <v>24.83</v>
      </c>
      <c r="U2105" t="s">
        <v>891</v>
      </c>
      <c r="V2105" t="s">
        <v>2648</v>
      </c>
      <c r="W2105" t="s">
        <v>806</v>
      </c>
      <c r="X2105">
        <v>1.1000000000000001</v>
      </c>
      <c r="Y2105" t="s">
        <v>2507</v>
      </c>
      <c r="Z2105" t="s">
        <v>81</v>
      </c>
      <c r="AA2105" t="s">
        <v>8369</v>
      </c>
      <c r="AB2105">
        <v>2.39</v>
      </c>
      <c r="AC2105" t="s">
        <v>848</v>
      </c>
      <c r="AD2105">
        <v>84.28</v>
      </c>
      <c r="AE2105" t="s">
        <v>5195</v>
      </c>
      <c r="AF2105">
        <v>6.85</v>
      </c>
      <c r="AG2105">
        <v>0</v>
      </c>
      <c r="AH2105">
        <v>0</v>
      </c>
      <c r="AI2105" s="4">
        <v>40323</v>
      </c>
    </row>
    <row r="2106" spans="1:35">
      <c r="A2106">
        <v>2105</v>
      </c>
      <c r="B2106" t="str">
        <f>"002405"</f>
        <v>002405</v>
      </c>
      <c r="C2106" t="s">
        <v>10493</v>
      </c>
      <c r="D2106" s="4">
        <v>43190</v>
      </c>
      <c r="E2106" t="s">
        <v>926</v>
      </c>
      <c r="F2106" t="s">
        <v>978</v>
      </c>
      <c r="G2106">
        <v>7915</v>
      </c>
      <c r="H2106">
        <v>0.06</v>
      </c>
      <c r="I2106">
        <v>5.23</v>
      </c>
      <c r="J2106">
        <v>1.1000000000000001</v>
      </c>
      <c r="K2106" t="s">
        <v>645</v>
      </c>
      <c r="L2106">
        <v>23.35</v>
      </c>
      <c r="M2106" t="s">
        <v>10494</v>
      </c>
      <c r="N2106" t="s">
        <v>5180</v>
      </c>
      <c r="O2106" t="s">
        <v>2113</v>
      </c>
      <c r="P2106" t="s">
        <v>10495</v>
      </c>
      <c r="Q2106">
        <v>46.27</v>
      </c>
      <c r="R2106" t="s">
        <v>250</v>
      </c>
      <c r="S2106">
        <v>0.92</v>
      </c>
      <c r="T2106">
        <v>76.8</v>
      </c>
      <c r="U2106" t="s">
        <v>10496</v>
      </c>
      <c r="V2106" t="s">
        <v>528</v>
      </c>
      <c r="W2106" t="s">
        <v>690</v>
      </c>
      <c r="X2106">
        <v>1.1000000000000001</v>
      </c>
      <c r="Y2106" t="s">
        <v>1675</v>
      </c>
      <c r="Z2106" t="s">
        <v>2515</v>
      </c>
      <c r="AA2106" t="s">
        <v>10497</v>
      </c>
      <c r="AB2106">
        <v>3.72</v>
      </c>
      <c r="AC2106" t="s">
        <v>247</v>
      </c>
      <c r="AD2106">
        <v>69.540000000000006</v>
      </c>
      <c r="AE2106" t="s">
        <v>737</v>
      </c>
      <c r="AF2106">
        <v>3.28</v>
      </c>
      <c r="AG2106">
        <v>0</v>
      </c>
      <c r="AH2106">
        <v>0</v>
      </c>
      <c r="AI2106" s="4">
        <v>40316</v>
      </c>
    </row>
    <row r="2107" spans="1:35">
      <c r="A2107">
        <v>2106</v>
      </c>
      <c r="B2107" t="str">
        <f>"002375"</f>
        <v>002375</v>
      </c>
      <c r="C2107" t="s">
        <v>10498</v>
      </c>
      <c r="D2107" s="4">
        <v>43190</v>
      </c>
      <c r="E2107" t="s">
        <v>924</v>
      </c>
      <c r="F2107" t="s">
        <v>300</v>
      </c>
      <c r="G2107" t="s">
        <v>1879</v>
      </c>
      <c r="H2107">
        <v>0.06</v>
      </c>
      <c r="I2107">
        <v>5.65</v>
      </c>
      <c r="J2107">
        <v>1.1000000000000001</v>
      </c>
      <c r="K2107" t="s">
        <v>516</v>
      </c>
      <c r="L2107">
        <v>16.53</v>
      </c>
      <c r="M2107" t="s">
        <v>9389</v>
      </c>
      <c r="N2107" t="s">
        <v>10499</v>
      </c>
      <c r="O2107" t="s">
        <v>10500</v>
      </c>
      <c r="P2107" t="s">
        <v>10501</v>
      </c>
      <c r="Q2107">
        <v>11.7</v>
      </c>
      <c r="R2107" t="s">
        <v>2513</v>
      </c>
      <c r="S2107">
        <v>3.03</v>
      </c>
      <c r="T2107">
        <v>13.61</v>
      </c>
      <c r="U2107" t="s">
        <v>432</v>
      </c>
      <c r="V2107" t="s">
        <v>3912</v>
      </c>
      <c r="W2107" t="s">
        <v>1073</v>
      </c>
      <c r="X2107">
        <v>1.1000000000000001</v>
      </c>
      <c r="Y2107" t="s">
        <v>586</v>
      </c>
      <c r="Z2107" t="s">
        <v>1159</v>
      </c>
      <c r="AA2107" t="s">
        <v>10502</v>
      </c>
      <c r="AB2107">
        <v>0.94</v>
      </c>
      <c r="AC2107" t="s">
        <v>1172</v>
      </c>
      <c r="AD2107">
        <v>40.33</v>
      </c>
      <c r="AE2107" t="s">
        <v>980</v>
      </c>
      <c r="AF2107">
        <v>1.37</v>
      </c>
      <c r="AG2107">
        <v>0</v>
      </c>
      <c r="AH2107">
        <v>0</v>
      </c>
      <c r="AI2107" s="4">
        <v>40260</v>
      </c>
    </row>
    <row r="2108" spans="1:35">
      <c r="A2108">
        <v>2107</v>
      </c>
      <c r="B2108" t="str">
        <f>"603238"</f>
        <v>603238</v>
      </c>
      <c r="C2108" t="s">
        <v>10503</v>
      </c>
      <c r="D2108" s="4">
        <v>43190</v>
      </c>
      <c r="E2108" t="s">
        <v>280</v>
      </c>
      <c r="F2108" t="s">
        <v>482</v>
      </c>
      <c r="G2108">
        <v>1986</v>
      </c>
      <c r="H2108">
        <v>7.0000000000000007E-2</v>
      </c>
      <c r="I2108">
        <v>6.46</v>
      </c>
      <c r="J2108">
        <v>1.0900000000000001</v>
      </c>
      <c r="K2108" t="s">
        <v>2769</v>
      </c>
      <c r="L2108">
        <v>80.739999999999995</v>
      </c>
      <c r="M2108" t="s">
        <v>10504</v>
      </c>
      <c r="N2108" t="s">
        <v>6438</v>
      </c>
      <c r="O2108" t="s">
        <v>10505</v>
      </c>
      <c r="P2108" t="s">
        <v>10408</v>
      </c>
      <c r="Q2108">
        <v>6.8</v>
      </c>
      <c r="R2108" t="s">
        <v>1791</v>
      </c>
      <c r="S2108">
        <v>2.4300000000000002</v>
      </c>
      <c r="T2108">
        <v>22.59</v>
      </c>
      <c r="U2108" t="s">
        <v>971</v>
      </c>
      <c r="V2108" t="s">
        <v>259</v>
      </c>
      <c r="W2108" t="s">
        <v>1324</v>
      </c>
      <c r="X2108">
        <v>1.0900000000000001</v>
      </c>
      <c r="Y2108" t="s">
        <v>3006</v>
      </c>
      <c r="Z2108" t="s">
        <v>976</v>
      </c>
      <c r="AA2108" t="s">
        <v>1724</v>
      </c>
      <c r="AB2108">
        <v>3.02</v>
      </c>
      <c r="AC2108" t="s">
        <v>1041</v>
      </c>
      <c r="AD2108">
        <v>57.7</v>
      </c>
      <c r="AE2108" t="s">
        <v>593</v>
      </c>
      <c r="AF2108">
        <v>2.73</v>
      </c>
      <c r="AG2108">
        <v>0</v>
      </c>
      <c r="AH2108">
        <v>0</v>
      </c>
      <c r="AI2108" s="4">
        <v>42788</v>
      </c>
    </row>
    <row r="2109" spans="1:35">
      <c r="A2109">
        <v>2108</v>
      </c>
      <c r="B2109" t="str">
        <f>"601377"</f>
        <v>601377</v>
      </c>
      <c r="C2109" t="s">
        <v>10506</v>
      </c>
      <c r="D2109" s="4">
        <v>43190</v>
      </c>
      <c r="E2109" t="s">
        <v>2497</v>
      </c>
      <c r="F2109" t="s">
        <v>2497</v>
      </c>
      <c r="G2109" t="s">
        <v>6568</v>
      </c>
      <c r="H2109">
        <v>0.05</v>
      </c>
      <c r="I2109">
        <v>5.04</v>
      </c>
      <c r="J2109">
        <v>1.0900000000000001</v>
      </c>
      <c r="K2109" t="s">
        <v>76</v>
      </c>
      <c r="L2109">
        <v>-16.399999999999999</v>
      </c>
      <c r="M2109" t="s">
        <v>883</v>
      </c>
      <c r="N2109" t="s">
        <v>1774</v>
      </c>
      <c r="O2109" t="s">
        <v>741</v>
      </c>
      <c r="P2109" t="s">
        <v>160</v>
      </c>
      <c r="Q2109">
        <v>-46.35</v>
      </c>
      <c r="R2109" t="s">
        <v>3536</v>
      </c>
      <c r="S2109">
        <v>1.25</v>
      </c>
      <c r="T2109">
        <v>0</v>
      </c>
      <c r="U2109" t="s">
        <v>10507</v>
      </c>
      <c r="V2109">
        <v>0</v>
      </c>
      <c r="W2109" t="s">
        <v>1309</v>
      </c>
      <c r="X2109">
        <v>1.0900000000000001</v>
      </c>
      <c r="Y2109" t="s">
        <v>10508</v>
      </c>
      <c r="Z2109">
        <v>0</v>
      </c>
      <c r="AA2109">
        <v>0</v>
      </c>
      <c r="AB2109">
        <v>1.06</v>
      </c>
      <c r="AC2109" t="s">
        <v>7380</v>
      </c>
      <c r="AD2109">
        <v>20.440000000000001</v>
      </c>
      <c r="AE2109" t="s">
        <v>929</v>
      </c>
      <c r="AF2109">
        <v>2.15</v>
      </c>
      <c r="AG2109">
        <v>0</v>
      </c>
      <c r="AH2109">
        <v>0</v>
      </c>
      <c r="AI2109" s="4">
        <v>40464</v>
      </c>
    </row>
    <row r="2110" spans="1:35">
      <c r="A2110">
        <v>2109</v>
      </c>
      <c r="B2110" t="str">
        <f>"300391"</f>
        <v>300391</v>
      </c>
      <c r="C2110" t="s">
        <v>10509</v>
      </c>
      <c r="D2110" s="4">
        <v>43190</v>
      </c>
      <c r="E2110" t="s">
        <v>470</v>
      </c>
      <c r="F2110" t="s">
        <v>7106</v>
      </c>
      <c r="G2110">
        <v>5570</v>
      </c>
      <c r="H2110">
        <v>0.05</v>
      </c>
      <c r="I2110">
        <v>5.71</v>
      </c>
      <c r="J2110">
        <v>1.0900000000000001</v>
      </c>
      <c r="K2110" t="s">
        <v>1936</v>
      </c>
      <c r="L2110">
        <v>124.22</v>
      </c>
      <c r="M2110" t="s">
        <v>10510</v>
      </c>
      <c r="N2110">
        <v>0</v>
      </c>
      <c r="O2110" t="s">
        <v>6090</v>
      </c>
      <c r="P2110" t="s">
        <v>7138</v>
      </c>
      <c r="Q2110">
        <v>483.9</v>
      </c>
      <c r="R2110" t="s">
        <v>2123</v>
      </c>
      <c r="S2110">
        <v>0.82</v>
      </c>
      <c r="T2110">
        <v>33.42</v>
      </c>
      <c r="U2110" t="s">
        <v>1255</v>
      </c>
      <c r="V2110" t="s">
        <v>1084</v>
      </c>
      <c r="W2110" t="s">
        <v>89</v>
      </c>
      <c r="X2110">
        <v>1.0900000000000001</v>
      </c>
      <c r="Y2110" t="s">
        <v>1671</v>
      </c>
      <c r="Z2110" t="s">
        <v>1869</v>
      </c>
      <c r="AA2110" t="s">
        <v>10511</v>
      </c>
      <c r="AB2110">
        <v>1.65</v>
      </c>
      <c r="AC2110" t="s">
        <v>124</v>
      </c>
      <c r="AD2110">
        <v>66.400000000000006</v>
      </c>
      <c r="AE2110" t="s">
        <v>703</v>
      </c>
      <c r="AF2110">
        <v>3.88</v>
      </c>
      <c r="AG2110">
        <v>0</v>
      </c>
      <c r="AH2110">
        <v>0</v>
      </c>
      <c r="AI2110" s="4">
        <v>41852</v>
      </c>
    </row>
    <row r="2111" spans="1:35">
      <c r="A2111">
        <v>2110</v>
      </c>
      <c r="B2111" t="str">
        <f>"300341"</f>
        <v>300341</v>
      </c>
      <c r="C2111" t="s">
        <v>10512</v>
      </c>
      <c r="D2111" s="4">
        <v>43190</v>
      </c>
      <c r="E2111" t="s">
        <v>1076</v>
      </c>
      <c r="F2111" t="s">
        <v>3726</v>
      </c>
      <c r="G2111" t="s">
        <v>1755</v>
      </c>
      <c r="H2111">
        <v>0.02</v>
      </c>
      <c r="I2111">
        <v>2.14</v>
      </c>
      <c r="J2111">
        <v>1.0900000000000001</v>
      </c>
      <c r="K2111" t="s">
        <v>64</v>
      </c>
      <c r="L2111">
        <v>-0.45</v>
      </c>
      <c r="M2111" t="s">
        <v>6860</v>
      </c>
      <c r="N2111" t="s">
        <v>10513</v>
      </c>
      <c r="O2111" t="s">
        <v>5119</v>
      </c>
      <c r="P2111" t="s">
        <v>7626</v>
      </c>
      <c r="Q2111">
        <v>-40.72</v>
      </c>
      <c r="R2111" t="s">
        <v>4962</v>
      </c>
      <c r="S2111">
        <v>0.87</v>
      </c>
      <c r="T2111">
        <v>39.26</v>
      </c>
      <c r="U2111" t="s">
        <v>840</v>
      </c>
      <c r="V2111" t="s">
        <v>3157</v>
      </c>
      <c r="W2111" t="s">
        <v>935</v>
      </c>
      <c r="X2111">
        <v>1.0900000000000001</v>
      </c>
      <c r="Y2111" t="s">
        <v>1853</v>
      </c>
      <c r="Z2111" t="s">
        <v>2034</v>
      </c>
      <c r="AA2111" t="s">
        <v>7074</v>
      </c>
      <c r="AB2111">
        <v>2.5099999999999998</v>
      </c>
      <c r="AC2111" t="s">
        <v>1223</v>
      </c>
      <c r="AD2111">
        <v>83</v>
      </c>
      <c r="AE2111" t="s">
        <v>7864</v>
      </c>
      <c r="AF2111">
        <v>0.16</v>
      </c>
      <c r="AG2111">
        <v>0</v>
      </c>
      <c r="AH2111">
        <v>0</v>
      </c>
      <c r="AI2111" s="4">
        <v>41116</v>
      </c>
    </row>
    <row r="2112" spans="1:35">
      <c r="A2112">
        <v>2111</v>
      </c>
      <c r="B2112" t="str">
        <f>"300078"</f>
        <v>300078</v>
      </c>
      <c r="C2112" t="s">
        <v>10514</v>
      </c>
      <c r="D2112" s="4">
        <v>43190</v>
      </c>
      <c r="E2112" t="s">
        <v>1868</v>
      </c>
      <c r="F2112" t="s">
        <v>1243</v>
      </c>
      <c r="G2112">
        <v>9379</v>
      </c>
      <c r="H2112">
        <v>0.03</v>
      </c>
      <c r="I2112">
        <v>2.57</v>
      </c>
      <c r="J2112">
        <v>1.0900000000000001</v>
      </c>
      <c r="K2112" t="s">
        <v>916</v>
      </c>
      <c r="L2112">
        <v>11.01</v>
      </c>
      <c r="M2112" t="s">
        <v>10515</v>
      </c>
      <c r="N2112" t="s">
        <v>10516</v>
      </c>
      <c r="O2112" t="s">
        <v>10517</v>
      </c>
      <c r="P2112" t="s">
        <v>4983</v>
      </c>
      <c r="Q2112">
        <v>-33.79</v>
      </c>
      <c r="R2112" t="s">
        <v>48</v>
      </c>
      <c r="S2112">
        <v>0.5</v>
      </c>
      <c r="T2112">
        <v>42.85</v>
      </c>
      <c r="U2112" t="s">
        <v>371</v>
      </c>
      <c r="V2112" t="s">
        <v>124</v>
      </c>
      <c r="W2112" t="s">
        <v>2041</v>
      </c>
      <c r="X2112">
        <v>1.0900000000000001</v>
      </c>
      <c r="Y2112" t="s">
        <v>1590</v>
      </c>
      <c r="Z2112" t="s">
        <v>506</v>
      </c>
      <c r="AA2112" t="s">
        <v>200</v>
      </c>
      <c r="AB2112">
        <v>3.25</v>
      </c>
      <c r="AC2112" t="s">
        <v>877</v>
      </c>
      <c r="AD2112">
        <v>72.069999999999993</v>
      </c>
      <c r="AE2112" t="s">
        <v>2192</v>
      </c>
      <c r="AF2112">
        <v>0.98</v>
      </c>
      <c r="AG2112">
        <v>0</v>
      </c>
      <c r="AH2112">
        <v>0</v>
      </c>
      <c r="AI2112" s="4">
        <v>40298</v>
      </c>
    </row>
    <row r="2113" spans="1:35">
      <c r="A2113">
        <v>2112</v>
      </c>
      <c r="B2113" t="str">
        <f>"300053"</f>
        <v>300053</v>
      </c>
      <c r="C2113" t="s">
        <v>10518</v>
      </c>
      <c r="D2113" s="4">
        <v>43190</v>
      </c>
      <c r="E2113" t="s">
        <v>2001</v>
      </c>
      <c r="F2113" t="s">
        <v>1481</v>
      </c>
      <c r="G2113" t="s">
        <v>708</v>
      </c>
      <c r="H2113">
        <v>0.03</v>
      </c>
      <c r="I2113">
        <v>4.47</v>
      </c>
      <c r="J2113">
        <v>1.0900000000000001</v>
      </c>
      <c r="K2113" t="s">
        <v>284</v>
      </c>
      <c r="L2113">
        <v>29.62</v>
      </c>
      <c r="M2113" t="s">
        <v>3930</v>
      </c>
      <c r="N2113" t="s">
        <v>6875</v>
      </c>
      <c r="O2113" t="s">
        <v>3483</v>
      </c>
      <c r="P2113" t="s">
        <v>10519</v>
      </c>
      <c r="Q2113">
        <v>4.32</v>
      </c>
      <c r="R2113" t="s">
        <v>750</v>
      </c>
      <c r="S2113">
        <v>0.54</v>
      </c>
      <c r="T2113">
        <v>38.26</v>
      </c>
      <c r="U2113" t="s">
        <v>3160</v>
      </c>
      <c r="V2113" t="s">
        <v>1449</v>
      </c>
      <c r="W2113" t="s">
        <v>284</v>
      </c>
      <c r="X2113">
        <v>1.0900000000000001</v>
      </c>
      <c r="Y2113" t="s">
        <v>6120</v>
      </c>
      <c r="Z2113" t="s">
        <v>852</v>
      </c>
      <c r="AA2113" t="s">
        <v>7625</v>
      </c>
      <c r="AB2113">
        <v>2.7</v>
      </c>
      <c r="AC2113" t="s">
        <v>423</v>
      </c>
      <c r="AD2113">
        <v>82.55</v>
      </c>
      <c r="AE2113" t="s">
        <v>418</v>
      </c>
      <c r="AF2113">
        <v>2.88</v>
      </c>
      <c r="AG2113">
        <v>0</v>
      </c>
      <c r="AH2113">
        <v>0</v>
      </c>
      <c r="AI2113" s="4">
        <v>40220</v>
      </c>
    </row>
    <row r="2114" spans="1:35">
      <c r="A2114">
        <v>2113</v>
      </c>
      <c r="B2114" t="str">
        <f>"002519"</f>
        <v>002519</v>
      </c>
      <c r="C2114" t="s">
        <v>10520</v>
      </c>
      <c r="D2114" s="4">
        <v>43190</v>
      </c>
      <c r="E2114" t="s">
        <v>835</v>
      </c>
      <c r="F2114" t="s">
        <v>2486</v>
      </c>
      <c r="G2114" t="s">
        <v>4099</v>
      </c>
      <c r="H2114">
        <v>0.04</v>
      </c>
      <c r="I2114">
        <v>3.24</v>
      </c>
      <c r="J2114">
        <v>1.0900000000000001</v>
      </c>
      <c r="K2114" t="s">
        <v>1594</v>
      </c>
      <c r="L2114">
        <v>-9.0299999999999994</v>
      </c>
      <c r="M2114" t="s">
        <v>1604</v>
      </c>
      <c r="N2114" t="s">
        <v>9417</v>
      </c>
      <c r="O2114" t="s">
        <v>9824</v>
      </c>
      <c r="P2114" t="s">
        <v>10521</v>
      </c>
      <c r="Q2114">
        <v>4.4400000000000004</v>
      </c>
      <c r="R2114" t="s">
        <v>2061</v>
      </c>
      <c r="S2114">
        <v>0.64</v>
      </c>
      <c r="T2114">
        <v>27.51</v>
      </c>
      <c r="U2114" t="s">
        <v>1326</v>
      </c>
      <c r="V2114" t="s">
        <v>1380</v>
      </c>
      <c r="W2114" t="s">
        <v>3324</v>
      </c>
      <c r="X2114">
        <v>1.0900000000000001</v>
      </c>
      <c r="Y2114" t="s">
        <v>833</v>
      </c>
      <c r="Z2114" t="s">
        <v>759</v>
      </c>
      <c r="AA2114" t="s">
        <v>8307</v>
      </c>
      <c r="AB2114">
        <v>1.37</v>
      </c>
      <c r="AC2114" t="s">
        <v>4558</v>
      </c>
      <c r="AD2114">
        <v>70.25</v>
      </c>
      <c r="AE2114" t="s">
        <v>1752</v>
      </c>
      <c r="AF2114">
        <v>1.71</v>
      </c>
      <c r="AG2114">
        <v>0</v>
      </c>
      <c r="AH2114">
        <v>0</v>
      </c>
      <c r="AI2114" s="4">
        <v>40519</v>
      </c>
    </row>
    <row r="2115" spans="1:35">
      <c r="A2115">
        <v>2114</v>
      </c>
      <c r="B2115" t="str">
        <f>"002250"</f>
        <v>002250</v>
      </c>
      <c r="C2115" t="s">
        <v>10522</v>
      </c>
      <c r="D2115" s="4">
        <v>43190</v>
      </c>
      <c r="E2115" t="s">
        <v>2383</v>
      </c>
      <c r="F2115" t="s">
        <v>1705</v>
      </c>
      <c r="G2115" t="s">
        <v>6944</v>
      </c>
      <c r="H2115">
        <v>7.0000000000000007E-2</v>
      </c>
      <c r="I2115">
        <v>6.14</v>
      </c>
      <c r="J2115">
        <v>1.0900000000000001</v>
      </c>
      <c r="K2115" t="s">
        <v>2620</v>
      </c>
      <c r="L2115">
        <v>18.12</v>
      </c>
      <c r="M2115" t="s">
        <v>4607</v>
      </c>
      <c r="N2115" t="s">
        <v>10523</v>
      </c>
      <c r="O2115" t="s">
        <v>10524</v>
      </c>
      <c r="P2115" t="s">
        <v>8009</v>
      </c>
      <c r="Q2115">
        <v>-24.87</v>
      </c>
      <c r="R2115" t="s">
        <v>774</v>
      </c>
      <c r="S2115">
        <v>2.75</v>
      </c>
      <c r="T2115">
        <v>30.08</v>
      </c>
      <c r="U2115" t="s">
        <v>2629</v>
      </c>
      <c r="V2115" t="s">
        <v>1345</v>
      </c>
      <c r="W2115" t="s">
        <v>1396</v>
      </c>
      <c r="X2115">
        <v>1.0900000000000001</v>
      </c>
      <c r="Y2115" t="s">
        <v>1675</v>
      </c>
      <c r="Z2115" t="s">
        <v>418</v>
      </c>
      <c r="AA2115" t="s">
        <v>2853</v>
      </c>
      <c r="AB2115">
        <v>1.43</v>
      </c>
      <c r="AC2115" t="s">
        <v>2809</v>
      </c>
      <c r="AD2115">
        <v>67.41</v>
      </c>
      <c r="AE2115" t="s">
        <v>2753</v>
      </c>
      <c r="AF2115">
        <v>2.34</v>
      </c>
      <c r="AG2115">
        <v>0</v>
      </c>
      <c r="AH2115">
        <v>0</v>
      </c>
      <c r="AI2115" s="4">
        <v>39618</v>
      </c>
    </row>
    <row r="2116" spans="1:35">
      <c r="A2116">
        <v>2115</v>
      </c>
      <c r="B2116" t="str">
        <f>"603045"</f>
        <v>603045</v>
      </c>
      <c r="C2116" t="s">
        <v>10525</v>
      </c>
      <c r="D2116" s="4">
        <v>43190</v>
      </c>
      <c r="E2116" t="s">
        <v>131</v>
      </c>
      <c r="F2116" t="s">
        <v>5931</v>
      </c>
      <c r="G2116" t="s">
        <v>9356</v>
      </c>
      <c r="H2116">
        <v>0.06</v>
      </c>
      <c r="I2116">
        <v>7.28</v>
      </c>
      <c r="J2116">
        <v>1.08</v>
      </c>
      <c r="K2116" t="s">
        <v>669</v>
      </c>
      <c r="L2116">
        <v>2.0499999999999998</v>
      </c>
      <c r="M2116" t="s">
        <v>10526</v>
      </c>
      <c r="N2116" t="s">
        <v>10527</v>
      </c>
      <c r="O2116" t="s">
        <v>10526</v>
      </c>
      <c r="P2116" t="s">
        <v>4048</v>
      </c>
      <c r="Q2116">
        <v>16.68</v>
      </c>
      <c r="R2116" t="s">
        <v>1664</v>
      </c>
      <c r="S2116">
        <v>2.85</v>
      </c>
      <c r="T2116">
        <v>14.16</v>
      </c>
      <c r="U2116" t="s">
        <v>354</v>
      </c>
      <c r="V2116" t="s">
        <v>4599</v>
      </c>
      <c r="W2116" t="s">
        <v>1489</v>
      </c>
      <c r="X2116">
        <v>1.08</v>
      </c>
      <c r="Y2116" t="s">
        <v>1779</v>
      </c>
      <c r="Z2116" t="s">
        <v>4176</v>
      </c>
      <c r="AA2116" t="s">
        <v>10528</v>
      </c>
      <c r="AB2116">
        <v>6.77</v>
      </c>
      <c r="AC2116" t="s">
        <v>1959</v>
      </c>
      <c r="AD2116">
        <v>44.48</v>
      </c>
      <c r="AE2116" t="s">
        <v>651</v>
      </c>
      <c r="AF2116">
        <v>2.9</v>
      </c>
      <c r="AG2116">
        <v>0</v>
      </c>
      <c r="AH2116">
        <v>0</v>
      </c>
      <c r="AI2116" s="4">
        <v>43237</v>
      </c>
    </row>
    <row r="2117" spans="1:35">
      <c r="A2117">
        <v>2116</v>
      </c>
      <c r="B2117" t="str">
        <f>"600248"</f>
        <v>600248</v>
      </c>
      <c r="C2117" t="s">
        <v>10529</v>
      </c>
      <c r="D2117" s="4">
        <v>43190</v>
      </c>
      <c r="E2117" t="s">
        <v>417</v>
      </c>
      <c r="F2117" t="s">
        <v>4008</v>
      </c>
      <c r="G2117" t="s">
        <v>1131</v>
      </c>
      <c r="H2117">
        <v>0.04</v>
      </c>
      <c r="I2117">
        <v>3.37</v>
      </c>
      <c r="J2117">
        <v>1.08</v>
      </c>
      <c r="K2117" t="s">
        <v>563</v>
      </c>
      <c r="L2117">
        <v>32.89</v>
      </c>
      <c r="M2117" t="s">
        <v>10530</v>
      </c>
      <c r="N2117" t="s">
        <v>10531</v>
      </c>
      <c r="O2117" t="s">
        <v>10532</v>
      </c>
      <c r="P2117" t="s">
        <v>9114</v>
      </c>
      <c r="Q2117">
        <v>46.24</v>
      </c>
      <c r="R2117" t="s">
        <v>353</v>
      </c>
      <c r="S2117">
        <v>1.31</v>
      </c>
      <c r="T2117">
        <v>9.35</v>
      </c>
      <c r="U2117" t="s">
        <v>1923</v>
      </c>
      <c r="V2117" t="s">
        <v>1312</v>
      </c>
      <c r="W2117" t="s">
        <v>1243</v>
      </c>
      <c r="X2117">
        <v>1.08</v>
      </c>
      <c r="Y2117" t="s">
        <v>1350</v>
      </c>
      <c r="Z2117" t="s">
        <v>1350</v>
      </c>
      <c r="AA2117" t="s">
        <v>7398</v>
      </c>
      <c r="AB2117">
        <v>1.28</v>
      </c>
      <c r="AC2117" t="s">
        <v>3356</v>
      </c>
      <c r="AD2117">
        <v>41.09</v>
      </c>
      <c r="AE2117" t="s">
        <v>1596</v>
      </c>
      <c r="AF2117">
        <v>0.8</v>
      </c>
      <c r="AG2117">
        <v>0</v>
      </c>
      <c r="AH2117">
        <v>0</v>
      </c>
      <c r="AI2117" s="4">
        <v>36699</v>
      </c>
    </row>
    <row r="2118" spans="1:35">
      <c r="A2118">
        <v>2117</v>
      </c>
      <c r="B2118" t="str">
        <f>"300565"</f>
        <v>300565</v>
      </c>
      <c r="C2118" t="s">
        <v>10533</v>
      </c>
      <c r="D2118" s="4">
        <v>43190</v>
      </c>
      <c r="E2118" t="s">
        <v>415</v>
      </c>
      <c r="F2118" t="s">
        <v>7602</v>
      </c>
      <c r="G2118">
        <v>2590</v>
      </c>
      <c r="H2118">
        <v>0.04</v>
      </c>
      <c r="I2118">
        <v>3.51</v>
      </c>
      <c r="J2118">
        <v>1.08</v>
      </c>
      <c r="K2118" t="s">
        <v>2115</v>
      </c>
      <c r="L2118">
        <v>1.2</v>
      </c>
      <c r="M2118" t="s">
        <v>10534</v>
      </c>
      <c r="N2118" t="s">
        <v>8630</v>
      </c>
      <c r="O2118" t="s">
        <v>10534</v>
      </c>
      <c r="P2118" t="s">
        <v>10535</v>
      </c>
      <c r="Q2118">
        <v>6.43</v>
      </c>
      <c r="R2118" t="s">
        <v>217</v>
      </c>
      <c r="S2118">
        <v>1.1200000000000001</v>
      </c>
      <c r="T2118">
        <v>34.700000000000003</v>
      </c>
      <c r="U2118" t="s">
        <v>919</v>
      </c>
      <c r="V2118" t="s">
        <v>2380</v>
      </c>
      <c r="W2118" t="s">
        <v>6931</v>
      </c>
      <c r="X2118">
        <v>1.08</v>
      </c>
      <c r="Y2118" t="s">
        <v>486</v>
      </c>
      <c r="Z2118" t="s">
        <v>1511</v>
      </c>
      <c r="AA2118" t="s">
        <v>8993</v>
      </c>
      <c r="AB2118">
        <v>4.8</v>
      </c>
      <c r="AC2118" t="s">
        <v>4306</v>
      </c>
      <c r="AD2118">
        <v>72.31</v>
      </c>
      <c r="AE2118" t="s">
        <v>145</v>
      </c>
      <c r="AF2118">
        <v>1.23</v>
      </c>
      <c r="AG2118">
        <v>0</v>
      </c>
      <c r="AH2118">
        <v>0</v>
      </c>
      <c r="AI2118" s="4">
        <v>42696</v>
      </c>
    </row>
    <row r="2119" spans="1:35">
      <c r="A2119">
        <v>2118</v>
      </c>
      <c r="B2119" t="str">
        <f>"300242"</f>
        <v>300242</v>
      </c>
      <c r="C2119" t="s">
        <v>10536</v>
      </c>
      <c r="D2119" s="4">
        <v>43190</v>
      </c>
      <c r="E2119" t="s">
        <v>2295</v>
      </c>
      <c r="F2119" t="s">
        <v>1012</v>
      </c>
      <c r="G2119" t="s">
        <v>2597</v>
      </c>
      <c r="H2119">
        <v>0.04</v>
      </c>
      <c r="I2119">
        <v>3.63</v>
      </c>
      <c r="J2119">
        <v>1.08</v>
      </c>
      <c r="K2119" t="s">
        <v>3740</v>
      </c>
      <c r="L2119">
        <v>34.229999999999997</v>
      </c>
      <c r="M2119" t="s">
        <v>8877</v>
      </c>
      <c r="N2119" t="s">
        <v>10537</v>
      </c>
      <c r="O2119" t="s">
        <v>10230</v>
      </c>
      <c r="P2119" t="s">
        <v>10538</v>
      </c>
      <c r="Q2119">
        <v>-61.86</v>
      </c>
      <c r="R2119" t="s">
        <v>4044</v>
      </c>
      <c r="S2119">
        <v>0.67</v>
      </c>
      <c r="T2119">
        <v>7.62</v>
      </c>
      <c r="U2119" t="s">
        <v>2283</v>
      </c>
      <c r="V2119" t="s">
        <v>298</v>
      </c>
      <c r="W2119" t="s">
        <v>9968</v>
      </c>
      <c r="X2119">
        <v>1.08</v>
      </c>
      <c r="Y2119" t="s">
        <v>1094</v>
      </c>
      <c r="Z2119" t="s">
        <v>895</v>
      </c>
      <c r="AA2119" t="s">
        <v>10539</v>
      </c>
      <c r="AB2119">
        <v>1.74</v>
      </c>
      <c r="AC2119" t="s">
        <v>1039</v>
      </c>
      <c r="AD2119">
        <v>69.760000000000005</v>
      </c>
      <c r="AE2119" t="s">
        <v>164</v>
      </c>
      <c r="AF2119">
        <v>1.97</v>
      </c>
      <c r="AG2119">
        <v>0</v>
      </c>
      <c r="AH2119">
        <v>0</v>
      </c>
      <c r="AI2119" s="4">
        <v>40736</v>
      </c>
    </row>
    <row r="2120" spans="1:35">
      <c r="A2120">
        <v>2119</v>
      </c>
      <c r="B2120" t="str">
        <f>"300086"</f>
        <v>300086</v>
      </c>
      <c r="C2120" t="s">
        <v>10540</v>
      </c>
      <c r="D2120" s="4">
        <v>43190</v>
      </c>
      <c r="E2120" t="s">
        <v>3321</v>
      </c>
      <c r="F2120" t="s">
        <v>346</v>
      </c>
      <c r="G2120" t="s">
        <v>2747</v>
      </c>
      <c r="H2120">
        <v>0.04</v>
      </c>
      <c r="I2120">
        <v>4.16</v>
      </c>
      <c r="J2120">
        <v>1.08</v>
      </c>
      <c r="K2120" t="s">
        <v>2603</v>
      </c>
      <c r="L2120">
        <v>10.88</v>
      </c>
      <c r="M2120" t="s">
        <v>10541</v>
      </c>
      <c r="N2120" t="s">
        <v>3684</v>
      </c>
      <c r="O2120" t="s">
        <v>10530</v>
      </c>
      <c r="P2120" t="s">
        <v>3110</v>
      </c>
      <c r="Q2120">
        <v>34.29</v>
      </c>
      <c r="R2120" t="s">
        <v>1733</v>
      </c>
      <c r="S2120">
        <v>0.59</v>
      </c>
      <c r="T2120">
        <v>44.66</v>
      </c>
      <c r="U2120" t="s">
        <v>243</v>
      </c>
      <c r="V2120" t="s">
        <v>1384</v>
      </c>
      <c r="W2120" t="s">
        <v>2551</v>
      </c>
      <c r="X2120">
        <v>1.08</v>
      </c>
      <c r="Y2120" t="s">
        <v>1621</v>
      </c>
      <c r="Z2120" t="s">
        <v>126</v>
      </c>
      <c r="AA2120" t="s">
        <v>4172</v>
      </c>
      <c r="AB2120">
        <v>2.4500000000000002</v>
      </c>
      <c r="AC2120" t="s">
        <v>516</v>
      </c>
      <c r="AD2120">
        <v>83.54</v>
      </c>
      <c r="AE2120" t="s">
        <v>323</v>
      </c>
      <c r="AF2120">
        <v>2.46</v>
      </c>
      <c r="AG2120">
        <v>0</v>
      </c>
      <c r="AH2120">
        <v>0</v>
      </c>
      <c r="AI2120" s="4">
        <v>40324</v>
      </c>
    </row>
    <row r="2121" spans="1:35">
      <c r="A2121">
        <v>2120</v>
      </c>
      <c r="B2121" t="str">
        <f>"002040"</f>
        <v>002040</v>
      </c>
      <c r="C2121" t="s">
        <v>10542</v>
      </c>
      <c r="D2121" s="4">
        <v>43190</v>
      </c>
      <c r="E2121" t="s">
        <v>1035</v>
      </c>
      <c r="F2121" t="s">
        <v>3297</v>
      </c>
      <c r="G2121">
        <v>9577</v>
      </c>
      <c r="H2121">
        <v>7.0000000000000007E-2</v>
      </c>
      <c r="I2121">
        <v>6.55</v>
      </c>
      <c r="J2121">
        <v>1.08</v>
      </c>
      <c r="K2121" t="s">
        <v>321</v>
      </c>
      <c r="L2121">
        <v>9.1999999999999993</v>
      </c>
      <c r="M2121" t="s">
        <v>9520</v>
      </c>
      <c r="N2121" t="s">
        <v>7186</v>
      </c>
      <c r="O2121" t="s">
        <v>10543</v>
      </c>
      <c r="P2121" t="s">
        <v>9911</v>
      </c>
      <c r="Q2121">
        <v>24.31</v>
      </c>
      <c r="R2121" t="s">
        <v>139</v>
      </c>
      <c r="S2121">
        <v>0.95</v>
      </c>
      <c r="T2121">
        <v>46.99</v>
      </c>
      <c r="U2121" t="s">
        <v>811</v>
      </c>
      <c r="V2121" t="s">
        <v>5203</v>
      </c>
      <c r="W2121" t="s">
        <v>865</v>
      </c>
      <c r="X2121">
        <v>1.08</v>
      </c>
      <c r="Y2121" t="s">
        <v>76</v>
      </c>
      <c r="Z2121" t="s">
        <v>359</v>
      </c>
      <c r="AA2121" t="s">
        <v>894</v>
      </c>
      <c r="AB2121">
        <v>1.43</v>
      </c>
      <c r="AC2121" t="s">
        <v>352</v>
      </c>
      <c r="AD2121">
        <v>52.04</v>
      </c>
      <c r="AE2121" t="s">
        <v>1052</v>
      </c>
      <c r="AF2121">
        <v>4.43</v>
      </c>
      <c r="AG2121">
        <v>0</v>
      </c>
      <c r="AH2121">
        <v>0</v>
      </c>
      <c r="AI2121" s="4">
        <v>38436</v>
      </c>
    </row>
    <row r="2122" spans="1:35">
      <c r="A2122">
        <v>2121</v>
      </c>
      <c r="B2122" t="str">
        <f>"603398"</f>
        <v>603398</v>
      </c>
      <c r="C2122" t="s">
        <v>10544</v>
      </c>
      <c r="D2122" s="4">
        <v>43190</v>
      </c>
      <c r="E2122" t="s">
        <v>1011</v>
      </c>
      <c r="F2122" t="s">
        <v>10545</v>
      </c>
      <c r="G2122">
        <v>3684</v>
      </c>
      <c r="H2122">
        <v>0.03</v>
      </c>
      <c r="I2122">
        <v>2.89</v>
      </c>
      <c r="J2122">
        <v>1.07</v>
      </c>
      <c r="K2122" t="s">
        <v>10546</v>
      </c>
      <c r="L2122">
        <v>2.38</v>
      </c>
      <c r="M2122" t="s">
        <v>8808</v>
      </c>
      <c r="N2122" t="s">
        <v>4328</v>
      </c>
      <c r="O2122" t="s">
        <v>8555</v>
      </c>
      <c r="P2122" t="s">
        <v>10547</v>
      </c>
      <c r="Q2122">
        <v>-41.37</v>
      </c>
      <c r="R2122" t="s">
        <v>1839</v>
      </c>
      <c r="S2122">
        <v>0.76</v>
      </c>
      <c r="T2122">
        <v>30.46</v>
      </c>
      <c r="U2122" t="s">
        <v>615</v>
      </c>
      <c r="V2122" t="s">
        <v>3376</v>
      </c>
      <c r="W2122" t="s">
        <v>470</v>
      </c>
      <c r="X2122">
        <v>1.07</v>
      </c>
      <c r="Y2122" t="s">
        <v>10548</v>
      </c>
      <c r="Z2122" t="s">
        <v>10549</v>
      </c>
      <c r="AA2122" t="s">
        <v>7944</v>
      </c>
      <c r="AB2122">
        <v>5.15</v>
      </c>
      <c r="AC2122" t="s">
        <v>1779</v>
      </c>
      <c r="AD2122">
        <v>88.07</v>
      </c>
      <c r="AE2122" t="s">
        <v>1004</v>
      </c>
      <c r="AF2122">
        <v>1.03</v>
      </c>
      <c r="AG2122">
        <v>0</v>
      </c>
      <c r="AH2122">
        <v>0</v>
      </c>
      <c r="AI2122" s="4">
        <v>42347</v>
      </c>
    </row>
    <row r="2123" spans="1:35">
      <c r="A2123">
        <v>2122</v>
      </c>
      <c r="B2123" t="str">
        <f>"601007"</f>
        <v>601007</v>
      </c>
      <c r="C2123" t="s">
        <v>10550</v>
      </c>
      <c r="D2123" s="4">
        <v>43190</v>
      </c>
      <c r="E2123" t="s">
        <v>120</v>
      </c>
      <c r="F2123" t="s">
        <v>120</v>
      </c>
      <c r="G2123" t="s">
        <v>606</v>
      </c>
      <c r="H2123">
        <v>0.05</v>
      </c>
      <c r="I2123">
        <v>4.7</v>
      </c>
      <c r="J2123">
        <v>1.07</v>
      </c>
      <c r="K2123" t="s">
        <v>122</v>
      </c>
      <c r="L2123">
        <v>20.94</v>
      </c>
      <c r="M2123" t="s">
        <v>10551</v>
      </c>
      <c r="N2123" t="s">
        <v>2650</v>
      </c>
      <c r="O2123" t="s">
        <v>10552</v>
      </c>
      <c r="P2123" t="s">
        <v>5581</v>
      </c>
      <c r="Q2123">
        <v>72.180000000000007</v>
      </c>
      <c r="R2123" t="s">
        <v>3293</v>
      </c>
      <c r="S2123">
        <v>2.0299999999999998</v>
      </c>
      <c r="T2123">
        <v>60.31</v>
      </c>
      <c r="U2123" t="s">
        <v>1161</v>
      </c>
      <c r="V2123" t="s">
        <v>1852</v>
      </c>
      <c r="W2123" t="s">
        <v>840</v>
      </c>
      <c r="X2123">
        <v>1.07</v>
      </c>
      <c r="Y2123" t="s">
        <v>519</v>
      </c>
      <c r="Z2123" t="s">
        <v>1006</v>
      </c>
      <c r="AA2123" t="s">
        <v>2468</v>
      </c>
      <c r="AB2123">
        <v>2.19</v>
      </c>
      <c r="AC2123" t="s">
        <v>141</v>
      </c>
      <c r="AD2123">
        <v>48.83</v>
      </c>
      <c r="AE2123" t="s">
        <v>78</v>
      </c>
      <c r="AF2123">
        <v>1.35</v>
      </c>
      <c r="AG2123">
        <v>0</v>
      </c>
      <c r="AH2123">
        <v>0</v>
      </c>
      <c r="AI2123" s="4">
        <v>39178</v>
      </c>
    </row>
    <row r="2124" spans="1:35">
      <c r="A2124">
        <v>2123</v>
      </c>
      <c r="B2124" t="str">
        <f>"300118"</f>
        <v>300118</v>
      </c>
      <c r="C2124" t="s">
        <v>10553</v>
      </c>
      <c r="D2124" s="4">
        <v>43190</v>
      </c>
      <c r="E2124" t="s">
        <v>3494</v>
      </c>
      <c r="F2124" t="s">
        <v>741</v>
      </c>
      <c r="G2124" t="s">
        <v>1122</v>
      </c>
      <c r="H2124">
        <v>0.09</v>
      </c>
      <c r="I2124">
        <v>8.3000000000000007</v>
      </c>
      <c r="J2124">
        <v>1.07</v>
      </c>
      <c r="K2124" t="s">
        <v>877</v>
      </c>
      <c r="L2124">
        <v>25.87</v>
      </c>
      <c r="M2124" t="s">
        <v>10554</v>
      </c>
      <c r="N2124" t="s">
        <v>10555</v>
      </c>
      <c r="O2124" t="s">
        <v>3985</v>
      </c>
      <c r="P2124" t="s">
        <v>10556</v>
      </c>
      <c r="Q2124">
        <v>3.86</v>
      </c>
      <c r="R2124" t="s">
        <v>173</v>
      </c>
      <c r="S2124">
        <v>1.57</v>
      </c>
      <c r="T2124">
        <v>14.56</v>
      </c>
      <c r="U2124" t="s">
        <v>1278</v>
      </c>
      <c r="V2124" t="s">
        <v>3449</v>
      </c>
      <c r="W2124" t="s">
        <v>588</v>
      </c>
      <c r="X2124">
        <v>1.07</v>
      </c>
      <c r="Y2124" t="s">
        <v>4718</v>
      </c>
      <c r="Z2124" t="s">
        <v>1293</v>
      </c>
      <c r="AA2124" t="s">
        <v>263</v>
      </c>
      <c r="AB2124">
        <v>1.3</v>
      </c>
      <c r="AC2124" t="s">
        <v>2701</v>
      </c>
      <c r="AD2124">
        <v>43.42</v>
      </c>
      <c r="AE2124" t="s">
        <v>1327</v>
      </c>
      <c r="AF2124">
        <v>5.64</v>
      </c>
      <c r="AG2124">
        <v>0</v>
      </c>
      <c r="AH2124">
        <v>0</v>
      </c>
      <c r="AI2124" s="4">
        <v>40423</v>
      </c>
    </row>
    <row r="2125" spans="1:35">
      <c r="A2125">
        <v>2124</v>
      </c>
      <c r="B2125" t="str">
        <f>"300103"</f>
        <v>300103</v>
      </c>
      <c r="C2125" t="s">
        <v>10557</v>
      </c>
      <c r="D2125" s="4">
        <v>43190</v>
      </c>
      <c r="E2125" t="s">
        <v>1530</v>
      </c>
      <c r="F2125" t="s">
        <v>1905</v>
      </c>
      <c r="G2125" t="s">
        <v>5706</v>
      </c>
      <c r="H2125">
        <v>0.03</v>
      </c>
      <c r="I2125">
        <v>2.82</v>
      </c>
      <c r="J2125">
        <v>1.07</v>
      </c>
      <c r="K2125" t="s">
        <v>3435</v>
      </c>
      <c r="L2125">
        <v>30.11</v>
      </c>
      <c r="M2125" t="s">
        <v>10558</v>
      </c>
      <c r="N2125" t="s">
        <v>6712</v>
      </c>
      <c r="O2125" t="s">
        <v>10558</v>
      </c>
      <c r="P2125" t="s">
        <v>9637</v>
      </c>
      <c r="Q2125">
        <v>66.27</v>
      </c>
      <c r="R2125" t="s">
        <v>167</v>
      </c>
      <c r="S2125">
        <v>1</v>
      </c>
      <c r="T2125">
        <v>21.49</v>
      </c>
      <c r="U2125" t="s">
        <v>919</v>
      </c>
      <c r="V2125" t="s">
        <v>1917</v>
      </c>
      <c r="W2125" t="s">
        <v>804</v>
      </c>
      <c r="X2125">
        <v>1.07</v>
      </c>
      <c r="Y2125" t="s">
        <v>84</v>
      </c>
      <c r="Z2125" t="s">
        <v>1370</v>
      </c>
      <c r="AA2125" t="s">
        <v>10559</v>
      </c>
      <c r="AB2125">
        <v>2.92</v>
      </c>
      <c r="AC2125" t="s">
        <v>724</v>
      </c>
      <c r="AD2125">
        <v>86.45</v>
      </c>
      <c r="AE2125" t="s">
        <v>301</v>
      </c>
      <c r="AF2125">
        <v>0.67</v>
      </c>
      <c r="AG2125">
        <v>0</v>
      </c>
      <c r="AH2125">
        <v>0</v>
      </c>
      <c r="AI2125" s="4">
        <v>40402</v>
      </c>
    </row>
    <row r="2126" spans="1:35">
      <c r="A2126">
        <v>2125</v>
      </c>
      <c r="B2126" t="str">
        <f>"300069"</f>
        <v>300069</v>
      </c>
      <c r="C2126" t="s">
        <v>10560</v>
      </c>
      <c r="D2126" s="4">
        <v>43190</v>
      </c>
      <c r="E2126" t="s">
        <v>642</v>
      </c>
      <c r="F2126" t="s">
        <v>1562</v>
      </c>
      <c r="G2126" t="s">
        <v>8879</v>
      </c>
      <c r="H2126">
        <v>0.05</v>
      </c>
      <c r="I2126">
        <v>4.54</v>
      </c>
      <c r="J2126">
        <v>1.07</v>
      </c>
      <c r="K2126" t="s">
        <v>9809</v>
      </c>
      <c r="L2126">
        <v>-9.1300000000000008</v>
      </c>
      <c r="M2126" t="s">
        <v>10225</v>
      </c>
      <c r="N2126" t="s">
        <v>10561</v>
      </c>
      <c r="O2126" t="s">
        <v>10225</v>
      </c>
      <c r="P2126" t="s">
        <v>8888</v>
      </c>
      <c r="Q2126">
        <v>-15.6</v>
      </c>
      <c r="R2126" t="s">
        <v>595</v>
      </c>
      <c r="S2126">
        <v>1.1399999999999999</v>
      </c>
      <c r="T2126">
        <v>41.45</v>
      </c>
      <c r="U2126" t="s">
        <v>782</v>
      </c>
      <c r="V2126" t="s">
        <v>153</v>
      </c>
      <c r="W2126" t="s">
        <v>618</v>
      </c>
      <c r="X2126">
        <v>1.07</v>
      </c>
      <c r="Y2126" t="s">
        <v>2774</v>
      </c>
      <c r="Z2126" t="s">
        <v>1666</v>
      </c>
      <c r="AA2126" t="s">
        <v>10562</v>
      </c>
      <c r="AB2126">
        <v>2.5299999999999998</v>
      </c>
      <c r="AC2126" t="s">
        <v>68</v>
      </c>
      <c r="AD2126">
        <v>64.97</v>
      </c>
      <c r="AE2126" t="s">
        <v>492</v>
      </c>
      <c r="AF2126">
        <v>2.23</v>
      </c>
      <c r="AG2126">
        <v>0</v>
      </c>
      <c r="AH2126">
        <v>0</v>
      </c>
      <c r="AI2126" s="4">
        <v>40289</v>
      </c>
    </row>
    <row r="2127" spans="1:35">
      <c r="A2127">
        <v>2126</v>
      </c>
      <c r="B2127" t="str">
        <f>"002698"</f>
        <v>002698</v>
      </c>
      <c r="C2127" t="s">
        <v>10563</v>
      </c>
      <c r="D2127" s="4">
        <v>43190</v>
      </c>
      <c r="E2127" t="s">
        <v>453</v>
      </c>
      <c r="F2127" t="s">
        <v>68</v>
      </c>
      <c r="G2127" t="s">
        <v>6893</v>
      </c>
      <c r="H2127">
        <v>0.03</v>
      </c>
      <c r="I2127">
        <v>2.78</v>
      </c>
      <c r="J2127">
        <v>1.07</v>
      </c>
      <c r="K2127" t="s">
        <v>1457</v>
      </c>
      <c r="L2127">
        <v>36.44</v>
      </c>
      <c r="M2127" t="s">
        <v>8343</v>
      </c>
      <c r="N2127" t="s">
        <v>10564</v>
      </c>
      <c r="O2127" t="s">
        <v>6808</v>
      </c>
      <c r="P2127" t="s">
        <v>1393</v>
      </c>
      <c r="Q2127">
        <v>39.46</v>
      </c>
      <c r="R2127" t="s">
        <v>3494</v>
      </c>
      <c r="S2127">
        <v>1.25</v>
      </c>
      <c r="T2127">
        <v>35.659999999999997</v>
      </c>
      <c r="U2127" t="s">
        <v>1700</v>
      </c>
      <c r="V2127" t="s">
        <v>876</v>
      </c>
      <c r="W2127" t="s">
        <v>844</v>
      </c>
      <c r="X2127">
        <v>1.07</v>
      </c>
      <c r="Y2127" t="s">
        <v>4306</v>
      </c>
      <c r="Z2127" t="s">
        <v>5080</v>
      </c>
      <c r="AA2127" t="s">
        <v>1830</v>
      </c>
      <c r="AB2127">
        <v>3.1</v>
      </c>
      <c r="AC2127" t="s">
        <v>275</v>
      </c>
      <c r="AD2127">
        <v>70.12</v>
      </c>
      <c r="AE2127" t="s">
        <v>262</v>
      </c>
      <c r="AF2127">
        <v>0.33</v>
      </c>
      <c r="AG2127">
        <v>0</v>
      </c>
      <c r="AH2127">
        <v>0</v>
      </c>
      <c r="AI2127" s="4">
        <v>41163</v>
      </c>
    </row>
    <row r="2128" spans="1:35">
      <c r="A2128">
        <v>2127</v>
      </c>
      <c r="B2128" t="str">
        <f>"002509"</f>
        <v>002509</v>
      </c>
      <c r="C2128" t="s">
        <v>10565</v>
      </c>
      <c r="D2128" s="4">
        <v>43190</v>
      </c>
      <c r="E2128" t="s">
        <v>1294</v>
      </c>
      <c r="F2128" t="s">
        <v>1052</v>
      </c>
      <c r="G2128" t="s">
        <v>10566</v>
      </c>
      <c r="H2128">
        <v>0.02</v>
      </c>
      <c r="I2128">
        <v>2.0499999999999998</v>
      </c>
      <c r="J2128">
        <v>1.07</v>
      </c>
      <c r="K2128" t="s">
        <v>1235</v>
      </c>
      <c r="L2128">
        <v>6.49</v>
      </c>
      <c r="M2128" t="s">
        <v>10567</v>
      </c>
      <c r="N2128" t="s">
        <v>6297</v>
      </c>
      <c r="O2128" t="s">
        <v>7741</v>
      </c>
      <c r="P2128" t="s">
        <v>10568</v>
      </c>
      <c r="Q2128">
        <v>0.28000000000000003</v>
      </c>
      <c r="R2128" t="s">
        <v>1307</v>
      </c>
      <c r="S2128">
        <v>0.53</v>
      </c>
      <c r="T2128">
        <v>33.69</v>
      </c>
      <c r="U2128" t="s">
        <v>4136</v>
      </c>
      <c r="V2128" t="s">
        <v>5646</v>
      </c>
      <c r="W2128" t="s">
        <v>649</v>
      </c>
      <c r="X2128">
        <v>1.07</v>
      </c>
      <c r="Y2128" t="s">
        <v>431</v>
      </c>
      <c r="Z2128" t="s">
        <v>316</v>
      </c>
      <c r="AA2128" t="s">
        <v>300</v>
      </c>
      <c r="AB2128">
        <v>1.38</v>
      </c>
      <c r="AC2128" t="s">
        <v>3217</v>
      </c>
      <c r="AD2128">
        <v>58.64</v>
      </c>
      <c r="AE2128" t="s">
        <v>982</v>
      </c>
      <c r="AF2128">
        <v>0.49</v>
      </c>
      <c r="AG2128">
        <v>0</v>
      </c>
      <c r="AH2128">
        <v>0</v>
      </c>
      <c r="AI2128" s="4">
        <v>40505</v>
      </c>
    </row>
    <row r="2129" spans="1:35">
      <c r="A2129">
        <v>2128</v>
      </c>
      <c r="B2129" t="str">
        <f>"000719"</f>
        <v>000719</v>
      </c>
      <c r="C2129" t="s">
        <v>10569</v>
      </c>
      <c r="D2129" s="4">
        <v>43190</v>
      </c>
      <c r="E2129" t="s">
        <v>1496</v>
      </c>
      <c r="F2129" t="s">
        <v>1117</v>
      </c>
      <c r="G2129" t="s">
        <v>8811</v>
      </c>
      <c r="H2129">
        <v>0.08</v>
      </c>
      <c r="I2129">
        <v>6.92</v>
      </c>
      <c r="J2129">
        <v>1.07</v>
      </c>
      <c r="K2129" t="s">
        <v>983</v>
      </c>
      <c r="L2129">
        <v>2.02</v>
      </c>
      <c r="M2129" t="s">
        <v>10570</v>
      </c>
      <c r="N2129" t="s">
        <v>3249</v>
      </c>
      <c r="O2129" t="s">
        <v>4917</v>
      </c>
      <c r="P2129" t="s">
        <v>4780</v>
      </c>
      <c r="Q2129">
        <v>-14.56</v>
      </c>
      <c r="R2129" t="s">
        <v>818</v>
      </c>
      <c r="S2129">
        <v>3.03</v>
      </c>
      <c r="T2129">
        <v>29.02</v>
      </c>
      <c r="U2129" t="s">
        <v>689</v>
      </c>
      <c r="V2129" t="s">
        <v>4997</v>
      </c>
      <c r="W2129" t="s">
        <v>162</v>
      </c>
      <c r="X2129">
        <v>1.07</v>
      </c>
      <c r="Y2129" t="s">
        <v>1583</v>
      </c>
      <c r="Z2129" t="s">
        <v>2093</v>
      </c>
      <c r="AA2129" t="s">
        <v>792</v>
      </c>
      <c r="AB2129">
        <v>0.92</v>
      </c>
      <c r="AC2129" t="s">
        <v>8103</v>
      </c>
      <c r="AD2129">
        <v>63.3</v>
      </c>
      <c r="AE2129" t="s">
        <v>239</v>
      </c>
      <c r="AF2129">
        <v>2.69</v>
      </c>
      <c r="AG2129">
        <v>0</v>
      </c>
      <c r="AH2129">
        <v>0</v>
      </c>
      <c r="AI2129" s="4">
        <v>35520</v>
      </c>
    </row>
    <row r="2130" spans="1:35">
      <c r="A2130">
        <v>2129</v>
      </c>
      <c r="B2130" t="str">
        <f>"000635"</f>
        <v>000635</v>
      </c>
      <c r="C2130" t="s">
        <v>10571</v>
      </c>
      <c r="D2130" s="4">
        <v>43190</v>
      </c>
      <c r="E2130" t="s">
        <v>1791</v>
      </c>
      <c r="F2130" t="s">
        <v>1791</v>
      </c>
      <c r="G2130" t="s">
        <v>2125</v>
      </c>
      <c r="H2130">
        <v>0.12</v>
      </c>
      <c r="I2130">
        <v>9.9700000000000006</v>
      </c>
      <c r="J2130">
        <v>1.07</v>
      </c>
      <c r="K2130" t="s">
        <v>150</v>
      </c>
      <c r="L2130">
        <v>-18.27</v>
      </c>
      <c r="M2130" t="s">
        <v>10572</v>
      </c>
      <c r="N2130" t="s">
        <v>5136</v>
      </c>
      <c r="O2130" t="s">
        <v>10573</v>
      </c>
      <c r="P2130" t="s">
        <v>2127</v>
      </c>
      <c r="Q2130">
        <v>-26.38</v>
      </c>
      <c r="R2130" t="s">
        <v>2149</v>
      </c>
      <c r="S2130">
        <v>2.41</v>
      </c>
      <c r="T2130">
        <v>20.010000000000002</v>
      </c>
      <c r="U2130" t="s">
        <v>1174</v>
      </c>
      <c r="V2130" t="s">
        <v>141</v>
      </c>
      <c r="W2130" t="s">
        <v>891</v>
      </c>
      <c r="X2130">
        <v>1.07</v>
      </c>
      <c r="Y2130" t="s">
        <v>2685</v>
      </c>
      <c r="Z2130" t="s">
        <v>645</v>
      </c>
      <c r="AA2130" t="s">
        <v>10074</v>
      </c>
      <c r="AB2130">
        <v>0.94</v>
      </c>
      <c r="AC2130" t="s">
        <v>386</v>
      </c>
      <c r="AD2130">
        <v>86.38</v>
      </c>
      <c r="AE2130" t="s">
        <v>187</v>
      </c>
      <c r="AF2130">
        <v>6.2</v>
      </c>
      <c r="AG2130">
        <v>0</v>
      </c>
      <c r="AH2130">
        <v>0</v>
      </c>
      <c r="AI2130" s="4">
        <v>35389</v>
      </c>
    </row>
    <row r="2131" spans="1:35">
      <c r="A2131">
        <v>2130</v>
      </c>
      <c r="B2131" t="str">
        <f>"600640"</f>
        <v>600640</v>
      </c>
      <c r="C2131" t="s">
        <v>10574</v>
      </c>
      <c r="D2131" s="4">
        <v>43190</v>
      </c>
      <c r="E2131" t="s">
        <v>327</v>
      </c>
      <c r="F2131" t="s">
        <v>107</v>
      </c>
      <c r="G2131" t="s">
        <v>1131</v>
      </c>
      <c r="H2131">
        <v>0.06</v>
      </c>
      <c r="I2131">
        <v>5.45</v>
      </c>
      <c r="J2131">
        <v>1.06</v>
      </c>
      <c r="K2131" t="s">
        <v>1561</v>
      </c>
      <c r="L2131">
        <v>-33.590000000000003</v>
      </c>
      <c r="M2131" t="s">
        <v>10575</v>
      </c>
      <c r="N2131" t="s">
        <v>10576</v>
      </c>
      <c r="O2131" t="s">
        <v>7421</v>
      </c>
      <c r="P2131" t="s">
        <v>6520</v>
      </c>
      <c r="Q2131">
        <v>-26.45</v>
      </c>
      <c r="R2131" t="s">
        <v>5061</v>
      </c>
      <c r="S2131">
        <v>1.1599999999999999</v>
      </c>
      <c r="T2131">
        <v>29.26</v>
      </c>
      <c r="U2131" t="s">
        <v>6368</v>
      </c>
      <c r="V2131" t="s">
        <v>1925</v>
      </c>
      <c r="W2131" t="s">
        <v>2621</v>
      </c>
      <c r="X2131">
        <v>1.06</v>
      </c>
      <c r="Y2131" t="s">
        <v>124</v>
      </c>
      <c r="Z2131" t="s">
        <v>840</v>
      </c>
      <c r="AA2131" t="s">
        <v>4585</v>
      </c>
      <c r="AB2131">
        <v>1.87</v>
      </c>
      <c r="AC2131" t="s">
        <v>528</v>
      </c>
      <c r="AD2131">
        <v>70</v>
      </c>
      <c r="AE2131" t="s">
        <v>1704</v>
      </c>
      <c r="AF2131">
        <v>3</v>
      </c>
      <c r="AG2131">
        <v>0</v>
      </c>
      <c r="AH2131">
        <v>0</v>
      </c>
      <c r="AI2131" s="4">
        <v>34066</v>
      </c>
    </row>
    <row r="2132" spans="1:35">
      <c r="A2132">
        <v>2131</v>
      </c>
      <c r="B2132" t="str">
        <f>"600891"</f>
        <v>600891</v>
      </c>
      <c r="C2132" t="s">
        <v>10577</v>
      </c>
      <c r="D2132" s="4">
        <v>43190</v>
      </c>
      <c r="E2132" t="s">
        <v>2996</v>
      </c>
      <c r="F2132" t="s">
        <v>479</v>
      </c>
      <c r="G2132" t="s">
        <v>2449</v>
      </c>
      <c r="H2132">
        <v>0.05</v>
      </c>
      <c r="I2132">
        <v>4.96</v>
      </c>
      <c r="J2132">
        <v>1.06</v>
      </c>
      <c r="K2132" t="s">
        <v>1546</v>
      </c>
      <c r="L2132">
        <v>122.61</v>
      </c>
      <c r="M2132" t="s">
        <v>4925</v>
      </c>
      <c r="N2132" t="s">
        <v>4484</v>
      </c>
      <c r="O2132" t="s">
        <v>10578</v>
      </c>
      <c r="P2132" t="s">
        <v>10579</v>
      </c>
      <c r="Q2132">
        <v>-41.51</v>
      </c>
      <c r="R2132" t="s">
        <v>2444</v>
      </c>
      <c r="S2132">
        <v>1.38</v>
      </c>
      <c r="T2132">
        <v>3.72</v>
      </c>
      <c r="U2132" t="s">
        <v>1177</v>
      </c>
      <c r="V2132" t="s">
        <v>2092</v>
      </c>
      <c r="W2132" t="s">
        <v>37</v>
      </c>
      <c r="X2132">
        <v>1.06</v>
      </c>
      <c r="Y2132" t="s">
        <v>1347</v>
      </c>
      <c r="Z2132" t="s">
        <v>971</v>
      </c>
      <c r="AA2132" t="s">
        <v>973</v>
      </c>
      <c r="AB2132">
        <v>1.05</v>
      </c>
      <c r="AC2132" t="s">
        <v>1515</v>
      </c>
      <c r="AD2132">
        <v>54.69</v>
      </c>
      <c r="AE2132" t="s">
        <v>855</v>
      </c>
      <c r="AF2132">
        <v>2.4300000000000002</v>
      </c>
      <c r="AG2132">
        <v>0</v>
      </c>
      <c r="AH2132">
        <v>0</v>
      </c>
      <c r="AI2132" s="4">
        <v>35149</v>
      </c>
    </row>
    <row r="2133" spans="1:35">
      <c r="A2133">
        <v>2132</v>
      </c>
      <c r="B2133" t="str">
        <f>"600589"</f>
        <v>600589</v>
      </c>
      <c r="C2133" t="s">
        <v>10580</v>
      </c>
      <c r="D2133" s="4">
        <v>43190</v>
      </c>
      <c r="E2133" t="s">
        <v>3281</v>
      </c>
      <c r="F2133" t="s">
        <v>1730</v>
      </c>
      <c r="G2133" t="s">
        <v>5531</v>
      </c>
      <c r="H2133">
        <v>0.05</v>
      </c>
      <c r="I2133">
        <v>4.4000000000000004</v>
      </c>
      <c r="J2133">
        <v>1.06</v>
      </c>
      <c r="K2133" t="s">
        <v>1028</v>
      </c>
      <c r="L2133">
        <v>14.42</v>
      </c>
      <c r="M2133" t="s">
        <v>7687</v>
      </c>
      <c r="N2133" t="s">
        <v>6759</v>
      </c>
      <c r="O2133" t="s">
        <v>7687</v>
      </c>
      <c r="P2133" t="s">
        <v>8795</v>
      </c>
      <c r="Q2133">
        <v>12.28</v>
      </c>
      <c r="R2133" t="s">
        <v>3839</v>
      </c>
      <c r="S2133">
        <v>1.36</v>
      </c>
      <c r="T2133">
        <v>24.13</v>
      </c>
      <c r="U2133" t="s">
        <v>6062</v>
      </c>
      <c r="V2133" t="s">
        <v>774</v>
      </c>
      <c r="W2133" t="s">
        <v>2593</v>
      </c>
      <c r="X2133">
        <v>1.06</v>
      </c>
      <c r="Y2133" t="s">
        <v>1843</v>
      </c>
      <c r="Z2133" t="s">
        <v>1343</v>
      </c>
      <c r="AA2133" t="s">
        <v>205</v>
      </c>
      <c r="AB2133">
        <v>0.99</v>
      </c>
      <c r="AC2133" t="s">
        <v>2057</v>
      </c>
      <c r="AD2133">
        <v>60.26</v>
      </c>
      <c r="AE2133" t="s">
        <v>1025</v>
      </c>
      <c r="AF2133">
        <v>1.84</v>
      </c>
      <c r="AG2133">
        <v>0</v>
      </c>
      <c r="AH2133">
        <v>0</v>
      </c>
      <c r="AI2133" s="4">
        <v>37054</v>
      </c>
    </row>
    <row r="2134" spans="1:35">
      <c r="A2134">
        <v>2133</v>
      </c>
      <c r="B2134" t="str">
        <f>"300390"</f>
        <v>300390</v>
      </c>
      <c r="C2134" t="s">
        <v>10581</v>
      </c>
      <c r="D2134" s="4">
        <v>43190</v>
      </c>
      <c r="E2134" t="s">
        <v>1594</v>
      </c>
      <c r="F2134" t="s">
        <v>748</v>
      </c>
      <c r="G2134">
        <v>5773</v>
      </c>
      <c r="H2134">
        <v>0.02</v>
      </c>
      <c r="I2134">
        <v>2.4</v>
      </c>
      <c r="J2134">
        <v>1.06</v>
      </c>
      <c r="K2134" t="s">
        <v>2069</v>
      </c>
      <c r="L2134">
        <v>5.96</v>
      </c>
      <c r="M2134" t="s">
        <v>9096</v>
      </c>
      <c r="N2134" t="s">
        <v>10582</v>
      </c>
      <c r="O2134" t="s">
        <v>9084</v>
      </c>
      <c r="P2134" t="s">
        <v>8368</v>
      </c>
      <c r="Q2134">
        <v>13.28</v>
      </c>
      <c r="R2134" t="s">
        <v>1624</v>
      </c>
      <c r="S2134">
        <v>0.54</v>
      </c>
      <c r="T2134">
        <v>24.27</v>
      </c>
      <c r="U2134" t="s">
        <v>895</v>
      </c>
      <c r="V2134" t="s">
        <v>806</v>
      </c>
      <c r="W2134" t="s">
        <v>726</v>
      </c>
      <c r="X2134">
        <v>1.06</v>
      </c>
      <c r="Y2134" t="s">
        <v>2034</v>
      </c>
      <c r="Z2134" t="s">
        <v>1724</v>
      </c>
      <c r="AA2134" t="s">
        <v>3882</v>
      </c>
      <c r="AB2134">
        <v>3.39</v>
      </c>
      <c r="AC2134" t="s">
        <v>1047</v>
      </c>
      <c r="AD2134">
        <v>83.48</v>
      </c>
      <c r="AE2134" t="s">
        <v>234</v>
      </c>
      <c r="AF2134">
        <v>0.81</v>
      </c>
      <c r="AG2134">
        <v>0</v>
      </c>
      <c r="AH2134">
        <v>0</v>
      </c>
      <c r="AI2134" s="4">
        <v>41851</v>
      </c>
    </row>
    <row r="2135" spans="1:35">
      <c r="A2135">
        <v>2134</v>
      </c>
      <c r="B2135" t="str">
        <f>"300339"</f>
        <v>300339</v>
      </c>
      <c r="C2135" t="s">
        <v>10583</v>
      </c>
      <c r="D2135" s="4">
        <v>43190</v>
      </c>
      <c r="E2135" t="s">
        <v>327</v>
      </c>
      <c r="F2135" t="s">
        <v>1731</v>
      </c>
      <c r="G2135" t="s">
        <v>3761</v>
      </c>
      <c r="H2135">
        <v>0.06</v>
      </c>
      <c r="I2135">
        <v>5.62</v>
      </c>
      <c r="J2135">
        <v>1.06</v>
      </c>
      <c r="K2135" t="s">
        <v>3238</v>
      </c>
      <c r="L2135">
        <v>65.88</v>
      </c>
      <c r="M2135" t="s">
        <v>10584</v>
      </c>
      <c r="N2135" t="s">
        <v>10585</v>
      </c>
      <c r="O2135" t="s">
        <v>10586</v>
      </c>
      <c r="P2135" t="s">
        <v>10587</v>
      </c>
      <c r="Q2135">
        <v>21.99</v>
      </c>
      <c r="R2135" t="s">
        <v>3557</v>
      </c>
      <c r="S2135">
        <v>0.97</v>
      </c>
      <c r="T2135">
        <v>27.87</v>
      </c>
      <c r="U2135" t="s">
        <v>1442</v>
      </c>
      <c r="V2135" t="s">
        <v>1542</v>
      </c>
      <c r="W2135" t="s">
        <v>2063</v>
      </c>
      <c r="X2135">
        <v>1.06</v>
      </c>
      <c r="Y2135" t="s">
        <v>1343</v>
      </c>
      <c r="Z2135" t="s">
        <v>1025</v>
      </c>
      <c r="AA2135" t="s">
        <v>645</v>
      </c>
      <c r="AB2135">
        <v>1.8</v>
      </c>
      <c r="AC2135" t="s">
        <v>1660</v>
      </c>
      <c r="AD2135">
        <v>72.25</v>
      </c>
      <c r="AE2135" t="s">
        <v>1542</v>
      </c>
      <c r="AF2135">
        <v>3.6</v>
      </c>
      <c r="AG2135">
        <v>0</v>
      </c>
      <c r="AH2135">
        <v>0</v>
      </c>
      <c r="AI2135" s="4">
        <v>41108</v>
      </c>
    </row>
    <row r="2136" spans="1:35">
      <c r="A2136">
        <v>2135</v>
      </c>
      <c r="B2136" t="str">
        <f>"300305"</f>
        <v>300305</v>
      </c>
      <c r="C2136" t="s">
        <v>10588</v>
      </c>
      <c r="D2136" s="4">
        <v>43190</v>
      </c>
      <c r="E2136" t="s">
        <v>486</v>
      </c>
      <c r="F2136" t="s">
        <v>985</v>
      </c>
      <c r="G2136" t="s">
        <v>294</v>
      </c>
      <c r="H2136">
        <v>0.05</v>
      </c>
      <c r="I2136">
        <v>4.9800000000000004</v>
      </c>
      <c r="J2136">
        <v>1.06</v>
      </c>
      <c r="K2136" t="s">
        <v>845</v>
      </c>
      <c r="L2136">
        <v>25.78</v>
      </c>
      <c r="M2136" t="s">
        <v>9621</v>
      </c>
      <c r="N2136" t="s">
        <v>9999</v>
      </c>
      <c r="O2136" t="s">
        <v>7565</v>
      </c>
      <c r="P2136" t="s">
        <v>5662</v>
      </c>
      <c r="Q2136">
        <v>28.22</v>
      </c>
      <c r="R2136" t="s">
        <v>4044</v>
      </c>
      <c r="S2136">
        <v>1.49</v>
      </c>
      <c r="T2136">
        <v>15.39</v>
      </c>
      <c r="U2136" t="s">
        <v>1367</v>
      </c>
      <c r="V2136" t="s">
        <v>625</v>
      </c>
      <c r="W2136" t="s">
        <v>1180</v>
      </c>
      <c r="X2136">
        <v>1.06</v>
      </c>
      <c r="Y2136" t="s">
        <v>209</v>
      </c>
      <c r="Z2136" t="s">
        <v>1119</v>
      </c>
      <c r="AA2136" t="s">
        <v>10589</v>
      </c>
      <c r="AB2136">
        <v>1.1499999999999999</v>
      </c>
      <c r="AC2136" t="s">
        <v>584</v>
      </c>
      <c r="AD2136">
        <v>92.29</v>
      </c>
      <c r="AE2136" t="s">
        <v>2739</v>
      </c>
      <c r="AF2136">
        <v>2.02</v>
      </c>
      <c r="AG2136">
        <v>0</v>
      </c>
      <c r="AH2136">
        <v>0</v>
      </c>
      <c r="AI2136" s="4">
        <v>40997</v>
      </c>
    </row>
    <row r="2137" spans="1:35">
      <c r="A2137">
        <v>2136</v>
      </c>
      <c r="B2137" t="str">
        <f>"300187"</f>
        <v>300187</v>
      </c>
      <c r="C2137" t="s">
        <v>10590</v>
      </c>
      <c r="D2137" s="4">
        <v>43190</v>
      </c>
      <c r="E2137" t="s">
        <v>690</v>
      </c>
      <c r="F2137" t="s">
        <v>1056</v>
      </c>
      <c r="G2137" t="s">
        <v>1261</v>
      </c>
      <c r="H2137">
        <v>0.03</v>
      </c>
      <c r="I2137">
        <v>2.5299999999999998</v>
      </c>
      <c r="J2137">
        <v>1.06</v>
      </c>
      <c r="K2137" t="s">
        <v>1724</v>
      </c>
      <c r="L2137">
        <v>-36.28</v>
      </c>
      <c r="M2137" t="s">
        <v>10591</v>
      </c>
      <c r="N2137" t="s">
        <v>1441</v>
      </c>
      <c r="O2137" t="s">
        <v>8508</v>
      </c>
      <c r="P2137" t="s">
        <v>3392</v>
      </c>
      <c r="Q2137">
        <v>8.51</v>
      </c>
      <c r="R2137" t="s">
        <v>633</v>
      </c>
      <c r="S2137">
        <v>0.86</v>
      </c>
      <c r="T2137">
        <v>30.95</v>
      </c>
      <c r="U2137" t="s">
        <v>1314</v>
      </c>
      <c r="V2137" t="s">
        <v>1255</v>
      </c>
      <c r="W2137" t="s">
        <v>265</v>
      </c>
      <c r="X2137">
        <v>1.06</v>
      </c>
      <c r="Y2137" t="s">
        <v>1752</v>
      </c>
      <c r="Z2137" t="s">
        <v>775</v>
      </c>
      <c r="AA2137" t="s">
        <v>337</v>
      </c>
      <c r="AB2137">
        <v>3.68</v>
      </c>
      <c r="AC2137" t="s">
        <v>76</v>
      </c>
      <c r="AD2137">
        <v>44.92</v>
      </c>
      <c r="AE2137" t="s">
        <v>2468</v>
      </c>
      <c r="AF2137">
        <v>0.61</v>
      </c>
      <c r="AG2137">
        <v>0</v>
      </c>
      <c r="AH2137">
        <v>0</v>
      </c>
      <c r="AI2137" s="4">
        <v>40610</v>
      </c>
    </row>
    <row r="2138" spans="1:35">
      <c r="A2138">
        <v>2137</v>
      </c>
      <c r="B2138" t="str">
        <f>"300082"</f>
        <v>300082</v>
      </c>
      <c r="C2138" t="s">
        <v>10592</v>
      </c>
      <c r="D2138" s="4">
        <v>43190</v>
      </c>
      <c r="E2138" t="s">
        <v>1238</v>
      </c>
      <c r="F2138" t="s">
        <v>2089</v>
      </c>
      <c r="G2138" t="s">
        <v>7203</v>
      </c>
      <c r="H2138">
        <v>0.04</v>
      </c>
      <c r="I2138">
        <v>4.12</v>
      </c>
      <c r="J2138">
        <v>1.06</v>
      </c>
      <c r="K2138" t="s">
        <v>405</v>
      </c>
      <c r="L2138">
        <v>19.04</v>
      </c>
      <c r="M2138" t="s">
        <v>6647</v>
      </c>
      <c r="N2138" t="s">
        <v>10593</v>
      </c>
      <c r="O2138" t="s">
        <v>3114</v>
      </c>
      <c r="P2138" t="s">
        <v>10594</v>
      </c>
      <c r="Q2138">
        <v>19.690000000000001</v>
      </c>
      <c r="R2138" t="s">
        <v>48</v>
      </c>
      <c r="S2138">
        <v>0.46</v>
      </c>
      <c r="T2138">
        <v>8.34</v>
      </c>
      <c r="U2138" t="s">
        <v>4683</v>
      </c>
      <c r="V2138" t="s">
        <v>583</v>
      </c>
      <c r="W2138" t="s">
        <v>119</v>
      </c>
      <c r="X2138">
        <v>1.06</v>
      </c>
      <c r="Y2138" t="s">
        <v>583</v>
      </c>
      <c r="Z2138" t="s">
        <v>981</v>
      </c>
      <c r="AA2138" t="s">
        <v>2112</v>
      </c>
      <c r="AB2138">
        <v>1.08</v>
      </c>
      <c r="AC2138" t="s">
        <v>589</v>
      </c>
      <c r="AD2138">
        <v>47.1</v>
      </c>
      <c r="AE2138" t="s">
        <v>79</v>
      </c>
      <c r="AF2138">
        <v>2.54</v>
      </c>
      <c r="AG2138">
        <v>0</v>
      </c>
      <c r="AH2138">
        <v>0</v>
      </c>
      <c r="AI2138" s="4">
        <v>40318</v>
      </c>
    </row>
    <row r="2139" spans="1:35">
      <c r="A2139">
        <v>2138</v>
      </c>
      <c r="B2139" t="str">
        <f>"002824"</f>
        <v>002824</v>
      </c>
      <c r="C2139" t="s">
        <v>10595</v>
      </c>
      <c r="D2139" s="4">
        <v>43190</v>
      </c>
      <c r="E2139" t="s">
        <v>1839</v>
      </c>
      <c r="F2139" t="s">
        <v>10596</v>
      </c>
      <c r="G2139">
        <v>3620</v>
      </c>
      <c r="H2139">
        <v>0.04</v>
      </c>
      <c r="I2139">
        <v>4.1399999999999997</v>
      </c>
      <c r="J2139">
        <v>1.06</v>
      </c>
      <c r="K2139" t="s">
        <v>1970</v>
      </c>
      <c r="L2139">
        <v>9.3800000000000008</v>
      </c>
      <c r="M2139" t="s">
        <v>8066</v>
      </c>
      <c r="N2139" t="s">
        <v>1570</v>
      </c>
      <c r="O2139" t="s">
        <v>4341</v>
      </c>
      <c r="P2139" t="s">
        <v>9437</v>
      </c>
      <c r="Q2139">
        <v>-58.05</v>
      </c>
      <c r="R2139" t="s">
        <v>415</v>
      </c>
      <c r="S2139">
        <v>1.1599999999999999</v>
      </c>
      <c r="T2139">
        <v>15.69</v>
      </c>
      <c r="U2139" t="s">
        <v>125</v>
      </c>
      <c r="V2139" t="s">
        <v>169</v>
      </c>
      <c r="W2139" t="s">
        <v>258</v>
      </c>
      <c r="X2139">
        <v>1.06</v>
      </c>
      <c r="Y2139" t="s">
        <v>2360</v>
      </c>
      <c r="Z2139" t="s">
        <v>280</v>
      </c>
      <c r="AA2139" t="s">
        <v>10597</v>
      </c>
      <c r="AB2139">
        <v>2.96</v>
      </c>
      <c r="AC2139" t="s">
        <v>566</v>
      </c>
      <c r="AD2139">
        <v>85.77</v>
      </c>
      <c r="AE2139" t="s">
        <v>593</v>
      </c>
      <c r="AF2139">
        <v>1.82</v>
      </c>
      <c r="AG2139">
        <v>0</v>
      </c>
      <c r="AH2139">
        <v>0</v>
      </c>
      <c r="AI2139" s="4">
        <v>42747</v>
      </c>
    </row>
    <row r="2140" spans="1:35">
      <c r="A2140">
        <v>2139</v>
      </c>
      <c r="B2140" t="str">
        <f>"002714"</f>
        <v>002714</v>
      </c>
      <c r="C2140" t="s">
        <v>10598</v>
      </c>
      <c r="D2140" s="4">
        <v>43190</v>
      </c>
      <c r="E2140" t="s">
        <v>613</v>
      </c>
      <c r="F2140" t="s">
        <v>494</v>
      </c>
      <c r="G2140" t="s">
        <v>6912</v>
      </c>
      <c r="H2140">
        <v>0.12</v>
      </c>
      <c r="I2140">
        <v>8.99</v>
      </c>
      <c r="J2140">
        <v>1.06</v>
      </c>
      <c r="K2140" t="s">
        <v>2523</v>
      </c>
      <c r="L2140">
        <v>40.03</v>
      </c>
      <c r="M2140" t="s">
        <v>1016</v>
      </c>
      <c r="N2140" t="s">
        <v>10599</v>
      </c>
      <c r="O2140" t="s">
        <v>372</v>
      </c>
      <c r="P2140" t="s">
        <v>372</v>
      </c>
      <c r="Q2140">
        <v>-80</v>
      </c>
      <c r="R2140" t="s">
        <v>573</v>
      </c>
      <c r="S2140">
        <v>4.32</v>
      </c>
      <c r="T2140">
        <v>13.07</v>
      </c>
      <c r="U2140" t="s">
        <v>2342</v>
      </c>
      <c r="V2140" t="s">
        <v>5498</v>
      </c>
      <c r="W2140" t="s">
        <v>466</v>
      </c>
      <c r="X2140">
        <v>1.06</v>
      </c>
      <c r="Y2140" t="s">
        <v>246</v>
      </c>
      <c r="Z2140" t="s">
        <v>525</v>
      </c>
      <c r="AA2140" t="s">
        <v>249</v>
      </c>
      <c r="AB2140">
        <v>5.22</v>
      </c>
      <c r="AC2140" t="s">
        <v>1929</v>
      </c>
      <c r="AD2140">
        <v>48.41</v>
      </c>
      <c r="AE2140" t="s">
        <v>113</v>
      </c>
      <c r="AF2140">
        <v>3.34</v>
      </c>
      <c r="AG2140">
        <v>0</v>
      </c>
      <c r="AH2140">
        <v>0</v>
      </c>
      <c r="AI2140" s="4">
        <v>41667</v>
      </c>
    </row>
    <row r="2141" spans="1:35">
      <c r="A2141">
        <v>2140</v>
      </c>
      <c r="B2141" t="str">
        <f>"002513"</f>
        <v>002513</v>
      </c>
      <c r="C2141" t="s">
        <v>10600</v>
      </c>
      <c r="D2141" s="4">
        <v>43190</v>
      </c>
      <c r="E2141" t="s">
        <v>344</v>
      </c>
      <c r="F2141" t="s">
        <v>126</v>
      </c>
      <c r="G2141" t="s">
        <v>135</v>
      </c>
      <c r="H2141">
        <v>0.08</v>
      </c>
      <c r="I2141">
        <v>7.53</v>
      </c>
      <c r="J2141">
        <v>1.06</v>
      </c>
      <c r="K2141" t="s">
        <v>4185</v>
      </c>
      <c r="L2141">
        <v>16.809999999999999</v>
      </c>
      <c r="M2141" t="s">
        <v>10601</v>
      </c>
      <c r="N2141">
        <v>0</v>
      </c>
      <c r="O2141" t="s">
        <v>10460</v>
      </c>
      <c r="P2141" t="s">
        <v>10602</v>
      </c>
      <c r="Q2141">
        <v>30.67</v>
      </c>
      <c r="R2141" t="s">
        <v>1378</v>
      </c>
      <c r="S2141">
        <v>1.02</v>
      </c>
      <c r="T2141">
        <v>28.9</v>
      </c>
      <c r="U2141" t="s">
        <v>1412</v>
      </c>
      <c r="V2141" t="s">
        <v>1025</v>
      </c>
      <c r="W2141" t="s">
        <v>1190</v>
      </c>
      <c r="X2141">
        <v>1.06</v>
      </c>
      <c r="Y2141" t="s">
        <v>76</v>
      </c>
      <c r="Z2141" t="s">
        <v>971</v>
      </c>
      <c r="AA2141" t="s">
        <v>2774</v>
      </c>
      <c r="AB2141">
        <v>0.86</v>
      </c>
      <c r="AC2141" t="s">
        <v>402</v>
      </c>
      <c r="AD2141">
        <v>60.97</v>
      </c>
      <c r="AE2141" t="s">
        <v>1455</v>
      </c>
      <c r="AF2141">
        <v>5.33</v>
      </c>
      <c r="AG2141">
        <v>0</v>
      </c>
      <c r="AH2141">
        <v>0</v>
      </c>
      <c r="AI2141" s="4">
        <v>40515</v>
      </c>
    </row>
    <row r="2142" spans="1:35">
      <c r="A2142">
        <v>2141</v>
      </c>
      <c r="B2142" t="str">
        <f>"002484"</f>
        <v>002484</v>
      </c>
      <c r="C2142" t="s">
        <v>10603</v>
      </c>
      <c r="D2142" s="4">
        <v>43190</v>
      </c>
      <c r="E2142" t="s">
        <v>1584</v>
      </c>
      <c r="F2142" t="s">
        <v>1903</v>
      </c>
      <c r="G2142" t="s">
        <v>5638</v>
      </c>
      <c r="H2142">
        <v>0.04</v>
      </c>
      <c r="I2142">
        <v>3.78</v>
      </c>
      <c r="J2142">
        <v>1.06</v>
      </c>
      <c r="K2142" t="s">
        <v>1235</v>
      </c>
      <c r="L2142">
        <v>22.05</v>
      </c>
      <c r="M2142" t="s">
        <v>10543</v>
      </c>
      <c r="N2142" t="s">
        <v>10604</v>
      </c>
      <c r="O2142" t="s">
        <v>98</v>
      </c>
      <c r="P2142" t="s">
        <v>7340</v>
      </c>
      <c r="Q2142">
        <v>13.75</v>
      </c>
      <c r="R2142" t="s">
        <v>805</v>
      </c>
      <c r="S2142">
        <v>0.88</v>
      </c>
      <c r="T2142">
        <v>23.96</v>
      </c>
      <c r="U2142" t="s">
        <v>230</v>
      </c>
      <c r="V2142" t="s">
        <v>260</v>
      </c>
      <c r="W2142" t="s">
        <v>1044</v>
      </c>
      <c r="X2142">
        <v>1.06</v>
      </c>
      <c r="Y2142" t="s">
        <v>43</v>
      </c>
      <c r="Z2142" t="s">
        <v>792</v>
      </c>
      <c r="AA2142" t="s">
        <v>2367</v>
      </c>
      <c r="AB2142">
        <v>1.78</v>
      </c>
      <c r="AC2142" t="s">
        <v>423</v>
      </c>
      <c r="AD2142">
        <v>80.099999999999994</v>
      </c>
      <c r="AE2142" t="s">
        <v>176</v>
      </c>
      <c r="AF2142">
        <v>1.69</v>
      </c>
      <c r="AG2142">
        <v>0</v>
      </c>
      <c r="AH2142">
        <v>0</v>
      </c>
      <c r="AI2142" s="4">
        <v>40450</v>
      </c>
    </row>
    <row r="2143" spans="1:35">
      <c r="A2143">
        <v>2142</v>
      </c>
      <c r="B2143" t="str">
        <f>"002230"</f>
        <v>002230</v>
      </c>
      <c r="C2143" t="s">
        <v>10605</v>
      </c>
      <c r="D2143" s="4">
        <v>43190</v>
      </c>
      <c r="E2143" t="s">
        <v>877</v>
      </c>
      <c r="F2143" t="s">
        <v>754</v>
      </c>
      <c r="G2143">
        <v>5085</v>
      </c>
      <c r="H2143">
        <v>0.04</v>
      </c>
      <c r="I2143">
        <v>3.69</v>
      </c>
      <c r="J2143">
        <v>1.06</v>
      </c>
      <c r="K2143" t="s">
        <v>538</v>
      </c>
      <c r="L2143">
        <v>63.25</v>
      </c>
      <c r="M2143" t="s">
        <v>6283</v>
      </c>
      <c r="N2143" t="s">
        <v>6750</v>
      </c>
      <c r="O2143" t="s">
        <v>1525</v>
      </c>
      <c r="P2143" t="s">
        <v>10606</v>
      </c>
      <c r="Q2143">
        <v>10.83</v>
      </c>
      <c r="R2143" t="s">
        <v>308</v>
      </c>
      <c r="S2143">
        <v>0.84</v>
      </c>
      <c r="T2143">
        <v>47.9</v>
      </c>
      <c r="U2143" t="s">
        <v>1784</v>
      </c>
      <c r="V2143" t="s">
        <v>247</v>
      </c>
      <c r="W2143" t="s">
        <v>759</v>
      </c>
      <c r="X2143">
        <v>1.06</v>
      </c>
      <c r="Y2143" t="s">
        <v>1923</v>
      </c>
      <c r="Z2143" t="s">
        <v>1545</v>
      </c>
      <c r="AA2143" t="s">
        <v>1079</v>
      </c>
      <c r="AB2143">
        <v>8.66</v>
      </c>
      <c r="AC2143" t="s">
        <v>6689</v>
      </c>
      <c r="AD2143">
        <v>59.64</v>
      </c>
      <c r="AE2143" t="s">
        <v>2749</v>
      </c>
      <c r="AF2143">
        <v>2.2000000000000002</v>
      </c>
      <c r="AG2143">
        <v>0</v>
      </c>
      <c r="AH2143">
        <v>0</v>
      </c>
      <c r="AI2143" s="4">
        <v>39580</v>
      </c>
    </row>
    <row r="2144" spans="1:35">
      <c r="A2144">
        <v>2143</v>
      </c>
      <c r="B2144" t="str">
        <f>"002130"</f>
        <v>002130</v>
      </c>
      <c r="C2144" t="s">
        <v>10607</v>
      </c>
      <c r="D2144" s="4">
        <v>43190</v>
      </c>
      <c r="E2144" t="s">
        <v>164</v>
      </c>
      <c r="F2144" t="s">
        <v>3184</v>
      </c>
      <c r="G2144">
        <v>9678</v>
      </c>
      <c r="H2144">
        <v>0.02</v>
      </c>
      <c r="I2144">
        <v>2.1800000000000002</v>
      </c>
      <c r="J2144">
        <v>1.06</v>
      </c>
      <c r="K2144" t="s">
        <v>1935</v>
      </c>
      <c r="L2144">
        <v>17.27</v>
      </c>
      <c r="M2144" t="s">
        <v>5491</v>
      </c>
      <c r="N2144" t="s">
        <v>3524</v>
      </c>
      <c r="O2144" t="s">
        <v>10394</v>
      </c>
      <c r="P2144" t="s">
        <v>10465</v>
      </c>
      <c r="Q2144">
        <v>114.05</v>
      </c>
      <c r="R2144" t="s">
        <v>625</v>
      </c>
      <c r="S2144">
        <v>0.93</v>
      </c>
      <c r="T2144">
        <v>29.44</v>
      </c>
      <c r="U2144" t="s">
        <v>6379</v>
      </c>
      <c r="V2144" t="s">
        <v>244</v>
      </c>
      <c r="W2144" t="s">
        <v>855</v>
      </c>
      <c r="X2144">
        <v>1.06</v>
      </c>
      <c r="Y2144" t="s">
        <v>3160</v>
      </c>
      <c r="Z2144" t="s">
        <v>2100</v>
      </c>
      <c r="AA2144" t="s">
        <v>354</v>
      </c>
      <c r="AB2144">
        <v>2.23</v>
      </c>
      <c r="AC2144" t="s">
        <v>1700</v>
      </c>
      <c r="AD2144">
        <v>41.88</v>
      </c>
      <c r="AE2144" t="s">
        <v>696</v>
      </c>
      <c r="AF2144">
        <v>0.17</v>
      </c>
      <c r="AG2144">
        <v>0</v>
      </c>
      <c r="AH2144">
        <v>0</v>
      </c>
      <c r="AI2144" s="4">
        <v>39192</v>
      </c>
    </row>
    <row r="2145" spans="1:35">
      <c r="A2145">
        <v>2144</v>
      </c>
      <c r="B2145" t="str">
        <f>"002124"</f>
        <v>002124</v>
      </c>
      <c r="C2145" t="s">
        <v>10608</v>
      </c>
      <c r="D2145" s="4">
        <v>43190</v>
      </c>
      <c r="E2145" t="s">
        <v>613</v>
      </c>
      <c r="F2145" t="s">
        <v>3549</v>
      </c>
      <c r="G2145" t="s">
        <v>7516</v>
      </c>
      <c r="H2145">
        <v>0.03</v>
      </c>
      <c r="I2145">
        <v>2.57</v>
      </c>
      <c r="J2145">
        <v>1.06</v>
      </c>
      <c r="K2145" t="s">
        <v>3757</v>
      </c>
      <c r="L2145">
        <v>51.04</v>
      </c>
      <c r="M2145" t="s">
        <v>8024</v>
      </c>
      <c r="N2145" t="s">
        <v>2793</v>
      </c>
      <c r="O2145" t="s">
        <v>8383</v>
      </c>
      <c r="P2145" t="s">
        <v>10609</v>
      </c>
      <c r="Q2145">
        <v>-38.97</v>
      </c>
      <c r="R2145" t="s">
        <v>125</v>
      </c>
      <c r="S2145">
        <v>0.68</v>
      </c>
      <c r="T2145">
        <v>19.04</v>
      </c>
      <c r="U2145" t="s">
        <v>3578</v>
      </c>
      <c r="V2145" t="s">
        <v>3356</v>
      </c>
      <c r="W2145" t="s">
        <v>584</v>
      </c>
      <c r="X2145">
        <v>1.06</v>
      </c>
      <c r="Y2145" t="s">
        <v>159</v>
      </c>
      <c r="Z2145" t="s">
        <v>3356</v>
      </c>
      <c r="AA2145" t="s">
        <v>7017</v>
      </c>
      <c r="AB2145">
        <v>1.81</v>
      </c>
      <c r="AC2145" t="s">
        <v>1515</v>
      </c>
      <c r="AD2145">
        <v>59.25</v>
      </c>
      <c r="AE2145" t="s">
        <v>971</v>
      </c>
      <c r="AF2145">
        <v>0.85</v>
      </c>
      <c r="AG2145">
        <v>0</v>
      </c>
      <c r="AH2145">
        <v>0</v>
      </c>
      <c r="AI2145" s="4">
        <v>39175</v>
      </c>
    </row>
    <row r="2146" spans="1:35">
      <c r="A2146">
        <v>2145</v>
      </c>
      <c r="B2146" t="str">
        <f>"000587"</f>
        <v>000587</v>
      </c>
      <c r="C2146" t="s">
        <v>10610</v>
      </c>
      <c r="D2146" s="4">
        <v>43190</v>
      </c>
      <c r="E2146" t="s">
        <v>1693</v>
      </c>
      <c r="F2146" t="s">
        <v>264</v>
      </c>
      <c r="G2146" t="s">
        <v>1958</v>
      </c>
      <c r="H2146">
        <v>0.05</v>
      </c>
      <c r="I2146">
        <v>4.4800000000000004</v>
      </c>
      <c r="J2146">
        <v>1.06</v>
      </c>
      <c r="K2146" t="s">
        <v>528</v>
      </c>
      <c r="L2146">
        <v>54.17</v>
      </c>
      <c r="M2146" t="s">
        <v>600</v>
      </c>
      <c r="N2146" t="s">
        <v>10611</v>
      </c>
      <c r="O2146" t="s">
        <v>845</v>
      </c>
      <c r="P2146" t="s">
        <v>2307</v>
      </c>
      <c r="Q2146">
        <v>-7.75</v>
      </c>
      <c r="R2146" t="s">
        <v>1832</v>
      </c>
      <c r="S2146">
        <v>1.23</v>
      </c>
      <c r="T2146">
        <v>4.28</v>
      </c>
      <c r="U2146" t="s">
        <v>2002</v>
      </c>
      <c r="V2146" t="s">
        <v>2761</v>
      </c>
      <c r="W2146" t="s">
        <v>6994</v>
      </c>
      <c r="X2146">
        <v>1.06</v>
      </c>
      <c r="Y2146" t="s">
        <v>1814</v>
      </c>
      <c r="Z2146" t="s">
        <v>761</v>
      </c>
      <c r="AA2146" t="s">
        <v>2337</v>
      </c>
      <c r="AB2146">
        <v>1.1100000000000001</v>
      </c>
      <c r="AC2146" t="s">
        <v>9750</v>
      </c>
      <c r="AD2146">
        <v>25.29</v>
      </c>
      <c r="AE2146" t="s">
        <v>2070</v>
      </c>
      <c r="AF2146">
        <v>2.2400000000000002</v>
      </c>
      <c r="AG2146">
        <v>0</v>
      </c>
      <c r="AH2146">
        <v>0</v>
      </c>
      <c r="AI2146" s="4">
        <v>35180</v>
      </c>
    </row>
    <row r="2147" spans="1:35">
      <c r="A2147">
        <v>2146</v>
      </c>
      <c r="B2147" t="str">
        <f>"603920"</f>
        <v>603920</v>
      </c>
      <c r="C2147" t="s">
        <v>10612</v>
      </c>
      <c r="D2147" s="4">
        <v>43190</v>
      </c>
      <c r="E2147" t="s">
        <v>498</v>
      </c>
      <c r="F2147" t="s">
        <v>86</v>
      </c>
      <c r="G2147">
        <v>2612</v>
      </c>
      <c r="H2147">
        <v>0.06</v>
      </c>
      <c r="I2147">
        <v>5.89</v>
      </c>
      <c r="J2147">
        <v>1.05</v>
      </c>
      <c r="K2147" t="s">
        <v>735</v>
      </c>
      <c r="L2147">
        <v>18.899999999999999</v>
      </c>
      <c r="M2147" t="s">
        <v>10613</v>
      </c>
      <c r="N2147" t="s">
        <v>8628</v>
      </c>
      <c r="O2147" t="s">
        <v>9143</v>
      </c>
      <c r="P2147" t="s">
        <v>10614</v>
      </c>
      <c r="Q2147">
        <v>-49.96</v>
      </c>
      <c r="R2147" t="s">
        <v>2304</v>
      </c>
      <c r="S2147">
        <v>1.41</v>
      </c>
      <c r="T2147">
        <v>21.15</v>
      </c>
      <c r="U2147" t="s">
        <v>1380</v>
      </c>
      <c r="V2147" t="s">
        <v>565</v>
      </c>
      <c r="W2147" t="s">
        <v>489</v>
      </c>
      <c r="X2147">
        <v>1.05</v>
      </c>
      <c r="Y2147" t="s">
        <v>6262</v>
      </c>
      <c r="Z2147" t="s">
        <v>1938</v>
      </c>
      <c r="AA2147" t="s">
        <v>7977</v>
      </c>
      <c r="AB2147">
        <v>2.12</v>
      </c>
      <c r="AC2147" t="s">
        <v>2273</v>
      </c>
      <c r="AD2147">
        <v>75.400000000000006</v>
      </c>
      <c r="AE2147" t="s">
        <v>1307</v>
      </c>
      <c r="AF2147">
        <v>3.27</v>
      </c>
      <c r="AG2147">
        <v>0</v>
      </c>
      <c r="AH2147">
        <v>0</v>
      </c>
      <c r="AI2147" s="4">
        <v>42851</v>
      </c>
    </row>
    <row r="2148" spans="1:35">
      <c r="A2148">
        <v>2147</v>
      </c>
      <c r="B2148" t="str">
        <f>"603556"</f>
        <v>603556</v>
      </c>
      <c r="C2148" t="s">
        <v>10615</v>
      </c>
      <c r="D2148" s="4">
        <v>43190</v>
      </c>
      <c r="E2148" t="s">
        <v>1358</v>
      </c>
      <c r="F2148" t="s">
        <v>290</v>
      </c>
      <c r="G2148">
        <v>4409</v>
      </c>
      <c r="H2148">
        <v>0.1</v>
      </c>
      <c r="I2148">
        <v>9.2899999999999991</v>
      </c>
      <c r="J2148">
        <v>1.05</v>
      </c>
      <c r="K2148" t="s">
        <v>3374</v>
      </c>
      <c r="L2148">
        <v>-6.31</v>
      </c>
      <c r="M2148" t="s">
        <v>8164</v>
      </c>
      <c r="N2148" t="s">
        <v>10616</v>
      </c>
      <c r="O2148" t="s">
        <v>10617</v>
      </c>
      <c r="P2148" t="s">
        <v>8744</v>
      </c>
      <c r="Q2148">
        <v>-63.88</v>
      </c>
      <c r="R2148" t="s">
        <v>646</v>
      </c>
      <c r="S2148">
        <v>3.22</v>
      </c>
      <c r="T2148">
        <v>41.16</v>
      </c>
      <c r="U2148" t="s">
        <v>1442</v>
      </c>
      <c r="V2148" t="s">
        <v>2389</v>
      </c>
      <c r="W2148" t="s">
        <v>1939</v>
      </c>
      <c r="X2148">
        <v>1.05</v>
      </c>
      <c r="Y2148" t="s">
        <v>983</v>
      </c>
      <c r="Z2148" t="s">
        <v>350</v>
      </c>
      <c r="AA2148" t="s">
        <v>1245</v>
      </c>
      <c r="AB2148">
        <v>1.91</v>
      </c>
      <c r="AC2148" t="s">
        <v>3386</v>
      </c>
      <c r="AD2148">
        <v>74.67</v>
      </c>
      <c r="AE2148" t="s">
        <v>370</v>
      </c>
      <c r="AF2148">
        <v>5.0199999999999996</v>
      </c>
      <c r="AG2148">
        <v>0</v>
      </c>
      <c r="AH2148">
        <v>0</v>
      </c>
      <c r="AI2148" s="4">
        <v>42684</v>
      </c>
    </row>
    <row r="2149" spans="1:35">
      <c r="A2149">
        <v>2148</v>
      </c>
      <c r="B2149" t="str">
        <f>"601011"</f>
        <v>601011</v>
      </c>
      <c r="C2149" t="s">
        <v>10618</v>
      </c>
      <c r="D2149" s="4">
        <v>43190</v>
      </c>
      <c r="E2149" t="s">
        <v>50</v>
      </c>
      <c r="F2149" t="s">
        <v>971</v>
      </c>
      <c r="G2149" t="s">
        <v>2125</v>
      </c>
      <c r="H2149">
        <v>0.04</v>
      </c>
      <c r="I2149">
        <v>3.59</v>
      </c>
      <c r="J2149">
        <v>1.05</v>
      </c>
      <c r="K2149" t="s">
        <v>1756</v>
      </c>
      <c r="L2149">
        <v>34.049999999999997</v>
      </c>
      <c r="M2149" t="s">
        <v>4470</v>
      </c>
      <c r="N2149" t="s">
        <v>10619</v>
      </c>
      <c r="O2149" t="s">
        <v>10620</v>
      </c>
      <c r="P2149" t="s">
        <v>10621</v>
      </c>
      <c r="Q2149">
        <v>177.36</v>
      </c>
      <c r="R2149" t="s">
        <v>2678</v>
      </c>
      <c r="S2149">
        <v>0.6</v>
      </c>
      <c r="T2149">
        <v>26.16</v>
      </c>
      <c r="U2149" t="s">
        <v>232</v>
      </c>
      <c r="V2149" t="s">
        <v>1039</v>
      </c>
      <c r="W2149" t="s">
        <v>510</v>
      </c>
      <c r="X2149">
        <v>1.05</v>
      </c>
      <c r="Y2149" t="s">
        <v>2093</v>
      </c>
      <c r="Z2149" t="s">
        <v>710</v>
      </c>
      <c r="AA2149" t="s">
        <v>6194</v>
      </c>
      <c r="AB2149">
        <v>1.55</v>
      </c>
      <c r="AC2149" t="s">
        <v>1134</v>
      </c>
      <c r="AD2149">
        <v>57.45</v>
      </c>
      <c r="AE2149" t="s">
        <v>2339</v>
      </c>
      <c r="AF2149">
        <v>1.97</v>
      </c>
      <c r="AG2149">
        <v>0</v>
      </c>
      <c r="AH2149">
        <v>0</v>
      </c>
      <c r="AI2149" s="4">
        <v>40611</v>
      </c>
    </row>
    <row r="2150" spans="1:35">
      <c r="A2150">
        <v>2149</v>
      </c>
      <c r="B2150" t="str">
        <f>"600691"</f>
        <v>600691</v>
      </c>
      <c r="C2150" t="s">
        <v>10622</v>
      </c>
      <c r="D2150" s="4">
        <v>43190</v>
      </c>
      <c r="E2150" t="s">
        <v>775</v>
      </c>
      <c r="F2150" t="s">
        <v>775</v>
      </c>
      <c r="G2150" t="s">
        <v>5638</v>
      </c>
      <c r="H2150">
        <v>0.02</v>
      </c>
      <c r="I2150">
        <v>2.2000000000000002</v>
      </c>
      <c r="J2150">
        <v>1.05</v>
      </c>
      <c r="K2150" t="s">
        <v>3578</v>
      </c>
      <c r="L2150">
        <v>6.58</v>
      </c>
      <c r="M2150" t="s">
        <v>3760</v>
      </c>
      <c r="N2150" t="s">
        <v>10623</v>
      </c>
      <c r="O2150" t="s">
        <v>1459</v>
      </c>
      <c r="P2150" t="s">
        <v>7520</v>
      </c>
      <c r="Q2150">
        <v>85.95</v>
      </c>
      <c r="R2150" t="s">
        <v>10624</v>
      </c>
      <c r="S2150">
        <v>-0.53</v>
      </c>
      <c r="T2150">
        <v>11.33</v>
      </c>
      <c r="U2150" t="s">
        <v>1930</v>
      </c>
      <c r="V2150" t="s">
        <v>2545</v>
      </c>
      <c r="W2150" t="s">
        <v>1495</v>
      </c>
      <c r="X2150">
        <v>1.05</v>
      </c>
      <c r="Y2150" t="s">
        <v>2315</v>
      </c>
      <c r="Z2150" t="s">
        <v>4542</v>
      </c>
      <c r="AA2150" t="s">
        <v>1277</v>
      </c>
      <c r="AB2150">
        <v>1.37</v>
      </c>
      <c r="AC2150" t="s">
        <v>4052</v>
      </c>
      <c r="AD2150">
        <v>9.14</v>
      </c>
      <c r="AE2150" t="s">
        <v>1350</v>
      </c>
      <c r="AF2150">
        <v>1.69</v>
      </c>
      <c r="AG2150">
        <v>0</v>
      </c>
      <c r="AH2150">
        <v>0</v>
      </c>
      <c r="AI2150" s="4">
        <v>34292</v>
      </c>
    </row>
    <row r="2151" spans="1:35">
      <c r="A2151">
        <v>2150</v>
      </c>
      <c r="B2151" t="str">
        <f>"600568"</f>
        <v>600568</v>
      </c>
      <c r="C2151" t="s">
        <v>10625</v>
      </c>
      <c r="D2151" s="4">
        <v>43190</v>
      </c>
      <c r="E2151" t="s">
        <v>119</v>
      </c>
      <c r="F2151" t="s">
        <v>1792</v>
      </c>
      <c r="G2151" t="s">
        <v>10626</v>
      </c>
      <c r="H2151">
        <v>0.03</v>
      </c>
      <c r="I2151">
        <v>3.04</v>
      </c>
      <c r="J2151">
        <v>1.05</v>
      </c>
      <c r="K2151" t="s">
        <v>126</v>
      </c>
      <c r="L2151">
        <v>4.22</v>
      </c>
      <c r="M2151" t="s">
        <v>10627</v>
      </c>
      <c r="N2151" t="s">
        <v>10628</v>
      </c>
      <c r="O2151" t="s">
        <v>10629</v>
      </c>
      <c r="P2151" t="s">
        <v>5009</v>
      </c>
      <c r="Q2151">
        <v>0.28999999999999998</v>
      </c>
      <c r="R2151" t="s">
        <v>3630</v>
      </c>
      <c r="S2151">
        <v>0.5</v>
      </c>
      <c r="T2151">
        <v>53.57</v>
      </c>
      <c r="U2151" t="s">
        <v>438</v>
      </c>
      <c r="V2151" t="s">
        <v>1715</v>
      </c>
      <c r="W2151" t="s">
        <v>540</v>
      </c>
      <c r="X2151">
        <v>1.05</v>
      </c>
      <c r="Y2151" t="s">
        <v>973</v>
      </c>
      <c r="Z2151" t="s">
        <v>2139</v>
      </c>
      <c r="AA2151" t="s">
        <v>1400</v>
      </c>
      <c r="AB2151">
        <v>2.14</v>
      </c>
      <c r="AC2151" t="s">
        <v>577</v>
      </c>
      <c r="AD2151">
        <v>82.17</v>
      </c>
      <c r="AE2151" t="s">
        <v>864</v>
      </c>
      <c r="AF2151">
        <v>1.5</v>
      </c>
      <c r="AG2151">
        <v>0</v>
      </c>
      <c r="AH2151">
        <v>0</v>
      </c>
      <c r="AI2151" s="4">
        <v>37029</v>
      </c>
    </row>
    <row r="2152" spans="1:35">
      <c r="A2152">
        <v>2151</v>
      </c>
      <c r="B2152" t="str">
        <f>"300644"</f>
        <v>300644</v>
      </c>
      <c r="C2152" t="s">
        <v>10630</v>
      </c>
      <c r="D2152" s="4">
        <v>43190</v>
      </c>
      <c r="E2152" t="s">
        <v>8251</v>
      </c>
      <c r="F2152" t="s">
        <v>3442</v>
      </c>
      <c r="G2152">
        <v>1058</v>
      </c>
      <c r="H2152">
        <v>0.09</v>
      </c>
      <c r="I2152">
        <v>10.66</v>
      </c>
      <c r="J2152">
        <v>1.05</v>
      </c>
      <c r="K2152" t="s">
        <v>726</v>
      </c>
      <c r="L2152">
        <v>14.81</v>
      </c>
      <c r="M2152" t="s">
        <v>4791</v>
      </c>
      <c r="N2152">
        <v>0</v>
      </c>
      <c r="O2152" t="s">
        <v>10631</v>
      </c>
      <c r="P2152" t="s">
        <v>10285</v>
      </c>
      <c r="Q2152">
        <v>-24.33</v>
      </c>
      <c r="R2152" t="s">
        <v>1733</v>
      </c>
      <c r="S2152">
        <v>4.1500000000000004</v>
      </c>
      <c r="T2152">
        <v>13.29</v>
      </c>
      <c r="U2152" t="s">
        <v>407</v>
      </c>
      <c r="V2152" t="s">
        <v>1575</v>
      </c>
      <c r="W2152" t="s">
        <v>1077</v>
      </c>
      <c r="X2152">
        <v>1.05</v>
      </c>
      <c r="Y2152" t="s">
        <v>2268</v>
      </c>
      <c r="Z2152" t="s">
        <v>2807</v>
      </c>
      <c r="AA2152" t="s">
        <v>8709</v>
      </c>
      <c r="AB2152">
        <v>4.6399999999999997</v>
      </c>
      <c r="AC2152" t="s">
        <v>453</v>
      </c>
      <c r="AD2152">
        <v>64.86</v>
      </c>
      <c r="AE2152" t="s">
        <v>679</v>
      </c>
      <c r="AF2152">
        <v>4.8600000000000003</v>
      </c>
      <c r="AG2152">
        <v>0</v>
      </c>
      <c r="AH2152">
        <v>0</v>
      </c>
      <c r="AI2152" s="4">
        <v>43137</v>
      </c>
    </row>
    <row r="2153" spans="1:35">
      <c r="A2153">
        <v>2152</v>
      </c>
      <c r="B2153" t="str">
        <f>"300523"</f>
        <v>300523</v>
      </c>
      <c r="C2153" t="s">
        <v>10632</v>
      </c>
      <c r="D2153" s="4">
        <v>43190</v>
      </c>
      <c r="E2153" t="s">
        <v>1016</v>
      </c>
      <c r="F2153" t="s">
        <v>197</v>
      </c>
      <c r="G2153">
        <v>9150</v>
      </c>
      <c r="H2153">
        <v>0.06</v>
      </c>
      <c r="I2153">
        <v>5.98</v>
      </c>
      <c r="J2153">
        <v>1.05</v>
      </c>
      <c r="K2153" t="s">
        <v>1119</v>
      </c>
      <c r="L2153">
        <v>259.93</v>
      </c>
      <c r="M2153" t="s">
        <v>8656</v>
      </c>
      <c r="N2153" t="s">
        <v>10633</v>
      </c>
      <c r="O2153" t="s">
        <v>10634</v>
      </c>
      <c r="P2153" t="s">
        <v>5711</v>
      </c>
      <c r="Q2153">
        <v>169.55</v>
      </c>
      <c r="R2153" t="s">
        <v>1964</v>
      </c>
      <c r="S2153">
        <v>2.0699999999999998</v>
      </c>
      <c r="T2153">
        <v>53.8</v>
      </c>
      <c r="U2153" t="s">
        <v>840</v>
      </c>
      <c r="V2153" t="s">
        <v>602</v>
      </c>
      <c r="W2153" t="s">
        <v>86</v>
      </c>
      <c r="X2153">
        <v>1.05</v>
      </c>
      <c r="Y2153" t="s">
        <v>5614</v>
      </c>
      <c r="Z2153" t="s">
        <v>1810</v>
      </c>
      <c r="AA2153" t="s">
        <v>10196</v>
      </c>
      <c r="AB2153">
        <v>9.26</v>
      </c>
      <c r="AC2153" t="s">
        <v>4384</v>
      </c>
      <c r="AD2153">
        <v>67.06</v>
      </c>
      <c r="AE2153" t="s">
        <v>78</v>
      </c>
      <c r="AF2153">
        <v>2.8</v>
      </c>
      <c r="AG2153">
        <v>0</v>
      </c>
      <c r="AH2153">
        <v>0</v>
      </c>
      <c r="AI2153" s="4">
        <v>42577</v>
      </c>
    </row>
    <row r="2154" spans="1:35">
      <c r="A2154">
        <v>2153</v>
      </c>
      <c r="B2154" t="str">
        <f>"300461"</f>
        <v>300461</v>
      </c>
      <c r="C2154" t="s">
        <v>10635</v>
      </c>
      <c r="D2154" s="4">
        <v>43190</v>
      </c>
      <c r="E2154" t="s">
        <v>2115</v>
      </c>
      <c r="F2154" t="s">
        <v>10636</v>
      </c>
      <c r="G2154">
        <v>4470</v>
      </c>
      <c r="H2154">
        <v>0.03</v>
      </c>
      <c r="I2154">
        <v>2.79</v>
      </c>
      <c r="J2154">
        <v>1.05</v>
      </c>
      <c r="K2154" t="s">
        <v>280</v>
      </c>
      <c r="L2154">
        <v>31.4</v>
      </c>
      <c r="M2154" t="s">
        <v>10637</v>
      </c>
      <c r="N2154">
        <v>2614</v>
      </c>
      <c r="O2154" t="s">
        <v>10488</v>
      </c>
      <c r="P2154" t="s">
        <v>4981</v>
      </c>
      <c r="Q2154">
        <v>-52.76</v>
      </c>
      <c r="R2154" t="s">
        <v>10638</v>
      </c>
      <c r="S2154">
        <v>0.66</v>
      </c>
      <c r="T2154">
        <v>36.17</v>
      </c>
      <c r="U2154" t="s">
        <v>1025</v>
      </c>
      <c r="V2154" t="s">
        <v>1787</v>
      </c>
      <c r="W2154" t="s">
        <v>6162</v>
      </c>
      <c r="X2154">
        <v>1.05</v>
      </c>
      <c r="Y2154" t="s">
        <v>2035</v>
      </c>
      <c r="Z2154" t="s">
        <v>1523</v>
      </c>
      <c r="AA2154" t="s">
        <v>1597</v>
      </c>
      <c r="AB2154">
        <v>8.83</v>
      </c>
      <c r="AC2154" t="s">
        <v>1028</v>
      </c>
      <c r="AD2154">
        <v>27.66</v>
      </c>
      <c r="AE2154" t="s">
        <v>1048</v>
      </c>
      <c r="AF2154">
        <v>2.2799999999999998</v>
      </c>
      <c r="AG2154">
        <v>0</v>
      </c>
      <c r="AH2154">
        <v>0</v>
      </c>
      <c r="AI2154" s="4">
        <v>42143</v>
      </c>
    </row>
    <row r="2155" spans="1:35">
      <c r="A2155">
        <v>2154</v>
      </c>
      <c r="B2155" t="str">
        <f>"002775"</f>
        <v>002775</v>
      </c>
      <c r="C2155" t="s">
        <v>10639</v>
      </c>
      <c r="D2155" s="4">
        <v>43190</v>
      </c>
      <c r="E2155" t="s">
        <v>559</v>
      </c>
      <c r="F2155" t="s">
        <v>1689</v>
      </c>
      <c r="G2155">
        <v>5669</v>
      </c>
      <c r="H2155">
        <v>0.05</v>
      </c>
      <c r="I2155">
        <v>7.31</v>
      </c>
      <c r="J2155">
        <v>1.05</v>
      </c>
      <c r="K2155" t="s">
        <v>3119</v>
      </c>
      <c r="L2155">
        <v>43.41</v>
      </c>
      <c r="M2155" t="s">
        <v>8318</v>
      </c>
      <c r="N2155">
        <v>0</v>
      </c>
      <c r="O2155" t="s">
        <v>5830</v>
      </c>
      <c r="P2155" t="s">
        <v>10133</v>
      </c>
      <c r="Q2155">
        <v>48.61</v>
      </c>
      <c r="R2155" t="s">
        <v>1319</v>
      </c>
      <c r="S2155">
        <v>2.15</v>
      </c>
      <c r="T2155">
        <v>16.96</v>
      </c>
      <c r="U2155" t="s">
        <v>1252</v>
      </c>
      <c r="V2155" t="s">
        <v>243</v>
      </c>
      <c r="W2155" t="s">
        <v>10640</v>
      </c>
      <c r="X2155">
        <v>1.05</v>
      </c>
      <c r="Y2155" t="s">
        <v>173</v>
      </c>
      <c r="Z2155" t="s">
        <v>926</v>
      </c>
      <c r="AA2155" t="s">
        <v>326</v>
      </c>
      <c r="AB2155">
        <v>1.73</v>
      </c>
      <c r="AC2155" t="s">
        <v>908</v>
      </c>
      <c r="AD2155">
        <v>51.73</v>
      </c>
      <c r="AE2155" t="s">
        <v>174</v>
      </c>
      <c r="AF2155">
        <v>4.01</v>
      </c>
      <c r="AG2155">
        <v>0</v>
      </c>
      <c r="AH2155">
        <v>0</v>
      </c>
      <c r="AI2155" s="4">
        <v>42184</v>
      </c>
    </row>
    <row r="2156" spans="1:35">
      <c r="A2156">
        <v>2155</v>
      </c>
      <c r="B2156" t="str">
        <f>"002638"</f>
        <v>002638</v>
      </c>
      <c r="C2156" t="s">
        <v>10641</v>
      </c>
      <c r="D2156" s="4">
        <v>43190</v>
      </c>
      <c r="E2156" t="s">
        <v>908</v>
      </c>
      <c r="F2156" t="s">
        <v>721</v>
      </c>
      <c r="G2156" t="s">
        <v>1179</v>
      </c>
      <c r="H2156">
        <v>0.04</v>
      </c>
      <c r="I2156">
        <v>3.44</v>
      </c>
      <c r="J2156">
        <v>1.05</v>
      </c>
      <c r="K2156" t="s">
        <v>1530</v>
      </c>
      <c r="L2156">
        <v>3.66</v>
      </c>
      <c r="M2156" t="s">
        <v>2483</v>
      </c>
      <c r="N2156" t="s">
        <v>10642</v>
      </c>
      <c r="O2156" t="s">
        <v>10643</v>
      </c>
      <c r="P2156" t="s">
        <v>10644</v>
      </c>
      <c r="Q2156">
        <v>24.75</v>
      </c>
      <c r="R2156" t="s">
        <v>1200</v>
      </c>
      <c r="S2156">
        <v>0.11</v>
      </c>
      <c r="T2156">
        <v>27.44</v>
      </c>
      <c r="U2156" t="s">
        <v>5268</v>
      </c>
      <c r="V2156" t="s">
        <v>3160</v>
      </c>
      <c r="W2156" t="s">
        <v>1995</v>
      </c>
      <c r="X2156">
        <v>1.05</v>
      </c>
      <c r="Y2156" t="s">
        <v>820</v>
      </c>
      <c r="Z2156" t="s">
        <v>1367</v>
      </c>
      <c r="AA2156" t="s">
        <v>280</v>
      </c>
      <c r="AB2156">
        <v>0.91</v>
      </c>
      <c r="AC2156" t="s">
        <v>572</v>
      </c>
      <c r="AD2156">
        <v>74.709999999999994</v>
      </c>
      <c r="AE2156" t="s">
        <v>2901</v>
      </c>
      <c r="AF2156">
        <v>2.2799999999999998</v>
      </c>
      <c r="AG2156">
        <v>0</v>
      </c>
      <c r="AH2156">
        <v>0</v>
      </c>
      <c r="AI2156" s="4">
        <v>40872</v>
      </c>
    </row>
    <row r="2157" spans="1:35">
      <c r="A2157">
        <v>2156</v>
      </c>
      <c r="B2157" t="str">
        <f>"002482"</f>
        <v>002482</v>
      </c>
      <c r="C2157" t="s">
        <v>10645</v>
      </c>
      <c r="D2157" s="4">
        <v>43190</v>
      </c>
      <c r="E2157" t="s">
        <v>833</v>
      </c>
      <c r="F2157" t="s">
        <v>840</v>
      </c>
      <c r="G2157" t="s">
        <v>10646</v>
      </c>
      <c r="H2157">
        <v>0.05</v>
      </c>
      <c r="I2157">
        <v>4.3899999999999997</v>
      </c>
      <c r="J2157">
        <v>1.05</v>
      </c>
      <c r="K2157" t="s">
        <v>1039</v>
      </c>
      <c r="L2157">
        <v>25</v>
      </c>
      <c r="M2157" t="s">
        <v>5294</v>
      </c>
      <c r="N2157" t="s">
        <v>10647</v>
      </c>
      <c r="O2157" t="s">
        <v>10648</v>
      </c>
      <c r="P2157" t="s">
        <v>8079</v>
      </c>
      <c r="Q2157">
        <v>28.07</v>
      </c>
      <c r="R2157" t="s">
        <v>1504</v>
      </c>
      <c r="S2157">
        <v>1.68</v>
      </c>
      <c r="T2157">
        <v>11.12</v>
      </c>
      <c r="U2157" t="s">
        <v>1751</v>
      </c>
      <c r="V2157" t="s">
        <v>719</v>
      </c>
      <c r="W2157" t="s">
        <v>10649</v>
      </c>
      <c r="X2157">
        <v>1.05</v>
      </c>
      <c r="Y2157" t="s">
        <v>1656</v>
      </c>
      <c r="Z2157" t="s">
        <v>2406</v>
      </c>
      <c r="AA2157" t="s">
        <v>3549</v>
      </c>
      <c r="AB2157">
        <v>1.4</v>
      </c>
      <c r="AC2157" t="s">
        <v>467</v>
      </c>
      <c r="AD2157">
        <v>41.28</v>
      </c>
      <c r="AE2157" t="s">
        <v>276</v>
      </c>
      <c r="AF2157">
        <v>1.51</v>
      </c>
      <c r="AG2157">
        <v>0</v>
      </c>
      <c r="AH2157">
        <v>0</v>
      </c>
      <c r="AI2157" s="4">
        <v>40450</v>
      </c>
    </row>
    <row r="2158" spans="1:35">
      <c r="A2158">
        <v>2157</v>
      </c>
      <c r="B2158" t="str">
        <f>"002129"</f>
        <v>002129</v>
      </c>
      <c r="C2158" t="s">
        <v>10650</v>
      </c>
      <c r="D2158" s="4">
        <v>43190</v>
      </c>
      <c r="E2158" t="s">
        <v>1785</v>
      </c>
      <c r="F2158" t="s">
        <v>1785</v>
      </c>
      <c r="G2158" t="s">
        <v>3048</v>
      </c>
      <c r="H2158">
        <v>0.05</v>
      </c>
      <c r="I2158">
        <v>4.22</v>
      </c>
      <c r="J2158">
        <v>1.05</v>
      </c>
      <c r="K2158" t="s">
        <v>700</v>
      </c>
      <c r="L2158">
        <v>68.91</v>
      </c>
      <c r="M2158" t="s">
        <v>1288</v>
      </c>
      <c r="N2158" t="s">
        <v>4848</v>
      </c>
      <c r="O2158" t="s">
        <v>37</v>
      </c>
      <c r="P2158" t="s">
        <v>2603</v>
      </c>
      <c r="Q2158">
        <v>19.440000000000001</v>
      </c>
      <c r="R2158" t="s">
        <v>1367</v>
      </c>
      <c r="S2158">
        <v>0.6</v>
      </c>
      <c r="T2158">
        <v>20.25</v>
      </c>
      <c r="U2158" t="s">
        <v>10651</v>
      </c>
      <c r="V2158" t="s">
        <v>315</v>
      </c>
      <c r="W2158" t="s">
        <v>3472</v>
      </c>
      <c r="X2158">
        <v>1.05</v>
      </c>
      <c r="Y2158" t="s">
        <v>761</v>
      </c>
      <c r="Z2158" t="s">
        <v>525</v>
      </c>
      <c r="AA2158" t="s">
        <v>3086</v>
      </c>
      <c r="AB2158">
        <v>1.68</v>
      </c>
      <c r="AC2158" t="s">
        <v>399</v>
      </c>
      <c r="AD2158">
        <v>35.840000000000003</v>
      </c>
      <c r="AE2158" t="s">
        <v>1580</v>
      </c>
      <c r="AF2158">
        <v>2.6</v>
      </c>
      <c r="AG2158">
        <v>0</v>
      </c>
      <c r="AH2158">
        <v>0</v>
      </c>
      <c r="AI2158" s="4">
        <v>39192</v>
      </c>
    </row>
    <row r="2159" spans="1:35">
      <c r="A2159">
        <v>2158</v>
      </c>
      <c r="B2159" t="str">
        <f>"000705"</f>
        <v>000705</v>
      </c>
      <c r="C2159" t="s">
        <v>10652</v>
      </c>
      <c r="D2159" s="4">
        <v>43190</v>
      </c>
      <c r="E2159" t="s">
        <v>1967</v>
      </c>
      <c r="F2159" t="s">
        <v>478</v>
      </c>
      <c r="G2159">
        <v>8636</v>
      </c>
      <c r="H2159">
        <v>0.04</v>
      </c>
      <c r="I2159">
        <v>4.18</v>
      </c>
      <c r="J2159">
        <v>1.05</v>
      </c>
      <c r="K2159" t="s">
        <v>1787</v>
      </c>
      <c r="L2159">
        <v>13.51</v>
      </c>
      <c r="M2159" t="s">
        <v>9290</v>
      </c>
      <c r="N2159" t="s">
        <v>10653</v>
      </c>
      <c r="O2159" t="s">
        <v>10654</v>
      </c>
      <c r="P2159" t="s">
        <v>10655</v>
      </c>
      <c r="Q2159">
        <v>32.049999999999997</v>
      </c>
      <c r="R2159" t="s">
        <v>150</v>
      </c>
      <c r="S2159">
        <v>1.2</v>
      </c>
      <c r="T2159">
        <v>19.34</v>
      </c>
      <c r="U2159" t="s">
        <v>114</v>
      </c>
      <c r="V2159" t="s">
        <v>405</v>
      </c>
      <c r="W2159" t="s">
        <v>128</v>
      </c>
      <c r="X2159">
        <v>1.05</v>
      </c>
      <c r="Y2159" t="s">
        <v>2913</v>
      </c>
      <c r="Z2159" t="s">
        <v>918</v>
      </c>
      <c r="AA2159" t="s">
        <v>9760</v>
      </c>
      <c r="AB2159">
        <v>1.46</v>
      </c>
      <c r="AC2159" t="s">
        <v>538</v>
      </c>
      <c r="AD2159">
        <v>64.78</v>
      </c>
      <c r="AE2159" t="s">
        <v>128</v>
      </c>
      <c r="AF2159">
        <v>1.61</v>
      </c>
      <c r="AG2159">
        <v>0</v>
      </c>
      <c r="AH2159">
        <v>0</v>
      </c>
      <c r="AI2159" s="4">
        <v>35530</v>
      </c>
    </row>
    <row r="2160" spans="1:35">
      <c r="A2160">
        <v>2159</v>
      </c>
      <c r="B2160" t="str">
        <f>"000565"</f>
        <v>000565</v>
      </c>
      <c r="C2160" t="s">
        <v>10656</v>
      </c>
      <c r="D2160" s="4">
        <v>43190</v>
      </c>
      <c r="E2160" t="s">
        <v>1209</v>
      </c>
      <c r="F2160" t="s">
        <v>1209</v>
      </c>
      <c r="G2160">
        <v>9494</v>
      </c>
      <c r="H2160">
        <v>0.03</v>
      </c>
      <c r="I2160">
        <v>2.4300000000000002</v>
      </c>
      <c r="J2160">
        <v>1.05</v>
      </c>
      <c r="K2160" t="s">
        <v>2034</v>
      </c>
      <c r="L2160">
        <v>-83.94</v>
      </c>
      <c r="M2160" t="s">
        <v>6748</v>
      </c>
      <c r="N2160" t="s">
        <v>10657</v>
      </c>
      <c r="O2160" t="s">
        <v>2377</v>
      </c>
      <c r="P2160" t="s">
        <v>10658</v>
      </c>
      <c r="Q2160">
        <v>-34.950000000000003</v>
      </c>
      <c r="R2160" t="s">
        <v>346</v>
      </c>
      <c r="S2160">
        <v>1.01</v>
      </c>
      <c r="T2160">
        <v>20.87</v>
      </c>
      <c r="U2160" t="s">
        <v>141</v>
      </c>
      <c r="V2160" t="s">
        <v>2010</v>
      </c>
      <c r="W2160" t="s">
        <v>2142</v>
      </c>
      <c r="X2160">
        <v>1.05</v>
      </c>
      <c r="Y2160" t="s">
        <v>4756</v>
      </c>
      <c r="Z2160" t="s">
        <v>1124</v>
      </c>
      <c r="AA2160" t="s">
        <v>595</v>
      </c>
      <c r="AB2160">
        <v>2.0299999999999998</v>
      </c>
      <c r="AC2160" t="s">
        <v>407</v>
      </c>
      <c r="AD2160">
        <v>71.22</v>
      </c>
      <c r="AE2160" t="s">
        <v>10659</v>
      </c>
      <c r="AF2160">
        <v>0.14000000000000001</v>
      </c>
      <c r="AG2160">
        <v>0</v>
      </c>
      <c r="AH2160">
        <v>0</v>
      </c>
      <c r="AI2160" s="4">
        <v>34432</v>
      </c>
    </row>
    <row r="2161" spans="1:35">
      <c r="A2161">
        <v>2160</v>
      </c>
      <c r="B2161" t="str">
        <f>"600135"</f>
        <v>600135</v>
      </c>
      <c r="C2161" t="s">
        <v>10660</v>
      </c>
      <c r="D2161" s="4">
        <v>43190</v>
      </c>
      <c r="E2161" t="s">
        <v>2751</v>
      </c>
      <c r="F2161" t="s">
        <v>2751</v>
      </c>
      <c r="G2161">
        <v>8819</v>
      </c>
      <c r="H2161">
        <v>0.05</v>
      </c>
      <c r="I2161">
        <v>4.57</v>
      </c>
      <c r="J2161">
        <v>1.04</v>
      </c>
      <c r="K2161" t="s">
        <v>1721</v>
      </c>
      <c r="L2161">
        <v>3.36</v>
      </c>
      <c r="M2161" t="s">
        <v>5834</v>
      </c>
      <c r="N2161" t="s">
        <v>3460</v>
      </c>
      <c r="O2161" t="s">
        <v>10661</v>
      </c>
      <c r="P2161" t="s">
        <v>10662</v>
      </c>
      <c r="Q2161">
        <v>-33.630000000000003</v>
      </c>
      <c r="R2161" t="s">
        <v>1664</v>
      </c>
      <c r="S2161">
        <v>0.75</v>
      </c>
      <c r="T2161">
        <v>13.35</v>
      </c>
      <c r="U2161" t="s">
        <v>316</v>
      </c>
      <c r="V2161" t="s">
        <v>115</v>
      </c>
      <c r="W2161" t="s">
        <v>479</v>
      </c>
      <c r="X2161">
        <v>1.04</v>
      </c>
      <c r="Y2161" t="s">
        <v>1965</v>
      </c>
      <c r="Z2161" t="s">
        <v>1685</v>
      </c>
      <c r="AA2161" t="s">
        <v>9309</v>
      </c>
      <c r="AB2161">
        <v>1.55</v>
      </c>
      <c r="AC2161" t="s">
        <v>646</v>
      </c>
      <c r="AD2161">
        <v>74.02</v>
      </c>
      <c r="AE2161" t="s">
        <v>1709</v>
      </c>
      <c r="AF2161">
        <v>2.41</v>
      </c>
      <c r="AG2161">
        <v>0</v>
      </c>
      <c r="AH2161">
        <v>0</v>
      </c>
      <c r="AI2161" s="4">
        <v>35817</v>
      </c>
    </row>
    <row r="2162" spans="1:35">
      <c r="A2162">
        <v>2161</v>
      </c>
      <c r="B2162" t="str">
        <f>"603580"</f>
        <v>603580</v>
      </c>
      <c r="C2162" t="s">
        <v>10663</v>
      </c>
      <c r="D2162" s="4">
        <v>43190</v>
      </c>
      <c r="E2162" t="s">
        <v>10664</v>
      </c>
      <c r="F2162" t="s">
        <v>2841</v>
      </c>
      <c r="G2162">
        <v>1838</v>
      </c>
      <c r="H2162">
        <v>0.04</v>
      </c>
      <c r="I2162">
        <v>3.96</v>
      </c>
      <c r="J2162">
        <v>1.04</v>
      </c>
      <c r="K2162" t="s">
        <v>10665</v>
      </c>
      <c r="L2162">
        <v>14.97</v>
      </c>
      <c r="M2162" t="s">
        <v>7567</v>
      </c>
      <c r="N2162">
        <v>0</v>
      </c>
      <c r="O2162" t="s">
        <v>7567</v>
      </c>
      <c r="P2162" t="s">
        <v>9140</v>
      </c>
      <c r="Q2162">
        <v>-24.8</v>
      </c>
      <c r="R2162" t="s">
        <v>609</v>
      </c>
      <c r="S2162">
        <v>1.5</v>
      </c>
      <c r="T2162">
        <v>44.87</v>
      </c>
      <c r="U2162" t="s">
        <v>1827</v>
      </c>
      <c r="V2162" t="s">
        <v>977</v>
      </c>
      <c r="W2162" t="s">
        <v>10666</v>
      </c>
      <c r="X2162">
        <v>1.04</v>
      </c>
      <c r="Y2162" t="s">
        <v>10667</v>
      </c>
      <c r="Z2162" t="s">
        <v>10668</v>
      </c>
      <c r="AA2162" t="s">
        <v>10669</v>
      </c>
      <c r="AB2162">
        <v>4.21</v>
      </c>
      <c r="AC2162" t="s">
        <v>2665</v>
      </c>
      <c r="AD2162">
        <v>88</v>
      </c>
      <c r="AE2162" t="s">
        <v>93</v>
      </c>
      <c r="AF2162">
        <v>1.28</v>
      </c>
      <c r="AG2162">
        <v>0</v>
      </c>
      <c r="AH2162">
        <v>0</v>
      </c>
      <c r="AI2162" s="4">
        <v>42880</v>
      </c>
    </row>
    <row r="2163" spans="1:35">
      <c r="A2163">
        <v>2162</v>
      </c>
      <c r="B2163" t="str">
        <f>"601766"</f>
        <v>601766</v>
      </c>
      <c r="C2163" t="s">
        <v>10670</v>
      </c>
      <c r="D2163" s="4">
        <v>43190</v>
      </c>
      <c r="E2163" t="s">
        <v>784</v>
      </c>
      <c r="F2163" t="s">
        <v>1193</v>
      </c>
      <c r="G2163" t="s">
        <v>4875</v>
      </c>
      <c r="H2163">
        <v>0.04</v>
      </c>
      <c r="I2163">
        <v>4.28</v>
      </c>
      <c r="J2163">
        <v>1.04</v>
      </c>
      <c r="K2163" t="s">
        <v>9704</v>
      </c>
      <c r="L2163">
        <v>-1.99</v>
      </c>
      <c r="M2163" t="s">
        <v>1244</v>
      </c>
      <c r="N2163" t="s">
        <v>10671</v>
      </c>
      <c r="O2163" t="s">
        <v>419</v>
      </c>
      <c r="P2163" t="s">
        <v>1082</v>
      </c>
      <c r="Q2163">
        <v>10.36</v>
      </c>
      <c r="R2163" t="s">
        <v>3384</v>
      </c>
      <c r="S2163">
        <v>1.75</v>
      </c>
      <c r="T2163">
        <v>22.73</v>
      </c>
      <c r="U2163" t="s">
        <v>10672</v>
      </c>
      <c r="V2163" t="s">
        <v>10673</v>
      </c>
      <c r="W2163" t="s">
        <v>9564</v>
      </c>
      <c r="X2163">
        <v>1.04</v>
      </c>
      <c r="Y2163" t="s">
        <v>10674</v>
      </c>
      <c r="Z2163" t="s">
        <v>10675</v>
      </c>
      <c r="AA2163" t="s">
        <v>3410</v>
      </c>
      <c r="AB2163">
        <v>1.83</v>
      </c>
      <c r="AC2163" t="s">
        <v>10676</v>
      </c>
      <c r="AD2163">
        <v>32.96</v>
      </c>
      <c r="AE2163" t="s">
        <v>10677</v>
      </c>
      <c r="AF2163">
        <v>1.42</v>
      </c>
      <c r="AG2163">
        <v>0</v>
      </c>
      <c r="AH2163" t="s">
        <v>3770</v>
      </c>
      <c r="AI2163" s="4">
        <v>39678</v>
      </c>
    </row>
    <row r="2164" spans="1:35">
      <c r="A2164">
        <v>2163</v>
      </c>
      <c r="B2164" t="str">
        <f>"600936"</f>
        <v>600936</v>
      </c>
      <c r="C2164" t="s">
        <v>10678</v>
      </c>
      <c r="D2164" s="4">
        <v>43190</v>
      </c>
      <c r="E2164" t="s">
        <v>1190</v>
      </c>
      <c r="F2164" t="s">
        <v>625</v>
      </c>
      <c r="G2164" t="s">
        <v>294</v>
      </c>
      <c r="H2164">
        <v>0.03</v>
      </c>
      <c r="I2164">
        <v>2.21</v>
      </c>
      <c r="J2164">
        <v>1.04</v>
      </c>
      <c r="K2164" t="s">
        <v>105</v>
      </c>
      <c r="L2164">
        <v>15.21</v>
      </c>
      <c r="M2164" t="s">
        <v>3689</v>
      </c>
      <c r="N2164" t="s">
        <v>4444</v>
      </c>
      <c r="O2164" t="s">
        <v>9130</v>
      </c>
      <c r="P2164" t="s">
        <v>9130</v>
      </c>
      <c r="Q2164">
        <v>-23.54</v>
      </c>
      <c r="R2164" t="s">
        <v>4404</v>
      </c>
      <c r="S2164">
        <v>0.43</v>
      </c>
      <c r="T2164">
        <v>20.64</v>
      </c>
      <c r="U2164" t="s">
        <v>1572</v>
      </c>
      <c r="V2164" t="s">
        <v>419</v>
      </c>
      <c r="W2164" t="s">
        <v>817</v>
      </c>
      <c r="X2164">
        <v>1.04</v>
      </c>
      <c r="Y2164" t="s">
        <v>1133</v>
      </c>
      <c r="Z2164" t="s">
        <v>451</v>
      </c>
      <c r="AA2164" t="s">
        <v>982</v>
      </c>
      <c r="AB2164">
        <v>2.1</v>
      </c>
      <c r="AC2164" t="s">
        <v>2871</v>
      </c>
      <c r="AD2164">
        <v>49.05</v>
      </c>
      <c r="AE2164" t="s">
        <v>1223</v>
      </c>
      <c r="AF2164">
        <v>0.65</v>
      </c>
      <c r="AG2164">
        <v>0</v>
      </c>
      <c r="AH2164">
        <v>0</v>
      </c>
      <c r="AI2164" s="4">
        <v>42597</v>
      </c>
    </row>
    <row r="2165" spans="1:35">
      <c r="A2165">
        <v>2164</v>
      </c>
      <c r="B2165" t="str">
        <f>"600376"</f>
        <v>600376</v>
      </c>
      <c r="C2165" t="s">
        <v>10679</v>
      </c>
      <c r="D2165" s="4">
        <v>43190</v>
      </c>
      <c r="E2165" t="s">
        <v>1504</v>
      </c>
      <c r="F2165" t="s">
        <v>774</v>
      </c>
      <c r="G2165" t="s">
        <v>10680</v>
      </c>
      <c r="H2165">
        <v>0.13</v>
      </c>
      <c r="I2165">
        <v>8.49</v>
      </c>
      <c r="J2165">
        <v>1.04</v>
      </c>
      <c r="K2165" t="s">
        <v>4683</v>
      </c>
      <c r="L2165">
        <v>46.28</v>
      </c>
      <c r="M2165" t="s">
        <v>362</v>
      </c>
      <c r="N2165" t="s">
        <v>1365</v>
      </c>
      <c r="O2165" t="s">
        <v>216</v>
      </c>
      <c r="P2165" t="s">
        <v>2661</v>
      </c>
      <c r="Q2165">
        <v>105.48</v>
      </c>
      <c r="R2165" t="s">
        <v>1220</v>
      </c>
      <c r="S2165">
        <v>3.78</v>
      </c>
      <c r="T2165">
        <v>19.78</v>
      </c>
      <c r="U2165" t="s">
        <v>10681</v>
      </c>
      <c r="V2165" t="s">
        <v>10682</v>
      </c>
      <c r="W2165" t="s">
        <v>767</v>
      </c>
      <c r="X2165">
        <v>1.04</v>
      </c>
      <c r="Y2165" t="s">
        <v>10683</v>
      </c>
      <c r="Z2165" t="s">
        <v>10684</v>
      </c>
      <c r="AA2165" t="s">
        <v>10685</v>
      </c>
      <c r="AB2165">
        <v>0.99</v>
      </c>
      <c r="AC2165" t="s">
        <v>4122</v>
      </c>
      <c r="AD2165">
        <v>11.78</v>
      </c>
      <c r="AE2165" t="s">
        <v>1023</v>
      </c>
      <c r="AF2165">
        <v>2.97</v>
      </c>
      <c r="AG2165">
        <v>0</v>
      </c>
      <c r="AH2165">
        <v>0</v>
      </c>
      <c r="AI2165" s="4">
        <v>36962</v>
      </c>
    </row>
    <row r="2166" spans="1:35">
      <c r="A2166">
        <v>2165</v>
      </c>
      <c r="B2166" t="str">
        <f>"002771"</f>
        <v>002771</v>
      </c>
      <c r="C2166" t="s">
        <v>10686</v>
      </c>
      <c r="D2166" s="4">
        <v>43190</v>
      </c>
      <c r="E2166" t="s">
        <v>319</v>
      </c>
      <c r="F2166" t="s">
        <v>10687</v>
      </c>
      <c r="G2166">
        <v>3710</v>
      </c>
      <c r="H2166">
        <v>0.05</v>
      </c>
      <c r="I2166">
        <v>3.89</v>
      </c>
      <c r="J2166">
        <v>1.04</v>
      </c>
      <c r="K2166" t="s">
        <v>609</v>
      </c>
      <c r="L2166">
        <v>-7.22</v>
      </c>
      <c r="M2166" t="s">
        <v>7291</v>
      </c>
      <c r="N2166" t="s">
        <v>10688</v>
      </c>
      <c r="O2166" t="s">
        <v>7291</v>
      </c>
      <c r="P2166" t="s">
        <v>7623</v>
      </c>
      <c r="Q2166">
        <v>-35.93</v>
      </c>
      <c r="R2166" t="s">
        <v>3011</v>
      </c>
      <c r="S2166">
        <v>1.52</v>
      </c>
      <c r="T2166">
        <v>25.45</v>
      </c>
      <c r="U2166" t="s">
        <v>1368</v>
      </c>
      <c r="V2166" t="s">
        <v>3312</v>
      </c>
      <c r="W2166" t="s">
        <v>1376</v>
      </c>
      <c r="X2166">
        <v>1.04</v>
      </c>
      <c r="Y2166" t="s">
        <v>1967</v>
      </c>
      <c r="Z2166" t="s">
        <v>1530</v>
      </c>
      <c r="AA2166" t="s">
        <v>7797</v>
      </c>
      <c r="AB2166">
        <v>3.43</v>
      </c>
      <c r="AC2166" t="s">
        <v>504</v>
      </c>
      <c r="AD2166">
        <v>66.13</v>
      </c>
      <c r="AE2166" t="s">
        <v>293</v>
      </c>
      <c r="AF2166">
        <v>1.24</v>
      </c>
      <c r="AG2166">
        <v>0</v>
      </c>
      <c r="AH2166">
        <v>0</v>
      </c>
      <c r="AI2166" s="4">
        <v>42184</v>
      </c>
    </row>
    <row r="2167" spans="1:35">
      <c r="A2167">
        <v>2166</v>
      </c>
      <c r="B2167" t="str">
        <f>"002381"</f>
        <v>002381</v>
      </c>
      <c r="C2167" t="s">
        <v>10689</v>
      </c>
      <c r="D2167" s="4">
        <v>43190</v>
      </c>
      <c r="E2167" t="s">
        <v>1706</v>
      </c>
      <c r="F2167" t="s">
        <v>1210</v>
      </c>
      <c r="G2167">
        <v>7206</v>
      </c>
      <c r="H2167">
        <v>0.04</v>
      </c>
      <c r="I2167">
        <v>3.89</v>
      </c>
      <c r="J2167">
        <v>1.04</v>
      </c>
      <c r="K2167" t="s">
        <v>145</v>
      </c>
      <c r="L2167">
        <v>9.4499999999999993</v>
      </c>
      <c r="M2167" t="s">
        <v>6785</v>
      </c>
      <c r="N2167" t="s">
        <v>10690</v>
      </c>
      <c r="O2167" t="s">
        <v>10691</v>
      </c>
      <c r="P2167" t="s">
        <v>10591</v>
      </c>
      <c r="Q2167">
        <v>87.38</v>
      </c>
      <c r="R2167" t="s">
        <v>4427</v>
      </c>
      <c r="S2167">
        <v>1.1200000000000001</v>
      </c>
      <c r="T2167">
        <v>20.329999999999998</v>
      </c>
      <c r="U2167" t="s">
        <v>159</v>
      </c>
      <c r="V2167" t="s">
        <v>547</v>
      </c>
      <c r="W2167" t="s">
        <v>1074</v>
      </c>
      <c r="X2167">
        <v>1.04</v>
      </c>
      <c r="Y2167" t="s">
        <v>2224</v>
      </c>
      <c r="Z2167" t="s">
        <v>2224</v>
      </c>
      <c r="AA2167" t="s">
        <v>3905</v>
      </c>
      <c r="AB2167">
        <v>1.48</v>
      </c>
      <c r="AC2167" t="s">
        <v>646</v>
      </c>
      <c r="AD2167">
        <v>81.91</v>
      </c>
      <c r="AE2167" t="s">
        <v>1898</v>
      </c>
      <c r="AF2167">
        <v>1.55</v>
      </c>
      <c r="AG2167">
        <v>0</v>
      </c>
      <c r="AH2167">
        <v>0</v>
      </c>
      <c r="AI2167" s="4">
        <v>40270</v>
      </c>
    </row>
    <row r="2168" spans="1:35">
      <c r="A2168">
        <v>2167</v>
      </c>
      <c r="B2168" t="str">
        <f>"002291"</f>
        <v>002291</v>
      </c>
      <c r="C2168" t="s">
        <v>10692</v>
      </c>
      <c r="D2168" s="4">
        <v>43190</v>
      </c>
      <c r="E2168" t="s">
        <v>267</v>
      </c>
      <c r="F2168" t="s">
        <v>2029</v>
      </c>
      <c r="G2168" t="s">
        <v>4763</v>
      </c>
      <c r="H2168">
        <v>0.05</v>
      </c>
      <c r="I2168">
        <v>3.79</v>
      </c>
      <c r="J2168">
        <v>1.04</v>
      </c>
      <c r="K2168" t="s">
        <v>265</v>
      </c>
      <c r="L2168">
        <v>-8.69</v>
      </c>
      <c r="M2168" t="s">
        <v>10693</v>
      </c>
      <c r="N2168" t="s">
        <v>10694</v>
      </c>
      <c r="O2168" t="s">
        <v>3687</v>
      </c>
      <c r="P2168" t="s">
        <v>10695</v>
      </c>
      <c r="Q2168">
        <v>66.67</v>
      </c>
      <c r="R2168" t="s">
        <v>3181</v>
      </c>
      <c r="S2168">
        <v>0.22</v>
      </c>
      <c r="T2168">
        <v>54.61</v>
      </c>
      <c r="U2168" t="s">
        <v>2028</v>
      </c>
      <c r="V2168" t="s">
        <v>2515</v>
      </c>
      <c r="W2168" t="s">
        <v>642</v>
      </c>
      <c r="X2168">
        <v>1.04</v>
      </c>
      <c r="Y2168" t="s">
        <v>303</v>
      </c>
      <c r="Z2168" t="s">
        <v>124</v>
      </c>
      <c r="AA2168" t="s">
        <v>2625</v>
      </c>
      <c r="AB2168">
        <v>1.22</v>
      </c>
      <c r="AC2168" t="s">
        <v>547</v>
      </c>
      <c r="AD2168">
        <v>45.49</v>
      </c>
      <c r="AE2168" t="s">
        <v>513</v>
      </c>
      <c r="AF2168">
        <v>2.38</v>
      </c>
      <c r="AG2168">
        <v>0</v>
      </c>
      <c r="AH2168">
        <v>0</v>
      </c>
      <c r="AI2168" s="4">
        <v>40059</v>
      </c>
    </row>
    <row r="2169" spans="1:35">
      <c r="A2169">
        <v>2168</v>
      </c>
      <c r="B2169" t="str">
        <f>"002202"</f>
        <v>002202</v>
      </c>
      <c r="C2169" t="s">
        <v>10696</v>
      </c>
      <c r="D2169" s="4">
        <v>43190</v>
      </c>
      <c r="E2169" t="s">
        <v>2093</v>
      </c>
      <c r="F2169" t="s">
        <v>700</v>
      </c>
      <c r="G2169">
        <v>0</v>
      </c>
      <c r="H2169">
        <v>7.0000000000000007E-2</v>
      </c>
      <c r="I2169">
        <v>6.01</v>
      </c>
      <c r="J2169">
        <v>1.04</v>
      </c>
      <c r="K2169" t="s">
        <v>113</v>
      </c>
      <c r="L2169">
        <v>7.7</v>
      </c>
      <c r="M2169" t="s">
        <v>2102</v>
      </c>
      <c r="N2169" t="s">
        <v>95</v>
      </c>
      <c r="O2169" t="s">
        <v>1067</v>
      </c>
      <c r="P2169" t="s">
        <v>94</v>
      </c>
      <c r="Q2169">
        <v>32.72</v>
      </c>
      <c r="R2169" t="s">
        <v>10697</v>
      </c>
      <c r="S2169">
        <v>2.4</v>
      </c>
      <c r="T2169">
        <v>36.03</v>
      </c>
      <c r="U2169" t="s">
        <v>2503</v>
      </c>
      <c r="V2169" t="s">
        <v>394</v>
      </c>
      <c r="W2169" t="s">
        <v>1893</v>
      </c>
      <c r="X2169">
        <v>1.04</v>
      </c>
      <c r="Y2169" t="s">
        <v>7614</v>
      </c>
      <c r="Z2169" t="s">
        <v>5857</v>
      </c>
      <c r="AA2169" t="s">
        <v>1495</v>
      </c>
      <c r="AB2169">
        <v>2.33</v>
      </c>
      <c r="AC2169" t="s">
        <v>1193</v>
      </c>
      <c r="AD2169">
        <v>32.049999999999997</v>
      </c>
      <c r="AE2169" t="s">
        <v>1514</v>
      </c>
      <c r="AF2169">
        <v>2.2999999999999998</v>
      </c>
      <c r="AG2169">
        <v>0</v>
      </c>
      <c r="AH2169" t="s">
        <v>1044</v>
      </c>
      <c r="AI2169" s="4">
        <v>39442</v>
      </c>
    </row>
    <row r="2170" spans="1:35">
      <c r="A2170">
        <v>2169</v>
      </c>
      <c r="B2170" t="str">
        <f>"002089"</f>
        <v>002089</v>
      </c>
      <c r="C2170" t="s">
        <v>10698</v>
      </c>
      <c r="D2170" s="4">
        <v>43190</v>
      </c>
      <c r="E2170" t="s">
        <v>971</v>
      </c>
      <c r="F2170" t="s">
        <v>4345</v>
      </c>
      <c r="G2170" t="s">
        <v>3138</v>
      </c>
      <c r="H2170">
        <v>0.01</v>
      </c>
      <c r="I2170">
        <v>1.28</v>
      </c>
      <c r="J2170">
        <v>1.04</v>
      </c>
      <c r="K2170" t="s">
        <v>10699</v>
      </c>
      <c r="L2170">
        <v>-67.34</v>
      </c>
      <c r="M2170" t="s">
        <v>10700</v>
      </c>
      <c r="N2170" t="s">
        <v>9753</v>
      </c>
      <c r="O2170" t="s">
        <v>10701</v>
      </c>
      <c r="P2170" t="s">
        <v>4242</v>
      </c>
      <c r="Q2170">
        <v>39.729999999999997</v>
      </c>
      <c r="R2170" t="s">
        <v>594</v>
      </c>
      <c r="S2170">
        <v>0.2</v>
      </c>
      <c r="T2170">
        <v>28.6</v>
      </c>
      <c r="U2170" t="s">
        <v>3016</v>
      </c>
      <c r="V2170" t="s">
        <v>908</v>
      </c>
      <c r="W2170" t="s">
        <v>5930</v>
      </c>
      <c r="X2170">
        <v>1.04</v>
      </c>
      <c r="Y2170" t="s">
        <v>981</v>
      </c>
      <c r="Z2170" t="s">
        <v>418</v>
      </c>
      <c r="AA2170" t="s">
        <v>616</v>
      </c>
      <c r="AB2170">
        <v>4.7300000000000004</v>
      </c>
      <c r="AC2170" t="s">
        <v>775</v>
      </c>
      <c r="AD2170">
        <v>39.79</v>
      </c>
      <c r="AE2170" t="s">
        <v>3711</v>
      </c>
      <c r="AF2170">
        <v>0.02</v>
      </c>
      <c r="AG2170">
        <v>0</v>
      </c>
      <c r="AH2170">
        <v>0</v>
      </c>
      <c r="AI2170" s="4">
        <v>39051</v>
      </c>
    </row>
    <row r="2171" spans="1:35">
      <c r="A2171">
        <v>2170</v>
      </c>
      <c r="B2171" t="str">
        <f>"300358"</f>
        <v>300358</v>
      </c>
      <c r="C2171" t="s">
        <v>10702</v>
      </c>
      <c r="D2171" s="4">
        <v>43190</v>
      </c>
      <c r="E2171" t="s">
        <v>988</v>
      </c>
      <c r="F2171" t="s">
        <v>609</v>
      </c>
      <c r="G2171">
        <v>8444</v>
      </c>
      <c r="H2171">
        <v>0.05</v>
      </c>
      <c r="I2171">
        <v>4.88</v>
      </c>
      <c r="J2171">
        <v>1.03</v>
      </c>
      <c r="K2171" t="s">
        <v>2041</v>
      </c>
      <c r="L2171">
        <v>37.72</v>
      </c>
      <c r="M2171" t="s">
        <v>8154</v>
      </c>
      <c r="N2171">
        <v>0</v>
      </c>
      <c r="O2171" t="s">
        <v>10703</v>
      </c>
      <c r="P2171" t="s">
        <v>10704</v>
      </c>
      <c r="Q2171">
        <v>-6.88</v>
      </c>
      <c r="R2171" t="s">
        <v>5415</v>
      </c>
      <c r="S2171">
        <v>1.46</v>
      </c>
      <c r="T2171">
        <v>34.94</v>
      </c>
      <c r="U2171" t="s">
        <v>447</v>
      </c>
      <c r="V2171" t="s">
        <v>2280</v>
      </c>
      <c r="W2171" t="s">
        <v>1480</v>
      </c>
      <c r="X2171">
        <v>1.03</v>
      </c>
      <c r="Y2171" t="s">
        <v>848</v>
      </c>
      <c r="Z2171" t="s">
        <v>263</v>
      </c>
      <c r="AA2171" t="s">
        <v>1365</v>
      </c>
      <c r="AB2171">
        <v>1.89</v>
      </c>
      <c r="AC2171" t="s">
        <v>242</v>
      </c>
      <c r="AD2171">
        <v>59.84</v>
      </c>
      <c r="AE2171" t="s">
        <v>405</v>
      </c>
      <c r="AF2171">
        <v>2.56</v>
      </c>
      <c r="AG2171">
        <v>0</v>
      </c>
      <c r="AH2171">
        <v>0</v>
      </c>
      <c r="AI2171" s="4">
        <v>41660</v>
      </c>
    </row>
    <row r="2172" spans="1:35">
      <c r="A2172">
        <v>2171</v>
      </c>
      <c r="B2172" t="str">
        <f>"002748"</f>
        <v>002748</v>
      </c>
      <c r="C2172" t="s">
        <v>10705</v>
      </c>
      <c r="D2172" s="4">
        <v>43190</v>
      </c>
      <c r="E2172" t="s">
        <v>94</v>
      </c>
      <c r="F2172" t="s">
        <v>94</v>
      </c>
      <c r="G2172" t="s">
        <v>1228</v>
      </c>
      <c r="H2172">
        <v>0.05</v>
      </c>
      <c r="I2172">
        <v>4.68</v>
      </c>
      <c r="J2172">
        <v>1.03</v>
      </c>
      <c r="K2172" t="s">
        <v>1791</v>
      </c>
      <c r="L2172">
        <v>-9.4499999999999993</v>
      </c>
      <c r="M2172" t="s">
        <v>10655</v>
      </c>
      <c r="N2172">
        <v>0</v>
      </c>
      <c r="O2172" t="s">
        <v>10706</v>
      </c>
      <c r="P2172" t="s">
        <v>1668</v>
      </c>
      <c r="Q2172">
        <v>-81.59</v>
      </c>
      <c r="R2172" t="s">
        <v>1611</v>
      </c>
      <c r="S2172">
        <v>1.97</v>
      </c>
      <c r="T2172">
        <v>18</v>
      </c>
      <c r="U2172" t="s">
        <v>971</v>
      </c>
      <c r="V2172" t="s">
        <v>541</v>
      </c>
      <c r="W2172" t="s">
        <v>1241</v>
      </c>
      <c r="X2172">
        <v>1.03</v>
      </c>
      <c r="Y2172" t="s">
        <v>1860</v>
      </c>
      <c r="Z2172" t="s">
        <v>2031</v>
      </c>
      <c r="AA2172" t="s">
        <v>849</v>
      </c>
      <c r="AB2172">
        <v>2.0099999999999998</v>
      </c>
      <c r="AC2172" t="s">
        <v>192</v>
      </c>
      <c r="AD2172">
        <v>85.6</v>
      </c>
      <c r="AE2172" t="s">
        <v>976</v>
      </c>
      <c r="AF2172">
        <v>1.39</v>
      </c>
      <c r="AG2172">
        <v>0</v>
      </c>
      <c r="AH2172">
        <v>0</v>
      </c>
      <c r="AI2172" s="4">
        <v>42082</v>
      </c>
    </row>
    <row r="2173" spans="1:35">
      <c r="A2173">
        <v>2172</v>
      </c>
      <c r="B2173" t="str">
        <f>"000861"</f>
        <v>000861</v>
      </c>
      <c r="C2173" t="s">
        <v>10707</v>
      </c>
      <c r="D2173" s="4">
        <v>43190</v>
      </c>
      <c r="E2173" t="s">
        <v>565</v>
      </c>
      <c r="F2173" t="s">
        <v>516</v>
      </c>
      <c r="G2173" t="s">
        <v>4386</v>
      </c>
      <c r="H2173">
        <v>0.02</v>
      </c>
      <c r="I2173">
        <v>1.45</v>
      </c>
      <c r="J2173">
        <v>1.03</v>
      </c>
      <c r="K2173" t="s">
        <v>3587</v>
      </c>
      <c r="L2173">
        <v>28.03</v>
      </c>
      <c r="M2173" t="s">
        <v>5156</v>
      </c>
      <c r="N2173" t="s">
        <v>10120</v>
      </c>
      <c r="O2173" t="s">
        <v>2254</v>
      </c>
      <c r="P2173" t="s">
        <v>10708</v>
      </c>
      <c r="Q2173">
        <v>0.53</v>
      </c>
      <c r="R2173" t="s">
        <v>179</v>
      </c>
      <c r="S2173">
        <v>0.38</v>
      </c>
      <c r="T2173">
        <v>37.51</v>
      </c>
      <c r="U2173" t="s">
        <v>1089</v>
      </c>
      <c r="V2173" t="s">
        <v>1580</v>
      </c>
      <c r="W2173" t="s">
        <v>1475</v>
      </c>
      <c r="X2173">
        <v>1.03</v>
      </c>
      <c r="Y2173" t="s">
        <v>4463</v>
      </c>
      <c r="Z2173" t="s">
        <v>351</v>
      </c>
      <c r="AA2173" t="s">
        <v>3303</v>
      </c>
      <c r="AB2173">
        <v>1.63</v>
      </c>
      <c r="AC2173" t="s">
        <v>1175</v>
      </c>
      <c r="AD2173">
        <v>29.01</v>
      </c>
      <c r="AE2173" t="s">
        <v>751</v>
      </c>
      <c r="AF2173">
        <v>0.01</v>
      </c>
      <c r="AG2173">
        <v>0</v>
      </c>
      <c r="AH2173">
        <v>0</v>
      </c>
      <c r="AI2173" s="4">
        <v>36096</v>
      </c>
    </row>
    <row r="2174" spans="1:35">
      <c r="A2174">
        <v>2173</v>
      </c>
      <c r="B2174" t="str">
        <f>"603577"</f>
        <v>603577</v>
      </c>
      <c r="C2174" t="s">
        <v>10709</v>
      </c>
      <c r="D2174" s="4">
        <v>43190</v>
      </c>
      <c r="E2174" t="s">
        <v>284</v>
      </c>
      <c r="F2174" t="s">
        <v>7854</v>
      </c>
      <c r="G2174">
        <v>4393</v>
      </c>
      <c r="H2174">
        <v>0.05</v>
      </c>
      <c r="I2174">
        <v>5.01</v>
      </c>
      <c r="J2174">
        <v>1.02</v>
      </c>
      <c r="K2174" t="s">
        <v>200</v>
      </c>
      <c r="L2174">
        <v>17.7</v>
      </c>
      <c r="M2174" t="s">
        <v>10710</v>
      </c>
      <c r="N2174">
        <v>0</v>
      </c>
      <c r="O2174" t="s">
        <v>10711</v>
      </c>
      <c r="P2174" t="s">
        <v>10712</v>
      </c>
      <c r="Q2174">
        <v>-6.74</v>
      </c>
      <c r="R2174" t="s">
        <v>262</v>
      </c>
      <c r="S2174">
        <v>1.27</v>
      </c>
      <c r="T2174">
        <v>20</v>
      </c>
      <c r="U2174" t="s">
        <v>304</v>
      </c>
      <c r="V2174" t="s">
        <v>124</v>
      </c>
      <c r="W2174" t="s">
        <v>2142</v>
      </c>
      <c r="X2174">
        <v>1.02</v>
      </c>
      <c r="Y2174" t="s">
        <v>2139</v>
      </c>
      <c r="Z2174" t="s">
        <v>539</v>
      </c>
      <c r="AA2174" t="s">
        <v>7512</v>
      </c>
      <c r="AB2174">
        <v>2.33</v>
      </c>
      <c r="AC2174" t="s">
        <v>421</v>
      </c>
      <c r="AD2174">
        <v>50.82</v>
      </c>
      <c r="AE2174" t="s">
        <v>645</v>
      </c>
      <c r="AF2174">
        <v>2.59</v>
      </c>
      <c r="AG2174">
        <v>0</v>
      </c>
      <c r="AH2174">
        <v>0</v>
      </c>
      <c r="AI2174" s="4">
        <v>42726</v>
      </c>
    </row>
    <row r="2175" spans="1:35">
      <c r="A2175">
        <v>2174</v>
      </c>
      <c r="B2175" t="str">
        <f>"603488"</f>
        <v>603488</v>
      </c>
      <c r="C2175" t="s">
        <v>10713</v>
      </c>
      <c r="D2175" s="4">
        <v>43190</v>
      </c>
      <c r="E2175" t="s">
        <v>415</v>
      </c>
      <c r="F2175" t="s">
        <v>4979</v>
      </c>
      <c r="G2175">
        <v>4125</v>
      </c>
      <c r="H2175">
        <v>0.04</v>
      </c>
      <c r="I2175">
        <v>3.68</v>
      </c>
      <c r="J2175">
        <v>1.02</v>
      </c>
      <c r="K2175" t="s">
        <v>10714</v>
      </c>
      <c r="L2175">
        <v>-2.36</v>
      </c>
      <c r="M2175" t="s">
        <v>10715</v>
      </c>
      <c r="N2175" t="s">
        <v>10716</v>
      </c>
      <c r="O2175" t="s">
        <v>10717</v>
      </c>
      <c r="P2175" t="s">
        <v>4906</v>
      </c>
      <c r="Q2175">
        <v>-22.02</v>
      </c>
      <c r="R2175" t="s">
        <v>1484</v>
      </c>
      <c r="S2175">
        <v>0.88</v>
      </c>
      <c r="T2175">
        <v>35.32</v>
      </c>
      <c r="U2175" t="s">
        <v>421</v>
      </c>
      <c r="V2175" t="s">
        <v>1867</v>
      </c>
      <c r="W2175" t="s">
        <v>1365</v>
      </c>
      <c r="X2175">
        <v>1.02</v>
      </c>
      <c r="Y2175" t="s">
        <v>6490</v>
      </c>
      <c r="Z2175" t="s">
        <v>6490</v>
      </c>
      <c r="AA2175">
        <v>0</v>
      </c>
      <c r="AB2175">
        <v>2.68</v>
      </c>
      <c r="AC2175" t="s">
        <v>1868</v>
      </c>
      <c r="AD2175">
        <v>92.24</v>
      </c>
      <c r="AE2175" t="s">
        <v>593</v>
      </c>
      <c r="AF2175">
        <v>1.58</v>
      </c>
      <c r="AG2175">
        <v>0</v>
      </c>
      <c r="AH2175">
        <v>0</v>
      </c>
      <c r="AI2175" s="4">
        <v>42871</v>
      </c>
    </row>
    <row r="2176" spans="1:35">
      <c r="A2176">
        <v>2175</v>
      </c>
      <c r="B2176" t="str">
        <f>"600848"</f>
        <v>600848</v>
      </c>
      <c r="C2176" t="s">
        <v>10718</v>
      </c>
      <c r="D2176" s="4">
        <v>43190</v>
      </c>
      <c r="E2176" t="s">
        <v>147</v>
      </c>
      <c r="F2176" t="s">
        <v>150</v>
      </c>
      <c r="G2176">
        <v>0</v>
      </c>
      <c r="H2176">
        <v>0.06</v>
      </c>
      <c r="I2176">
        <v>5.75</v>
      </c>
      <c r="J2176">
        <v>1.02</v>
      </c>
      <c r="K2176" t="s">
        <v>1664</v>
      </c>
      <c r="L2176">
        <v>-19.95</v>
      </c>
      <c r="M2176" t="s">
        <v>2673</v>
      </c>
      <c r="N2176" t="s">
        <v>7673</v>
      </c>
      <c r="O2176" t="s">
        <v>10719</v>
      </c>
      <c r="P2176" t="s">
        <v>10720</v>
      </c>
      <c r="Q2176">
        <v>19.21</v>
      </c>
      <c r="R2176" t="s">
        <v>602</v>
      </c>
      <c r="S2176">
        <v>0.87</v>
      </c>
      <c r="T2176">
        <v>54.32</v>
      </c>
      <c r="U2176" t="s">
        <v>1149</v>
      </c>
      <c r="V2176" t="s">
        <v>232</v>
      </c>
      <c r="W2176" t="s">
        <v>209</v>
      </c>
      <c r="X2176">
        <v>1.02</v>
      </c>
      <c r="Y2176" t="s">
        <v>5199</v>
      </c>
      <c r="Z2176" t="s">
        <v>2239</v>
      </c>
      <c r="AA2176" t="s">
        <v>251</v>
      </c>
      <c r="AB2176">
        <v>3.77</v>
      </c>
      <c r="AC2176" t="s">
        <v>2243</v>
      </c>
      <c r="AD2176">
        <v>47.08</v>
      </c>
      <c r="AE2176" t="s">
        <v>408</v>
      </c>
      <c r="AF2176">
        <v>3.79</v>
      </c>
      <c r="AG2176" t="s">
        <v>1459</v>
      </c>
      <c r="AH2176">
        <v>0</v>
      </c>
      <c r="AI2176" s="4">
        <v>34417</v>
      </c>
    </row>
    <row r="2177" spans="1:35">
      <c r="A2177">
        <v>2176</v>
      </c>
      <c r="B2177" t="str">
        <f>"600744"</f>
        <v>600744</v>
      </c>
      <c r="C2177" t="s">
        <v>10721</v>
      </c>
      <c r="D2177" s="4">
        <v>43190</v>
      </c>
      <c r="E2177" t="s">
        <v>1678</v>
      </c>
      <c r="F2177" t="s">
        <v>619</v>
      </c>
      <c r="G2177">
        <v>9753</v>
      </c>
      <c r="H2177">
        <v>0.02</v>
      </c>
      <c r="I2177">
        <v>1.69</v>
      </c>
      <c r="J2177">
        <v>1.02</v>
      </c>
      <c r="K2177" t="s">
        <v>1516</v>
      </c>
      <c r="L2177">
        <v>27.46</v>
      </c>
      <c r="M2177" t="s">
        <v>5251</v>
      </c>
      <c r="N2177">
        <v>0</v>
      </c>
      <c r="O2177" t="s">
        <v>10722</v>
      </c>
      <c r="P2177" t="s">
        <v>3455</v>
      </c>
      <c r="Q2177">
        <v>116.85</v>
      </c>
      <c r="R2177" t="s">
        <v>10723</v>
      </c>
      <c r="S2177">
        <v>-2.13</v>
      </c>
      <c r="T2177">
        <v>8.1300000000000008</v>
      </c>
      <c r="U2177" t="s">
        <v>4462</v>
      </c>
      <c r="V2177" t="s">
        <v>738</v>
      </c>
      <c r="W2177" t="s">
        <v>404</v>
      </c>
      <c r="X2177">
        <v>1.02</v>
      </c>
      <c r="Y2177" t="s">
        <v>310</v>
      </c>
      <c r="Z2177" t="s">
        <v>1060</v>
      </c>
      <c r="AA2177" t="s">
        <v>873</v>
      </c>
      <c r="AB2177">
        <v>1.64</v>
      </c>
      <c r="AC2177" t="s">
        <v>386</v>
      </c>
      <c r="AD2177">
        <v>16.16</v>
      </c>
      <c r="AE2177" t="s">
        <v>780</v>
      </c>
      <c r="AF2177">
        <v>2.74</v>
      </c>
      <c r="AG2177">
        <v>0</v>
      </c>
      <c r="AH2177">
        <v>0</v>
      </c>
      <c r="AI2177" s="4">
        <v>35313</v>
      </c>
    </row>
    <row r="2178" spans="1:35">
      <c r="A2178">
        <v>2177</v>
      </c>
      <c r="B2178" t="str">
        <f>"600525"</f>
        <v>600525</v>
      </c>
      <c r="C2178" t="s">
        <v>10724</v>
      </c>
      <c r="D2178" s="4">
        <v>43190</v>
      </c>
      <c r="E2178" t="s">
        <v>1307</v>
      </c>
      <c r="F2178" t="s">
        <v>300</v>
      </c>
      <c r="G2178" t="s">
        <v>7693</v>
      </c>
      <c r="H2178">
        <v>0.06</v>
      </c>
      <c r="I2178">
        <v>6.22</v>
      </c>
      <c r="J2178">
        <v>1.02</v>
      </c>
      <c r="K2178" t="s">
        <v>1367</v>
      </c>
      <c r="L2178">
        <v>34.97</v>
      </c>
      <c r="M2178" t="s">
        <v>5426</v>
      </c>
      <c r="N2178" t="s">
        <v>10725</v>
      </c>
      <c r="O2178" t="s">
        <v>10726</v>
      </c>
      <c r="P2178" t="s">
        <v>10666</v>
      </c>
      <c r="Q2178">
        <v>83.33</v>
      </c>
      <c r="R2178" t="s">
        <v>2498</v>
      </c>
      <c r="S2178">
        <v>2.67</v>
      </c>
      <c r="T2178">
        <v>46.46</v>
      </c>
      <c r="U2178" t="s">
        <v>2766</v>
      </c>
      <c r="V2178" t="s">
        <v>4347</v>
      </c>
      <c r="W2178" t="s">
        <v>276</v>
      </c>
      <c r="X2178">
        <v>1.02</v>
      </c>
      <c r="Y2178" t="s">
        <v>719</v>
      </c>
      <c r="Z2178" t="s">
        <v>1987</v>
      </c>
      <c r="AA2178" t="s">
        <v>3926</v>
      </c>
      <c r="AB2178">
        <v>1.89</v>
      </c>
      <c r="AC2178" t="s">
        <v>1571</v>
      </c>
      <c r="AD2178">
        <v>37.72</v>
      </c>
      <c r="AE2178" t="s">
        <v>449</v>
      </c>
      <c r="AF2178">
        <v>1.62</v>
      </c>
      <c r="AG2178">
        <v>0</v>
      </c>
      <c r="AH2178">
        <v>0</v>
      </c>
      <c r="AI2178" s="4">
        <v>37592</v>
      </c>
    </row>
    <row r="2179" spans="1:35">
      <c r="A2179">
        <v>2178</v>
      </c>
      <c r="B2179" t="str">
        <f>"600459"</f>
        <v>600459</v>
      </c>
      <c r="C2179" t="s">
        <v>10727</v>
      </c>
      <c r="D2179" s="4">
        <v>43190</v>
      </c>
      <c r="E2179" t="s">
        <v>1578</v>
      </c>
      <c r="F2179" t="s">
        <v>1578</v>
      </c>
      <c r="G2179">
        <v>7150</v>
      </c>
      <c r="H2179">
        <v>0.06</v>
      </c>
      <c r="I2179">
        <v>5.67</v>
      </c>
      <c r="J2179">
        <v>1.02</v>
      </c>
      <c r="K2179" t="s">
        <v>1781</v>
      </c>
      <c r="L2179">
        <v>0.01</v>
      </c>
      <c r="M2179" t="s">
        <v>3928</v>
      </c>
      <c r="N2179" t="s">
        <v>7397</v>
      </c>
      <c r="O2179" t="s">
        <v>10728</v>
      </c>
      <c r="P2179" t="s">
        <v>8237</v>
      </c>
      <c r="Q2179">
        <v>-29.36</v>
      </c>
      <c r="R2179" t="s">
        <v>645</v>
      </c>
      <c r="S2179">
        <v>1.23</v>
      </c>
      <c r="T2179">
        <v>3.23</v>
      </c>
      <c r="U2179" t="s">
        <v>2639</v>
      </c>
      <c r="V2179" t="s">
        <v>740</v>
      </c>
      <c r="W2179" t="s">
        <v>1644</v>
      </c>
      <c r="X2179">
        <v>1.02</v>
      </c>
      <c r="Y2179" t="s">
        <v>2725</v>
      </c>
      <c r="Z2179" t="s">
        <v>502</v>
      </c>
      <c r="AA2179" t="s">
        <v>1198</v>
      </c>
      <c r="AB2179">
        <v>1.87</v>
      </c>
      <c r="AC2179" t="s">
        <v>419</v>
      </c>
      <c r="AD2179">
        <v>33.6</v>
      </c>
      <c r="AE2179" t="s">
        <v>192</v>
      </c>
      <c r="AF2179">
        <v>3.21</v>
      </c>
      <c r="AG2179">
        <v>0</v>
      </c>
      <c r="AH2179">
        <v>0</v>
      </c>
      <c r="AI2179" s="4">
        <v>37757</v>
      </c>
    </row>
    <row r="2180" spans="1:35">
      <c r="A2180">
        <v>2179</v>
      </c>
      <c r="B2180" t="str">
        <f>"600400"</f>
        <v>600400</v>
      </c>
      <c r="C2180" t="s">
        <v>10729</v>
      </c>
      <c r="D2180" s="4">
        <v>43190</v>
      </c>
      <c r="E2180" t="s">
        <v>1943</v>
      </c>
      <c r="F2180" t="s">
        <v>712</v>
      </c>
      <c r="G2180" t="s">
        <v>10730</v>
      </c>
      <c r="H2180">
        <v>0.02</v>
      </c>
      <c r="I2180">
        <v>1.67</v>
      </c>
      <c r="J2180">
        <v>1.02</v>
      </c>
      <c r="K2180" t="s">
        <v>3894</v>
      </c>
      <c r="L2180">
        <v>20.88</v>
      </c>
      <c r="M2180" t="s">
        <v>9206</v>
      </c>
      <c r="N2180" t="s">
        <v>10731</v>
      </c>
      <c r="O2180" t="s">
        <v>10732</v>
      </c>
      <c r="P2180" t="s">
        <v>1895</v>
      </c>
      <c r="Q2180">
        <v>51.3</v>
      </c>
      <c r="R2180" t="s">
        <v>602</v>
      </c>
      <c r="S2180">
        <v>0.28999999999999998</v>
      </c>
      <c r="T2180">
        <v>24.5</v>
      </c>
      <c r="U2180" t="s">
        <v>1735</v>
      </c>
      <c r="V2180" t="s">
        <v>583</v>
      </c>
      <c r="W2180" t="s">
        <v>48</v>
      </c>
      <c r="X2180">
        <v>1.02</v>
      </c>
      <c r="Y2180" t="s">
        <v>4354</v>
      </c>
      <c r="Z2180" t="s">
        <v>4354</v>
      </c>
      <c r="AA2180" t="s">
        <v>10733</v>
      </c>
      <c r="AB2180">
        <v>2.02</v>
      </c>
      <c r="AC2180" t="s">
        <v>1090</v>
      </c>
      <c r="AD2180">
        <v>83.8</v>
      </c>
      <c r="AE2180" t="s">
        <v>141</v>
      </c>
      <c r="AF2180">
        <v>0.3</v>
      </c>
      <c r="AG2180">
        <v>0</v>
      </c>
      <c r="AH2180">
        <v>0</v>
      </c>
      <c r="AI2180" s="4">
        <v>36899</v>
      </c>
    </row>
    <row r="2181" spans="1:35">
      <c r="A2181">
        <v>2180</v>
      </c>
      <c r="B2181" t="str">
        <f>"600360"</f>
        <v>600360</v>
      </c>
      <c r="C2181" t="s">
        <v>10734</v>
      </c>
      <c r="D2181" s="4">
        <v>43190</v>
      </c>
      <c r="E2181" t="s">
        <v>2264</v>
      </c>
      <c r="F2181" t="s">
        <v>3234</v>
      </c>
      <c r="G2181">
        <v>7284</v>
      </c>
      <c r="H2181">
        <v>0.03</v>
      </c>
      <c r="I2181">
        <v>2.85</v>
      </c>
      <c r="J2181">
        <v>1.02</v>
      </c>
      <c r="K2181" t="s">
        <v>2953</v>
      </c>
      <c r="L2181">
        <v>12.53</v>
      </c>
      <c r="M2181" t="s">
        <v>10074</v>
      </c>
      <c r="N2181" t="s">
        <v>10735</v>
      </c>
      <c r="O2181" t="s">
        <v>3081</v>
      </c>
      <c r="P2181" t="s">
        <v>5562</v>
      </c>
      <c r="Q2181">
        <v>72.069999999999993</v>
      </c>
      <c r="R2181" t="s">
        <v>2621</v>
      </c>
      <c r="S2181">
        <v>1.05</v>
      </c>
      <c r="T2181">
        <v>21.03</v>
      </c>
      <c r="U2181" t="s">
        <v>2105</v>
      </c>
      <c r="V2181" t="s">
        <v>450</v>
      </c>
      <c r="W2181" t="s">
        <v>602</v>
      </c>
      <c r="X2181">
        <v>1.02</v>
      </c>
      <c r="Y2181" t="s">
        <v>514</v>
      </c>
      <c r="Z2181" t="s">
        <v>867</v>
      </c>
      <c r="AA2181" t="s">
        <v>750</v>
      </c>
      <c r="AB2181">
        <v>2.27</v>
      </c>
      <c r="AC2181" t="s">
        <v>420</v>
      </c>
      <c r="AD2181">
        <v>50.32</v>
      </c>
      <c r="AE2181" t="s">
        <v>174</v>
      </c>
      <c r="AF2181">
        <v>0.71</v>
      </c>
      <c r="AG2181">
        <v>0</v>
      </c>
      <c r="AH2181">
        <v>0</v>
      </c>
      <c r="AI2181" s="4">
        <v>36966</v>
      </c>
    </row>
    <row r="2182" spans="1:35">
      <c r="A2182">
        <v>2181</v>
      </c>
      <c r="B2182" t="str">
        <f>"600258"</f>
        <v>600258</v>
      </c>
      <c r="C2182" t="s">
        <v>10736</v>
      </c>
      <c r="D2182" s="4">
        <v>43190</v>
      </c>
      <c r="E2182" t="s">
        <v>721</v>
      </c>
      <c r="F2182" t="s">
        <v>1015</v>
      </c>
      <c r="G2182" t="s">
        <v>3323</v>
      </c>
      <c r="H2182">
        <v>0.08</v>
      </c>
      <c r="I2182">
        <v>7.51</v>
      </c>
      <c r="J2182">
        <v>1.02</v>
      </c>
      <c r="K2182" t="s">
        <v>702</v>
      </c>
      <c r="L2182">
        <v>0.62</v>
      </c>
      <c r="M2182" t="s">
        <v>845</v>
      </c>
      <c r="N2182" t="s">
        <v>10737</v>
      </c>
      <c r="O2182" t="s">
        <v>863</v>
      </c>
      <c r="P2182" t="s">
        <v>7237</v>
      </c>
      <c r="Q2182">
        <v>116.56</v>
      </c>
      <c r="R2182" t="s">
        <v>80</v>
      </c>
      <c r="S2182">
        <v>1.44</v>
      </c>
      <c r="T2182">
        <v>94.53</v>
      </c>
      <c r="U2182" t="s">
        <v>2634</v>
      </c>
      <c r="V2182" t="s">
        <v>183</v>
      </c>
      <c r="W2182" t="s">
        <v>1687</v>
      </c>
      <c r="X2182">
        <v>1.02</v>
      </c>
      <c r="Y2182" t="s">
        <v>2925</v>
      </c>
      <c r="Z2182" t="s">
        <v>2901</v>
      </c>
      <c r="AA2182" t="s">
        <v>4286</v>
      </c>
      <c r="AB2182">
        <v>3.53</v>
      </c>
      <c r="AC2182" t="s">
        <v>797</v>
      </c>
      <c r="AD2182">
        <v>44.86</v>
      </c>
      <c r="AE2182" t="s">
        <v>3749</v>
      </c>
      <c r="AF2182">
        <v>4.84</v>
      </c>
      <c r="AG2182">
        <v>0</v>
      </c>
      <c r="AH2182">
        <v>0</v>
      </c>
      <c r="AI2182" s="4">
        <v>36678</v>
      </c>
    </row>
    <row r="2183" spans="1:35">
      <c r="A2183">
        <v>2182</v>
      </c>
      <c r="B2183" t="str">
        <f>"300247"</f>
        <v>300247</v>
      </c>
      <c r="C2183" t="s">
        <v>10738</v>
      </c>
      <c r="D2183" s="4">
        <v>43190</v>
      </c>
      <c r="E2183" t="s">
        <v>1013</v>
      </c>
      <c r="F2183" t="s">
        <v>2056</v>
      </c>
      <c r="G2183">
        <v>9723</v>
      </c>
      <c r="H2183">
        <v>0.03</v>
      </c>
      <c r="I2183">
        <v>3.02</v>
      </c>
      <c r="J2183">
        <v>1.02</v>
      </c>
      <c r="K2183" t="s">
        <v>1995</v>
      </c>
      <c r="L2183">
        <v>17.149999999999999</v>
      </c>
      <c r="M2183" t="s">
        <v>10739</v>
      </c>
      <c r="N2183" t="s">
        <v>10740</v>
      </c>
      <c r="O2183" t="s">
        <v>10741</v>
      </c>
      <c r="P2183" t="s">
        <v>3007</v>
      </c>
      <c r="Q2183">
        <v>52.9</v>
      </c>
      <c r="R2183" t="s">
        <v>559</v>
      </c>
      <c r="S2183">
        <v>0.37</v>
      </c>
      <c r="T2183">
        <v>28.33</v>
      </c>
      <c r="U2183" t="s">
        <v>756</v>
      </c>
      <c r="V2183" t="s">
        <v>101</v>
      </c>
      <c r="W2183" t="s">
        <v>1797</v>
      </c>
      <c r="X2183">
        <v>1.02</v>
      </c>
      <c r="Y2183" t="s">
        <v>541</v>
      </c>
      <c r="Z2183" t="s">
        <v>943</v>
      </c>
      <c r="AA2183" t="s">
        <v>10742</v>
      </c>
      <c r="AB2183">
        <v>1.67</v>
      </c>
      <c r="AC2183" t="s">
        <v>1516</v>
      </c>
      <c r="AD2183">
        <v>80.47</v>
      </c>
      <c r="AE2183" t="s">
        <v>1214</v>
      </c>
      <c r="AF2183">
        <v>1.67</v>
      </c>
      <c r="AG2183">
        <v>0</v>
      </c>
      <c r="AH2183">
        <v>0</v>
      </c>
      <c r="AI2183" s="4">
        <v>40753</v>
      </c>
    </row>
    <row r="2184" spans="1:35">
      <c r="A2184">
        <v>2183</v>
      </c>
      <c r="B2184" t="str">
        <f>"300024"</f>
        <v>300024</v>
      </c>
      <c r="C2184" t="s">
        <v>10743</v>
      </c>
      <c r="D2184" s="4">
        <v>43190</v>
      </c>
      <c r="E2184" t="s">
        <v>1792</v>
      </c>
      <c r="F2184" t="s">
        <v>547</v>
      </c>
      <c r="G2184" t="s">
        <v>4418</v>
      </c>
      <c r="H2184">
        <v>0.04</v>
      </c>
      <c r="I2184">
        <v>3.78</v>
      </c>
      <c r="J2184">
        <v>1.02</v>
      </c>
      <c r="K2184" t="s">
        <v>3471</v>
      </c>
      <c r="L2184">
        <v>20.46</v>
      </c>
      <c r="M2184" t="s">
        <v>3336</v>
      </c>
      <c r="N2184" t="s">
        <v>10744</v>
      </c>
      <c r="O2184" t="s">
        <v>10745</v>
      </c>
      <c r="P2184" t="s">
        <v>10746</v>
      </c>
      <c r="Q2184">
        <v>5.07</v>
      </c>
      <c r="R2184" t="s">
        <v>847</v>
      </c>
      <c r="S2184">
        <v>0.98</v>
      </c>
      <c r="T2184">
        <v>33.89</v>
      </c>
      <c r="U2184" t="s">
        <v>7197</v>
      </c>
      <c r="V2184" t="s">
        <v>2400</v>
      </c>
      <c r="W2184" t="s">
        <v>1033</v>
      </c>
      <c r="X2184">
        <v>1.02</v>
      </c>
      <c r="Y2184" t="s">
        <v>239</v>
      </c>
      <c r="Z2184" t="s">
        <v>702</v>
      </c>
      <c r="AA2184" t="s">
        <v>6799</v>
      </c>
      <c r="AB2184">
        <v>4.37</v>
      </c>
      <c r="AC2184" t="s">
        <v>3089</v>
      </c>
      <c r="AD2184">
        <v>67.92</v>
      </c>
      <c r="AE2184" t="s">
        <v>1661</v>
      </c>
      <c r="AF2184">
        <v>1.7</v>
      </c>
      <c r="AG2184">
        <v>0</v>
      </c>
      <c r="AH2184">
        <v>0</v>
      </c>
      <c r="AI2184" s="4">
        <v>40116</v>
      </c>
    </row>
    <row r="2185" spans="1:35">
      <c r="A2185">
        <v>2184</v>
      </c>
      <c r="B2185" t="str">
        <f>"002474"</f>
        <v>002474</v>
      </c>
      <c r="C2185" t="s">
        <v>10747</v>
      </c>
      <c r="D2185" s="4">
        <v>43190</v>
      </c>
      <c r="E2185" t="s">
        <v>1869</v>
      </c>
      <c r="F2185" t="s">
        <v>2686</v>
      </c>
      <c r="G2185">
        <v>5523</v>
      </c>
      <c r="H2185">
        <v>0.02</v>
      </c>
      <c r="I2185">
        <v>2.2999999999999998</v>
      </c>
      <c r="J2185">
        <v>1.02</v>
      </c>
      <c r="K2185" t="s">
        <v>863</v>
      </c>
      <c r="L2185">
        <v>7.72</v>
      </c>
      <c r="M2185" t="s">
        <v>9181</v>
      </c>
      <c r="N2185" t="s">
        <v>3743</v>
      </c>
      <c r="O2185" t="s">
        <v>9894</v>
      </c>
      <c r="P2185" t="s">
        <v>10748</v>
      </c>
      <c r="Q2185">
        <v>34.25</v>
      </c>
      <c r="R2185" t="s">
        <v>3259</v>
      </c>
      <c r="S2185">
        <v>0.6</v>
      </c>
      <c r="T2185">
        <v>35.4</v>
      </c>
      <c r="U2185" t="s">
        <v>512</v>
      </c>
      <c r="V2185" t="s">
        <v>1284</v>
      </c>
      <c r="W2185" t="s">
        <v>8435</v>
      </c>
      <c r="X2185">
        <v>1.02</v>
      </c>
      <c r="Y2185" t="s">
        <v>354</v>
      </c>
      <c r="Z2185" t="s">
        <v>295</v>
      </c>
      <c r="AA2185" t="s">
        <v>9922</v>
      </c>
      <c r="AB2185">
        <v>3.02</v>
      </c>
      <c r="AC2185" t="s">
        <v>161</v>
      </c>
      <c r="AD2185">
        <v>55.58</v>
      </c>
      <c r="AE2185" t="s">
        <v>3726</v>
      </c>
      <c r="AF2185">
        <v>0.59</v>
      </c>
      <c r="AG2185">
        <v>0</v>
      </c>
      <c r="AH2185">
        <v>0</v>
      </c>
      <c r="AI2185" s="4">
        <v>40436</v>
      </c>
    </row>
    <row r="2186" spans="1:35">
      <c r="A2186">
        <v>2185</v>
      </c>
      <c r="B2186" t="str">
        <f>"002023"</f>
        <v>002023</v>
      </c>
      <c r="C2186" t="s">
        <v>10749</v>
      </c>
      <c r="D2186" s="4">
        <v>43190</v>
      </c>
      <c r="E2186" t="s">
        <v>1938</v>
      </c>
      <c r="F2186" t="s">
        <v>1276</v>
      </c>
      <c r="G2186">
        <v>7954</v>
      </c>
      <c r="H2186">
        <v>0.05</v>
      </c>
      <c r="I2186">
        <v>4.62</v>
      </c>
      <c r="J2186">
        <v>1.02</v>
      </c>
      <c r="K2186" t="s">
        <v>197</v>
      </c>
      <c r="L2186">
        <v>0.96</v>
      </c>
      <c r="M2186" t="s">
        <v>10750</v>
      </c>
      <c r="N2186" t="s">
        <v>7210</v>
      </c>
      <c r="O2186" t="s">
        <v>10751</v>
      </c>
      <c r="P2186" t="s">
        <v>10378</v>
      </c>
      <c r="Q2186">
        <v>229.91</v>
      </c>
      <c r="R2186" t="s">
        <v>701</v>
      </c>
      <c r="S2186">
        <v>0.73</v>
      </c>
      <c r="T2186">
        <v>40.840000000000003</v>
      </c>
      <c r="U2186" t="s">
        <v>879</v>
      </c>
      <c r="V2186" t="s">
        <v>578</v>
      </c>
      <c r="W2186" t="s">
        <v>578</v>
      </c>
      <c r="X2186">
        <v>1.02</v>
      </c>
      <c r="Y2186" t="s">
        <v>1687</v>
      </c>
      <c r="Z2186" t="s">
        <v>1319</v>
      </c>
      <c r="AA2186" t="s">
        <v>1678</v>
      </c>
      <c r="AB2186">
        <v>2.5499999999999998</v>
      </c>
      <c r="AC2186" t="s">
        <v>2212</v>
      </c>
      <c r="AD2186">
        <v>54.28</v>
      </c>
      <c r="AE2186" t="s">
        <v>308</v>
      </c>
      <c r="AF2186">
        <v>2.4900000000000002</v>
      </c>
      <c r="AG2186">
        <v>0</v>
      </c>
      <c r="AH2186">
        <v>0</v>
      </c>
      <c r="AI2186" s="4">
        <v>38189</v>
      </c>
    </row>
    <row r="2187" spans="1:35">
      <c r="A2187">
        <v>2186</v>
      </c>
      <c r="B2187" t="str">
        <f>"600959"</f>
        <v>600959</v>
      </c>
      <c r="C2187" t="s">
        <v>10752</v>
      </c>
      <c r="D2187" s="4">
        <v>43190</v>
      </c>
      <c r="E2187" t="s">
        <v>948</v>
      </c>
      <c r="F2187" t="s">
        <v>948</v>
      </c>
      <c r="G2187">
        <v>9878</v>
      </c>
      <c r="H2187">
        <v>0.03</v>
      </c>
      <c r="I2187">
        <v>3.47</v>
      </c>
      <c r="J2187">
        <v>1.01</v>
      </c>
      <c r="K2187" t="s">
        <v>510</v>
      </c>
      <c r="L2187">
        <v>-0.96</v>
      </c>
      <c r="M2187" t="s">
        <v>1366</v>
      </c>
      <c r="N2187" t="s">
        <v>1230</v>
      </c>
      <c r="O2187" t="s">
        <v>862</v>
      </c>
      <c r="P2187" t="s">
        <v>372</v>
      </c>
      <c r="Q2187">
        <v>-33.979999999999997</v>
      </c>
      <c r="R2187" t="s">
        <v>1294</v>
      </c>
      <c r="S2187">
        <v>0.64</v>
      </c>
      <c r="T2187">
        <v>28.45</v>
      </c>
      <c r="U2187" t="s">
        <v>2357</v>
      </c>
      <c r="V2187" t="s">
        <v>10479</v>
      </c>
      <c r="W2187" t="s">
        <v>1114</v>
      </c>
      <c r="X2187">
        <v>1.01</v>
      </c>
      <c r="Y2187" t="s">
        <v>10423</v>
      </c>
      <c r="Z2187" t="s">
        <v>1331</v>
      </c>
      <c r="AA2187" t="s">
        <v>1215</v>
      </c>
      <c r="AB2187">
        <v>1.46</v>
      </c>
      <c r="AC2187" t="s">
        <v>463</v>
      </c>
      <c r="AD2187">
        <v>42.1</v>
      </c>
      <c r="AE2187" t="s">
        <v>2180</v>
      </c>
      <c r="AF2187">
        <v>1.66</v>
      </c>
      <c r="AG2187">
        <v>0</v>
      </c>
      <c r="AH2187">
        <v>0</v>
      </c>
      <c r="AI2187" s="4">
        <v>42122</v>
      </c>
    </row>
    <row r="2188" spans="1:35">
      <c r="A2188">
        <v>2187</v>
      </c>
      <c r="B2188" t="str">
        <f>"300721"</f>
        <v>300721</v>
      </c>
      <c r="C2188" t="s">
        <v>10753</v>
      </c>
      <c r="D2188" s="4">
        <v>43190</v>
      </c>
      <c r="E2188" t="s">
        <v>4470</v>
      </c>
      <c r="F2188" t="s">
        <v>5016</v>
      </c>
      <c r="G2188">
        <v>1537</v>
      </c>
      <c r="H2188">
        <v>0.11</v>
      </c>
      <c r="I2188">
        <v>10.54</v>
      </c>
      <c r="J2188">
        <v>1.01</v>
      </c>
      <c r="K2188" t="s">
        <v>798</v>
      </c>
      <c r="L2188">
        <v>16.63</v>
      </c>
      <c r="M2188" t="s">
        <v>10754</v>
      </c>
      <c r="N2188" t="s">
        <v>2473</v>
      </c>
      <c r="O2188" t="s">
        <v>3093</v>
      </c>
      <c r="P2188" t="s">
        <v>6603</v>
      </c>
      <c r="Q2188">
        <v>-8.5</v>
      </c>
      <c r="R2188" t="s">
        <v>1853</v>
      </c>
      <c r="S2188">
        <v>2.3199999999999998</v>
      </c>
      <c r="T2188">
        <v>14.36</v>
      </c>
      <c r="U2188" t="s">
        <v>1082</v>
      </c>
      <c r="V2188" t="s">
        <v>353</v>
      </c>
      <c r="W2188" t="s">
        <v>415</v>
      </c>
      <c r="X2188">
        <v>1.01</v>
      </c>
      <c r="Y2188" t="s">
        <v>138</v>
      </c>
      <c r="Z2188" t="s">
        <v>265</v>
      </c>
      <c r="AA2188" t="s">
        <v>7042</v>
      </c>
      <c r="AB2188">
        <v>3.48</v>
      </c>
      <c r="AC2188" t="s">
        <v>2781</v>
      </c>
      <c r="AD2188">
        <v>67.59</v>
      </c>
      <c r="AE2188" t="s">
        <v>68</v>
      </c>
      <c r="AF2188">
        <v>6.63</v>
      </c>
      <c r="AG2188">
        <v>0</v>
      </c>
      <c r="AH2188">
        <v>0</v>
      </c>
      <c r="AI2188" s="4">
        <v>43054</v>
      </c>
    </row>
    <row r="2189" spans="1:35">
      <c r="A2189">
        <v>2188</v>
      </c>
      <c r="B2189" t="str">
        <f>"300543"</f>
        <v>300543</v>
      </c>
      <c r="C2189" t="s">
        <v>10755</v>
      </c>
      <c r="D2189" s="4">
        <v>43190</v>
      </c>
      <c r="E2189" t="s">
        <v>280</v>
      </c>
      <c r="F2189" t="s">
        <v>3485</v>
      </c>
      <c r="G2189">
        <v>2580</v>
      </c>
      <c r="H2189">
        <v>0.06</v>
      </c>
      <c r="I2189">
        <v>5.21</v>
      </c>
      <c r="J2189">
        <v>1.01</v>
      </c>
      <c r="K2189" t="s">
        <v>4614</v>
      </c>
      <c r="L2189">
        <v>-3.94</v>
      </c>
      <c r="M2189" t="s">
        <v>9598</v>
      </c>
      <c r="N2189" t="s">
        <v>10756</v>
      </c>
      <c r="O2189" t="s">
        <v>10757</v>
      </c>
      <c r="P2189" t="s">
        <v>3700</v>
      </c>
      <c r="Q2189">
        <v>-70.95</v>
      </c>
      <c r="R2189" t="s">
        <v>669</v>
      </c>
      <c r="S2189">
        <v>1.67</v>
      </c>
      <c r="T2189">
        <v>15.58</v>
      </c>
      <c r="U2189" t="s">
        <v>521</v>
      </c>
      <c r="V2189" t="s">
        <v>4041</v>
      </c>
      <c r="W2189" t="s">
        <v>345</v>
      </c>
      <c r="X2189">
        <v>1.01</v>
      </c>
      <c r="Y2189" t="s">
        <v>800</v>
      </c>
      <c r="Z2189" t="s">
        <v>241</v>
      </c>
      <c r="AA2189" t="s">
        <v>5577</v>
      </c>
      <c r="AB2189">
        <v>3.91</v>
      </c>
      <c r="AC2189" t="s">
        <v>2110</v>
      </c>
      <c r="AD2189">
        <v>62.11</v>
      </c>
      <c r="AE2189" t="s">
        <v>1977</v>
      </c>
      <c r="AF2189">
        <v>2.25</v>
      </c>
      <c r="AG2189">
        <v>0</v>
      </c>
      <c r="AH2189">
        <v>0</v>
      </c>
      <c r="AI2189" s="4">
        <v>42621</v>
      </c>
    </row>
    <row r="2190" spans="1:35">
      <c r="A2190">
        <v>2189</v>
      </c>
      <c r="B2190" t="str">
        <f>"300193"</f>
        <v>300193</v>
      </c>
      <c r="C2190" t="s">
        <v>10758</v>
      </c>
      <c r="D2190" s="4">
        <v>43190</v>
      </c>
      <c r="E2190" t="s">
        <v>1959</v>
      </c>
      <c r="F2190" t="s">
        <v>856</v>
      </c>
      <c r="G2190" t="s">
        <v>4763</v>
      </c>
      <c r="H2190">
        <v>0.05</v>
      </c>
      <c r="I2190">
        <v>4.4800000000000004</v>
      </c>
      <c r="J2190">
        <v>1.01</v>
      </c>
      <c r="K2190" t="s">
        <v>603</v>
      </c>
      <c r="L2190">
        <v>-0.63</v>
      </c>
      <c r="M2190" t="s">
        <v>9872</v>
      </c>
      <c r="N2190" t="s">
        <v>9764</v>
      </c>
      <c r="O2190" t="s">
        <v>6063</v>
      </c>
      <c r="P2190" t="s">
        <v>9953</v>
      </c>
      <c r="Q2190">
        <v>22.64</v>
      </c>
      <c r="R2190" t="s">
        <v>3067</v>
      </c>
      <c r="S2190">
        <v>0.84</v>
      </c>
      <c r="T2190">
        <v>34.25</v>
      </c>
      <c r="U2190" t="s">
        <v>1661</v>
      </c>
      <c r="V2190" t="s">
        <v>728</v>
      </c>
      <c r="W2190" t="s">
        <v>2041</v>
      </c>
      <c r="X2190">
        <v>1.01</v>
      </c>
      <c r="Y2190" t="s">
        <v>1074</v>
      </c>
      <c r="Z2190" t="s">
        <v>1320</v>
      </c>
      <c r="AA2190" t="s">
        <v>9245</v>
      </c>
      <c r="AB2190">
        <v>1.22</v>
      </c>
      <c r="AC2190" t="s">
        <v>316</v>
      </c>
      <c r="AD2190">
        <v>86.74</v>
      </c>
      <c r="AE2190" t="s">
        <v>926</v>
      </c>
      <c r="AF2190">
        <v>2.52</v>
      </c>
      <c r="AG2190">
        <v>0</v>
      </c>
      <c r="AH2190">
        <v>0</v>
      </c>
      <c r="AI2190" s="4">
        <v>40624</v>
      </c>
    </row>
    <row r="2191" spans="1:35">
      <c r="A2191">
        <v>2190</v>
      </c>
      <c r="B2191" t="str">
        <f>"002826"</f>
        <v>002826</v>
      </c>
      <c r="C2191" t="s">
        <v>10759</v>
      </c>
      <c r="D2191" s="4">
        <v>43190</v>
      </c>
      <c r="E2191" t="s">
        <v>2123</v>
      </c>
      <c r="F2191" t="s">
        <v>2306</v>
      </c>
      <c r="G2191">
        <v>4906</v>
      </c>
      <c r="H2191">
        <v>0.03</v>
      </c>
      <c r="I2191">
        <v>3.16</v>
      </c>
      <c r="J2191">
        <v>1.01</v>
      </c>
      <c r="K2191" t="s">
        <v>2825</v>
      </c>
      <c r="L2191">
        <v>15.69</v>
      </c>
      <c r="M2191" t="s">
        <v>10760</v>
      </c>
      <c r="N2191">
        <v>0</v>
      </c>
      <c r="O2191" t="s">
        <v>7568</v>
      </c>
      <c r="P2191" t="s">
        <v>3249</v>
      </c>
      <c r="Q2191">
        <v>10.68</v>
      </c>
      <c r="R2191" t="s">
        <v>1839</v>
      </c>
      <c r="S2191">
        <v>0.89</v>
      </c>
      <c r="T2191">
        <v>68.61</v>
      </c>
      <c r="U2191" t="s">
        <v>4863</v>
      </c>
      <c r="V2191" t="s">
        <v>3006</v>
      </c>
      <c r="W2191" t="s">
        <v>2069</v>
      </c>
      <c r="X2191">
        <v>1.01</v>
      </c>
      <c r="Y2191" t="s">
        <v>2360</v>
      </c>
      <c r="Z2191" t="s">
        <v>280</v>
      </c>
      <c r="AA2191" t="s">
        <v>9043</v>
      </c>
      <c r="AB2191">
        <v>4.57</v>
      </c>
      <c r="AC2191" t="s">
        <v>2674</v>
      </c>
      <c r="AD2191">
        <v>83.26</v>
      </c>
      <c r="AE2191" t="s">
        <v>509</v>
      </c>
      <c r="AF2191">
        <v>1.18</v>
      </c>
      <c r="AG2191">
        <v>0</v>
      </c>
      <c r="AH2191">
        <v>0</v>
      </c>
      <c r="AI2191" s="4">
        <v>42713</v>
      </c>
    </row>
    <row r="2192" spans="1:35">
      <c r="A2192">
        <v>2191</v>
      </c>
      <c r="B2192" t="str">
        <f>"002729"</f>
        <v>002729</v>
      </c>
      <c r="C2192" t="s">
        <v>10761</v>
      </c>
      <c r="D2192" s="4">
        <v>43190</v>
      </c>
      <c r="E2192" t="s">
        <v>8433</v>
      </c>
      <c r="F2192" t="s">
        <v>8433</v>
      </c>
      <c r="G2192">
        <v>5488</v>
      </c>
      <c r="H2192">
        <v>0.06</v>
      </c>
      <c r="I2192">
        <v>6.23</v>
      </c>
      <c r="J2192">
        <v>1.01</v>
      </c>
      <c r="K2192" t="s">
        <v>10762</v>
      </c>
      <c r="L2192">
        <v>8.3000000000000007</v>
      </c>
      <c r="M2192" t="s">
        <v>10763</v>
      </c>
      <c r="N2192" t="s">
        <v>7271</v>
      </c>
      <c r="O2192" t="s">
        <v>5987</v>
      </c>
      <c r="P2192" t="s">
        <v>7542</v>
      </c>
      <c r="Q2192">
        <v>9.56</v>
      </c>
      <c r="R2192" t="s">
        <v>610</v>
      </c>
      <c r="S2192">
        <v>2.2400000000000002</v>
      </c>
      <c r="T2192">
        <v>41.52</v>
      </c>
      <c r="U2192" t="s">
        <v>545</v>
      </c>
      <c r="V2192" t="s">
        <v>3768</v>
      </c>
      <c r="W2192" t="s">
        <v>603</v>
      </c>
      <c r="X2192">
        <v>1.01</v>
      </c>
      <c r="Y2192" t="s">
        <v>5181</v>
      </c>
      <c r="Z2192" t="s">
        <v>8779</v>
      </c>
      <c r="AA2192" t="s">
        <v>10764</v>
      </c>
      <c r="AB2192">
        <v>3.9</v>
      </c>
      <c r="AC2192" t="s">
        <v>662</v>
      </c>
      <c r="AD2192">
        <v>94.28</v>
      </c>
      <c r="AE2192" t="s">
        <v>1202</v>
      </c>
      <c r="AF2192">
        <v>2.67</v>
      </c>
      <c r="AG2192">
        <v>0</v>
      </c>
      <c r="AH2192">
        <v>0</v>
      </c>
      <c r="AI2192" s="4">
        <v>41894</v>
      </c>
    </row>
    <row r="2193" spans="1:35">
      <c r="A2193">
        <v>2192</v>
      </c>
      <c r="B2193" t="str">
        <f>"002724"</f>
        <v>002724</v>
      </c>
      <c r="C2193" t="s">
        <v>10765</v>
      </c>
      <c r="D2193" s="4">
        <v>43190</v>
      </c>
      <c r="E2193" t="s">
        <v>494</v>
      </c>
      <c r="F2193" t="s">
        <v>4871</v>
      </c>
      <c r="G2193" t="s">
        <v>6659</v>
      </c>
      <c r="H2193">
        <v>0.03</v>
      </c>
      <c r="I2193">
        <v>2.97</v>
      </c>
      <c r="J2193">
        <v>1.01</v>
      </c>
      <c r="K2193" t="s">
        <v>66</v>
      </c>
      <c r="L2193">
        <v>30.16</v>
      </c>
      <c r="M2193" t="s">
        <v>3005</v>
      </c>
      <c r="N2193">
        <v>0</v>
      </c>
      <c r="O2193" t="s">
        <v>10766</v>
      </c>
      <c r="P2193" t="s">
        <v>7796</v>
      </c>
      <c r="Q2193">
        <v>38.86</v>
      </c>
      <c r="R2193" t="s">
        <v>3745</v>
      </c>
      <c r="S2193">
        <v>1.53</v>
      </c>
      <c r="T2193">
        <v>70.459999999999994</v>
      </c>
      <c r="U2193" t="s">
        <v>1284</v>
      </c>
      <c r="V2193" t="s">
        <v>584</v>
      </c>
      <c r="W2193" t="s">
        <v>2811</v>
      </c>
      <c r="X2193">
        <v>1.01</v>
      </c>
      <c r="Y2193" t="s">
        <v>383</v>
      </c>
      <c r="Z2193" t="s">
        <v>748</v>
      </c>
      <c r="AA2193" t="s">
        <v>10767</v>
      </c>
      <c r="AB2193">
        <v>2.2200000000000002</v>
      </c>
      <c r="AC2193" t="s">
        <v>1678</v>
      </c>
      <c r="AD2193">
        <v>90.56</v>
      </c>
      <c r="AE2193" t="s">
        <v>1457</v>
      </c>
      <c r="AF2193">
        <v>0.28999999999999998</v>
      </c>
      <c r="AG2193">
        <v>0</v>
      </c>
      <c r="AH2193">
        <v>0</v>
      </c>
      <c r="AI2193" s="4">
        <v>41947</v>
      </c>
    </row>
    <row r="2194" spans="1:35">
      <c r="A2194">
        <v>2193</v>
      </c>
      <c r="B2194" t="str">
        <f>"002718"</f>
        <v>002718</v>
      </c>
      <c r="C2194" t="s">
        <v>10768</v>
      </c>
      <c r="D2194" s="4">
        <v>43190</v>
      </c>
      <c r="E2194" t="s">
        <v>10769</v>
      </c>
      <c r="F2194" t="s">
        <v>680</v>
      </c>
      <c r="G2194">
        <v>3576</v>
      </c>
      <c r="H2194">
        <v>0.13</v>
      </c>
      <c r="I2194">
        <v>12.5</v>
      </c>
      <c r="J2194">
        <v>1.01</v>
      </c>
      <c r="K2194" t="s">
        <v>1626</v>
      </c>
      <c r="L2194">
        <v>32.369999999999997</v>
      </c>
      <c r="M2194" t="s">
        <v>10770</v>
      </c>
      <c r="N2194" t="s">
        <v>5106</v>
      </c>
      <c r="O2194" t="s">
        <v>10771</v>
      </c>
      <c r="P2194" t="s">
        <v>2891</v>
      </c>
      <c r="Q2194">
        <v>-34.299999999999997</v>
      </c>
      <c r="R2194" t="s">
        <v>1243</v>
      </c>
      <c r="S2194">
        <v>5.5</v>
      </c>
      <c r="T2194">
        <v>40.56</v>
      </c>
      <c r="U2194" t="s">
        <v>176</v>
      </c>
      <c r="V2194" t="s">
        <v>569</v>
      </c>
      <c r="W2194" t="s">
        <v>10772</v>
      </c>
      <c r="X2194">
        <v>1.01</v>
      </c>
      <c r="Y2194" t="s">
        <v>916</v>
      </c>
      <c r="Z2194" t="s">
        <v>1999</v>
      </c>
      <c r="AA2194" t="s">
        <v>5049</v>
      </c>
      <c r="AB2194">
        <v>2.74</v>
      </c>
      <c r="AC2194" t="s">
        <v>835</v>
      </c>
      <c r="AD2194">
        <v>81.78</v>
      </c>
      <c r="AE2194" t="s">
        <v>3321</v>
      </c>
      <c r="AF2194">
        <v>5.13</v>
      </c>
      <c r="AG2194">
        <v>0</v>
      </c>
      <c r="AH2194">
        <v>0</v>
      </c>
      <c r="AI2194" s="4">
        <v>41667</v>
      </c>
    </row>
    <row r="2195" spans="1:35">
      <c r="A2195">
        <v>2194</v>
      </c>
      <c r="B2195" t="str">
        <f>"002157"</f>
        <v>002157</v>
      </c>
      <c r="C2195" t="s">
        <v>10773</v>
      </c>
      <c r="D2195" s="4">
        <v>43190</v>
      </c>
      <c r="E2195" t="s">
        <v>1039</v>
      </c>
      <c r="F2195" t="s">
        <v>420</v>
      </c>
      <c r="G2195" t="s">
        <v>9012</v>
      </c>
      <c r="H2195">
        <v>0.03</v>
      </c>
      <c r="I2195">
        <v>2.73</v>
      </c>
      <c r="J2195">
        <v>1.01</v>
      </c>
      <c r="K2195" t="s">
        <v>1387</v>
      </c>
      <c r="L2195">
        <v>7.29</v>
      </c>
      <c r="M2195" t="s">
        <v>10774</v>
      </c>
      <c r="N2195">
        <v>0</v>
      </c>
      <c r="O2195" t="s">
        <v>2309</v>
      </c>
      <c r="P2195" t="s">
        <v>10775</v>
      </c>
      <c r="Q2195">
        <v>-47.84</v>
      </c>
      <c r="R2195" t="s">
        <v>3356</v>
      </c>
      <c r="S2195">
        <v>0.89</v>
      </c>
      <c r="T2195">
        <v>9.5399999999999991</v>
      </c>
      <c r="U2195" t="s">
        <v>1251</v>
      </c>
      <c r="V2195" t="s">
        <v>2419</v>
      </c>
      <c r="W2195" t="s">
        <v>3776</v>
      </c>
      <c r="X2195">
        <v>1.01</v>
      </c>
      <c r="Y2195" t="s">
        <v>232</v>
      </c>
      <c r="Z2195" t="s">
        <v>3877</v>
      </c>
      <c r="AA2195" t="s">
        <v>737</v>
      </c>
      <c r="AB2195">
        <v>1.52</v>
      </c>
      <c r="AC2195" t="s">
        <v>4014</v>
      </c>
      <c r="AD2195">
        <v>37.909999999999997</v>
      </c>
      <c r="AE2195" t="s">
        <v>2328</v>
      </c>
      <c r="AF2195">
        <v>0.83</v>
      </c>
      <c r="AG2195">
        <v>0</v>
      </c>
      <c r="AH2195">
        <v>0</v>
      </c>
      <c r="AI2195" s="4">
        <v>39311</v>
      </c>
    </row>
    <row r="2196" spans="1:35">
      <c r="A2196">
        <v>2195</v>
      </c>
      <c r="B2196" t="str">
        <f>"002004"</f>
        <v>002004</v>
      </c>
      <c r="C2196" t="s">
        <v>10776</v>
      </c>
      <c r="D2196" s="4">
        <v>43190</v>
      </c>
      <c r="E2196" t="s">
        <v>712</v>
      </c>
      <c r="F2196" t="s">
        <v>79</v>
      </c>
      <c r="G2196" t="s">
        <v>606</v>
      </c>
      <c r="H2196">
        <v>0.05</v>
      </c>
      <c r="I2196">
        <v>4.5</v>
      </c>
      <c r="J2196">
        <v>1.01</v>
      </c>
      <c r="K2196" t="s">
        <v>158</v>
      </c>
      <c r="L2196">
        <v>33.229999999999997</v>
      </c>
      <c r="M2196" t="s">
        <v>618</v>
      </c>
      <c r="N2196" t="s">
        <v>10777</v>
      </c>
      <c r="O2196" t="s">
        <v>193</v>
      </c>
      <c r="P2196" t="s">
        <v>10778</v>
      </c>
      <c r="Q2196">
        <v>-33.76</v>
      </c>
      <c r="R2196" t="s">
        <v>728</v>
      </c>
      <c r="S2196">
        <v>0.89</v>
      </c>
      <c r="T2196">
        <v>35.57</v>
      </c>
      <c r="U2196" t="s">
        <v>967</v>
      </c>
      <c r="V2196" t="s">
        <v>1741</v>
      </c>
      <c r="W2196" t="s">
        <v>1819</v>
      </c>
      <c r="X2196">
        <v>1.01</v>
      </c>
      <c r="Y2196" t="s">
        <v>3912</v>
      </c>
      <c r="Z2196" t="s">
        <v>232</v>
      </c>
      <c r="AA2196" t="s">
        <v>2639</v>
      </c>
      <c r="AB2196">
        <v>1.1100000000000001</v>
      </c>
      <c r="AC2196" t="s">
        <v>411</v>
      </c>
      <c r="AD2196">
        <v>32.590000000000003</v>
      </c>
      <c r="AE2196" t="s">
        <v>2447</v>
      </c>
      <c r="AF2196">
        <v>2.5</v>
      </c>
      <c r="AG2196">
        <v>0</v>
      </c>
      <c r="AH2196">
        <v>0</v>
      </c>
      <c r="AI2196" s="4">
        <v>38163</v>
      </c>
    </row>
    <row r="2197" spans="1:35">
      <c r="A2197">
        <v>2196</v>
      </c>
      <c r="B2197" t="str">
        <f>"000750"</f>
        <v>000750</v>
      </c>
      <c r="C2197" t="s">
        <v>10779</v>
      </c>
      <c r="D2197" s="4">
        <v>43190</v>
      </c>
      <c r="E2197" t="s">
        <v>2694</v>
      </c>
      <c r="F2197" t="s">
        <v>2694</v>
      </c>
      <c r="G2197" t="s">
        <v>3323</v>
      </c>
      <c r="H2197">
        <v>0.03</v>
      </c>
      <c r="I2197">
        <v>3.23</v>
      </c>
      <c r="J2197">
        <v>1.01</v>
      </c>
      <c r="K2197" t="s">
        <v>2647</v>
      </c>
      <c r="L2197">
        <v>-23.66</v>
      </c>
      <c r="M2197" t="s">
        <v>293</v>
      </c>
      <c r="N2197" t="s">
        <v>4794</v>
      </c>
      <c r="O2197" t="s">
        <v>1264</v>
      </c>
      <c r="P2197" t="s">
        <v>1974</v>
      </c>
      <c r="Q2197">
        <v>-36.24</v>
      </c>
      <c r="R2197" t="s">
        <v>161</v>
      </c>
      <c r="S2197">
        <v>0.28000000000000003</v>
      </c>
      <c r="T2197">
        <v>0</v>
      </c>
      <c r="U2197" t="s">
        <v>4371</v>
      </c>
      <c r="V2197">
        <v>0</v>
      </c>
      <c r="W2197" t="s">
        <v>382</v>
      </c>
      <c r="X2197">
        <v>1.01</v>
      </c>
      <c r="Y2197" t="s">
        <v>1533</v>
      </c>
      <c r="Z2197">
        <v>0</v>
      </c>
      <c r="AA2197">
        <v>0</v>
      </c>
      <c r="AB2197">
        <v>1.07</v>
      </c>
      <c r="AC2197" t="s">
        <v>229</v>
      </c>
      <c r="AD2197">
        <v>20.64</v>
      </c>
      <c r="AE2197" t="s">
        <v>10780</v>
      </c>
      <c r="AF2197">
        <v>1.49</v>
      </c>
      <c r="AG2197">
        <v>0</v>
      </c>
      <c r="AH2197">
        <v>0</v>
      </c>
      <c r="AI2197" s="4">
        <v>35620</v>
      </c>
    </row>
    <row r="2198" spans="1:35">
      <c r="A2198">
        <v>2197</v>
      </c>
      <c r="B2198" t="str">
        <f>"601375"</f>
        <v>601375</v>
      </c>
      <c r="C2198" t="s">
        <v>10781</v>
      </c>
      <c r="D2198" s="4">
        <v>43190</v>
      </c>
      <c r="E2198" t="s">
        <v>4052</v>
      </c>
      <c r="F2198" t="s">
        <v>757</v>
      </c>
      <c r="G2198" t="s">
        <v>6659</v>
      </c>
      <c r="H2198">
        <v>0.03</v>
      </c>
      <c r="I2198">
        <v>2.61</v>
      </c>
      <c r="J2198">
        <v>1</v>
      </c>
      <c r="K2198" t="s">
        <v>4185</v>
      </c>
      <c r="L2198">
        <v>6.43</v>
      </c>
      <c r="M2198" t="s">
        <v>3111</v>
      </c>
      <c r="N2198" t="s">
        <v>651</v>
      </c>
      <c r="O2198" t="s">
        <v>1689</v>
      </c>
      <c r="P2198" t="s">
        <v>533</v>
      </c>
      <c r="Q2198">
        <v>1.75</v>
      </c>
      <c r="R2198" t="s">
        <v>1481</v>
      </c>
      <c r="S2198">
        <v>0.09</v>
      </c>
      <c r="T2198">
        <v>0</v>
      </c>
      <c r="U2198" t="s">
        <v>7360</v>
      </c>
      <c r="V2198">
        <v>0</v>
      </c>
      <c r="W2198" t="s">
        <v>2733</v>
      </c>
      <c r="X2198">
        <v>1</v>
      </c>
      <c r="Y2198" t="s">
        <v>4460</v>
      </c>
      <c r="Z2198">
        <v>0</v>
      </c>
      <c r="AA2198">
        <v>0</v>
      </c>
      <c r="AB2198">
        <v>1.77</v>
      </c>
      <c r="AC2198" t="s">
        <v>716</v>
      </c>
      <c r="AD2198">
        <v>24.29</v>
      </c>
      <c r="AE2198" t="s">
        <v>235</v>
      </c>
      <c r="AF2198">
        <v>0.99</v>
      </c>
      <c r="AG2198">
        <v>0</v>
      </c>
      <c r="AH2198" t="s">
        <v>625</v>
      </c>
      <c r="AI2198" s="4">
        <v>42738</v>
      </c>
    </row>
    <row r="2199" spans="1:35">
      <c r="A2199">
        <v>2198</v>
      </c>
      <c r="B2199" t="str">
        <f>"600871"</f>
        <v>600871</v>
      </c>
      <c r="C2199" t="s">
        <v>10782</v>
      </c>
      <c r="D2199" s="4">
        <v>43190</v>
      </c>
      <c r="E2199" t="s">
        <v>4304</v>
      </c>
      <c r="F2199" t="s">
        <v>1089</v>
      </c>
      <c r="G2199" t="s">
        <v>7196</v>
      </c>
      <c r="H2199">
        <v>0</v>
      </c>
      <c r="I2199">
        <v>0.3</v>
      </c>
      <c r="J2199">
        <v>1</v>
      </c>
      <c r="K2199" t="s">
        <v>1820</v>
      </c>
      <c r="L2199">
        <v>16.48</v>
      </c>
      <c r="M2199" t="s">
        <v>10783</v>
      </c>
      <c r="N2199" t="s">
        <v>10784</v>
      </c>
      <c r="O2199" t="s">
        <v>6482</v>
      </c>
      <c r="P2199" t="s">
        <v>8714</v>
      </c>
      <c r="Q2199">
        <v>102.24</v>
      </c>
      <c r="R2199" t="s">
        <v>10785</v>
      </c>
      <c r="S2199">
        <v>-1.34</v>
      </c>
      <c r="T2199">
        <v>4.95</v>
      </c>
      <c r="U2199" t="s">
        <v>2199</v>
      </c>
      <c r="V2199" t="s">
        <v>3213</v>
      </c>
      <c r="W2199" t="s">
        <v>2543</v>
      </c>
      <c r="X2199">
        <v>1</v>
      </c>
      <c r="Y2199" t="s">
        <v>10786</v>
      </c>
      <c r="Z2199" t="s">
        <v>3572</v>
      </c>
      <c r="AA2199" t="s">
        <v>848</v>
      </c>
      <c r="AB2199">
        <v>6.47</v>
      </c>
      <c r="AC2199" t="s">
        <v>2419</v>
      </c>
      <c r="AD2199">
        <v>9.5</v>
      </c>
      <c r="AE2199" t="s">
        <v>315</v>
      </c>
      <c r="AF2199">
        <v>0.62</v>
      </c>
      <c r="AG2199">
        <v>0</v>
      </c>
      <c r="AH2199" t="s">
        <v>1881</v>
      </c>
      <c r="AI2199" s="4">
        <v>34800</v>
      </c>
    </row>
    <row r="2200" spans="1:35">
      <c r="A2200">
        <v>2199</v>
      </c>
      <c r="B2200" t="str">
        <f>"600460"</f>
        <v>600460</v>
      </c>
      <c r="C2200" t="s">
        <v>10787</v>
      </c>
      <c r="D2200" s="4">
        <v>43190</v>
      </c>
      <c r="E2200" t="s">
        <v>840</v>
      </c>
      <c r="F2200" t="s">
        <v>300</v>
      </c>
      <c r="G2200">
        <v>7772</v>
      </c>
      <c r="H2200">
        <v>0.02</v>
      </c>
      <c r="I2200">
        <v>2.56</v>
      </c>
      <c r="J2200">
        <v>1</v>
      </c>
      <c r="K2200" t="s">
        <v>2095</v>
      </c>
      <c r="L2200">
        <v>10.48</v>
      </c>
      <c r="M2200" t="s">
        <v>7739</v>
      </c>
      <c r="N2200" t="s">
        <v>10788</v>
      </c>
      <c r="O2200" t="s">
        <v>10789</v>
      </c>
      <c r="P2200" t="s">
        <v>10790</v>
      </c>
      <c r="Q2200">
        <v>-5.0999999999999996</v>
      </c>
      <c r="R2200" t="s">
        <v>295</v>
      </c>
      <c r="S2200">
        <v>0.82</v>
      </c>
      <c r="T2200">
        <v>26.22</v>
      </c>
      <c r="U2200" t="s">
        <v>1808</v>
      </c>
      <c r="V2200" t="s">
        <v>3073</v>
      </c>
      <c r="W2200" t="s">
        <v>418</v>
      </c>
      <c r="X2200">
        <v>1</v>
      </c>
      <c r="Y2200" t="s">
        <v>2238</v>
      </c>
      <c r="Z2200" t="s">
        <v>789</v>
      </c>
      <c r="AA2200" t="s">
        <v>323</v>
      </c>
      <c r="AB2200">
        <v>4.9000000000000004</v>
      </c>
      <c r="AC2200" t="s">
        <v>4697</v>
      </c>
      <c r="AD2200">
        <v>46.83</v>
      </c>
      <c r="AE2200" t="s">
        <v>1978</v>
      </c>
      <c r="AF2200">
        <v>0.62</v>
      </c>
      <c r="AG2200">
        <v>0</v>
      </c>
      <c r="AH2200">
        <v>0</v>
      </c>
      <c r="AI2200" s="4">
        <v>37691</v>
      </c>
    </row>
    <row r="2201" spans="1:35">
      <c r="A2201">
        <v>2200</v>
      </c>
      <c r="B2201" t="str">
        <f>"600025"</f>
        <v>600025</v>
      </c>
      <c r="C2201" t="s">
        <v>10791</v>
      </c>
      <c r="D2201" s="4">
        <v>43190</v>
      </c>
      <c r="E2201" t="s">
        <v>1292</v>
      </c>
      <c r="F2201" t="s">
        <v>757</v>
      </c>
      <c r="G2201">
        <v>4990</v>
      </c>
      <c r="H2201">
        <v>0.02</v>
      </c>
      <c r="I2201">
        <v>2.21</v>
      </c>
      <c r="J2201">
        <v>1</v>
      </c>
      <c r="K2201" t="s">
        <v>1350</v>
      </c>
      <c r="L2201">
        <v>-9.6300000000000008</v>
      </c>
      <c r="M2201" t="s">
        <v>1799</v>
      </c>
      <c r="N2201" t="s">
        <v>9781</v>
      </c>
      <c r="O2201" t="s">
        <v>216</v>
      </c>
      <c r="P2201" t="s">
        <v>1578</v>
      </c>
      <c r="Q2201">
        <v>-57.69</v>
      </c>
      <c r="R2201" t="s">
        <v>316</v>
      </c>
      <c r="S2201">
        <v>0.13</v>
      </c>
      <c r="T2201">
        <v>44.76</v>
      </c>
      <c r="U2201" t="s">
        <v>10792</v>
      </c>
      <c r="V2201" t="s">
        <v>2809</v>
      </c>
      <c r="W2201" t="s">
        <v>10793</v>
      </c>
      <c r="X2201">
        <v>1</v>
      </c>
      <c r="Y2201" t="s">
        <v>10794</v>
      </c>
      <c r="Z2201" t="s">
        <v>3825</v>
      </c>
      <c r="AA2201" t="s">
        <v>8979</v>
      </c>
      <c r="AB2201">
        <v>1.38</v>
      </c>
      <c r="AC2201" t="s">
        <v>6453</v>
      </c>
      <c r="AD2201">
        <v>24.05</v>
      </c>
      <c r="AE2201" t="s">
        <v>1893</v>
      </c>
      <c r="AF2201">
        <v>1.05</v>
      </c>
      <c r="AG2201">
        <v>0</v>
      </c>
      <c r="AH2201">
        <v>0</v>
      </c>
      <c r="AI2201" s="4">
        <v>43084</v>
      </c>
    </row>
    <row r="2202" spans="1:35">
      <c r="A2202">
        <v>2201</v>
      </c>
      <c r="B2202" t="str">
        <f>"300735"</f>
        <v>300735</v>
      </c>
      <c r="C2202" t="s">
        <v>10795</v>
      </c>
      <c r="D2202" s="4">
        <v>43190</v>
      </c>
      <c r="E2202" t="s">
        <v>139</v>
      </c>
      <c r="F2202" t="s">
        <v>10796</v>
      </c>
      <c r="G2202">
        <v>1510</v>
      </c>
      <c r="H2202">
        <v>0.06</v>
      </c>
      <c r="I2202">
        <v>4.59</v>
      </c>
      <c r="J2202">
        <v>1</v>
      </c>
      <c r="K2202" t="s">
        <v>3011</v>
      </c>
      <c r="L2202">
        <v>5.37</v>
      </c>
      <c r="M2202" t="s">
        <v>10797</v>
      </c>
      <c r="N2202">
        <v>0</v>
      </c>
      <c r="O2202" t="s">
        <v>10798</v>
      </c>
      <c r="P2202" t="s">
        <v>9897</v>
      </c>
      <c r="Q2202">
        <v>-28.49</v>
      </c>
      <c r="R2202" t="s">
        <v>122</v>
      </c>
      <c r="S2202">
        <v>0.75</v>
      </c>
      <c r="T2202">
        <v>23.79</v>
      </c>
      <c r="U2202" t="s">
        <v>187</v>
      </c>
      <c r="V2202" t="s">
        <v>982</v>
      </c>
      <c r="W2202" t="s">
        <v>647</v>
      </c>
      <c r="X2202">
        <v>1</v>
      </c>
      <c r="Y2202" t="s">
        <v>219</v>
      </c>
      <c r="Z2202" t="s">
        <v>293</v>
      </c>
      <c r="AA2202" t="s">
        <v>9990</v>
      </c>
      <c r="AB2202">
        <v>4.2699999999999996</v>
      </c>
      <c r="AC2202" t="s">
        <v>1244</v>
      </c>
      <c r="AD2202">
        <v>86.71</v>
      </c>
      <c r="AE2202" t="s">
        <v>2421</v>
      </c>
      <c r="AF2202">
        <v>2.73</v>
      </c>
      <c r="AG2202">
        <v>0</v>
      </c>
      <c r="AH2202">
        <v>0</v>
      </c>
      <c r="AI2202" s="4">
        <v>43098</v>
      </c>
    </row>
    <row r="2203" spans="1:35">
      <c r="A2203">
        <v>2202</v>
      </c>
      <c r="B2203" t="str">
        <f>"300670"</f>
        <v>300670</v>
      </c>
      <c r="C2203" t="s">
        <v>10799</v>
      </c>
      <c r="D2203" s="4">
        <v>43190</v>
      </c>
      <c r="E2203" t="s">
        <v>71</v>
      </c>
      <c r="F2203" t="s">
        <v>7577</v>
      </c>
      <c r="G2203">
        <v>2119</v>
      </c>
      <c r="H2203">
        <v>0.05</v>
      </c>
      <c r="I2203">
        <v>5.36</v>
      </c>
      <c r="J2203">
        <v>1</v>
      </c>
      <c r="K2203" t="s">
        <v>10800</v>
      </c>
      <c r="L2203">
        <v>17.62</v>
      </c>
      <c r="M2203" t="s">
        <v>2418</v>
      </c>
      <c r="N2203" t="s">
        <v>7916</v>
      </c>
      <c r="O2203" t="s">
        <v>2650</v>
      </c>
      <c r="P2203" t="s">
        <v>5298</v>
      </c>
      <c r="Q2203">
        <v>73.39</v>
      </c>
      <c r="R2203" t="s">
        <v>552</v>
      </c>
      <c r="S2203">
        <v>1.51</v>
      </c>
      <c r="T2203">
        <v>26.53</v>
      </c>
      <c r="U2203" t="s">
        <v>3716</v>
      </c>
      <c r="V2203" t="s">
        <v>1330</v>
      </c>
      <c r="W2203" t="s">
        <v>10801</v>
      </c>
      <c r="X2203">
        <v>1</v>
      </c>
      <c r="Y2203" t="s">
        <v>1936</v>
      </c>
      <c r="Z2203" t="s">
        <v>1724</v>
      </c>
      <c r="AA2203" t="s">
        <v>10802</v>
      </c>
      <c r="AB2203">
        <v>6.63</v>
      </c>
      <c r="AC2203" t="s">
        <v>2571</v>
      </c>
      <c r="AD2203">
        <v>79.23</v>
      </c>
      <c r="AE2203" t="s">
        <v>1699</v>
      </c>
      <c r="AF2203">
        <v>2.69</v>
      </c>
      <c r="AG2203">
        <v>0</v>
      </c>
      <c r="AH2203">
        <v>0</v>
      </c>
      <c r="AI2203" s="4">
        <v>42919</v>
      </c>
    </row>
    <row r="2204" spans="1:35">
      <c r="A2204">
        <v>2203</v>
      </c>
      <c r="B2204" t="str">
        <f>"002778"</f>
        <v>002778</v>
      </c>
      <c r="C2204" t="s">
        <v>10803</v>
      </c>
      <c r="D2204" s="4">
        <v>43190</v>
      </c>
      <c r="E2204" t="s">
        <v>10804</v>
      </c>
      <c r="F2204" t="s">
        <v>10805</v>
      </c>
      <c r="G2204">
        <v>4601</v>
      </c>
      <c r="H2204">
        <v>7.0000000000000007E-2</v>
      </c>
      <c r="I2204">
        <v>6.94</v>
      </c>
      <c r="J2204">
        <v>1</v>
      </c>
      <c r="K2204" t="s">
        <v>1376</v>
      </c>
      <c r="L2204">
        <v>-3.01</v>
      </c>
      <c r="M2204" t="s">
        <v>10806</v>
      </c>
      <c r="N2204">
        <v>0</v>
      </c>
      <c r="O2204" t="s">
        <v>10806</v>
      </c>
      <c r="P2204" t="s">
        <v>10807</v>
      </c>
      <c r="Q2204">
        <v>-22.9</v>
      </c>
      <c r="R2204" t="s">
        <v>486</v>
      </c>
      <c r="S2204">
        <v>3.17</v>
      </c>
      <c r="T2204">
        <v>13.62</v>
      </c>
      <c r="U2204" t="s">
        <v>871</v>
      </c>
      <c r="V2204" t="s">
        <v>97</v>
      </c>
      <c r="W2204" t="s">
        <v>9253</v>
      </c>
      <c r="X2204">
        <v>1</v>
      </c>
      <c r="Y2204" t="s">
        <v>84</v>
      </c>
      <c r="Z2204" t="s">
        <v>657</v>
      </c>
      <c r="AA2204" t="s">
        <v>3581</v>
      </c>
      <c r="AB2204">
        <v>2.74</v>
      </c>
      <c r="AC2204" t="s">
        <v>1015</v>
      </c>
      <c r="AD2204">
        <v>81.599999999999994</v>
      </c>
      <c r="AE2204" t="s">
        <v>454</v>
      </c>
      <c r="AF2204">
        <v>2.41</v>
      </c>
      <c r="AG2204">
        <v>0</v>
      </c>
      <c r="AH2204">
        <v>0</v>
      </c>
      <c r="AI2204" s="4">
        <v>42375</v>
      </c>
    </row>
    <row r="2205" spans="1:35">
      <c r="A2205">
        <v>2204</v>
      </c>
      <c r="B2205" t="str">
        <f>"000712"</f>
        <v>000712</v>
      </c>
      <c r="C2205" t="s">
        <v>10808</v>
      </c>
      <c r="D2205" s="4">
        <v>43190</v>
      </c>
      <c r="E2205" t="s">
        <v>724</v>
      </c>
      <c r="F2205" t="s">
        <v>2593</v>
      </c>
      <c r="G2205" t="s">
        <v>6078</v>
      </c>
      <c r="H2205">
        <v>0.04</v>
      </c>
      <c r="I2205">
        <v>4.17</v>
      </c>
      <c r="J2205">
        <v>1</v>
      </c>
      <c r="K2205" t="s">
        <v>1530</v>
      </c>
      <c r="L2205">
        <v>13.82</v>
      </c>
      <c r="M2205" t="s">
        <v>9406</v>
      </c>
      <c r="N2205" t="s">
        <v>2387</v>
      </c>
      <c r="O2205" t="s">
        <v>2326</v>
      </c>
      <c r="P2205" t="s">
        <v>10809</v>
      </c>
      <c r="Q2205">
        <v>-48.83</v>
      </c>
      <c r="R2205" t="s">
        <v>419</v>
      </c>
      <c r="S2205">
        <v>2.1800000000000002</v>
      </c>
      <c r="T2205">
        <v>0</v>
      </c>
      <c r="U2205" t="s">
        <v>6679</v>
      </c>
      <c r="V2205">
        <v>0</v>
      </c>
      <c r="W2205" t="s">
        <v>1365</v>
      </c>
      <c r="X2205">
        <v>1</v>
      </c>
      <c r="Y2205" t="s">
        <v>2049</v>
      </c>
      <c r="Z2205">
        <v>0</v>
      </c>
      <c r="AA2205">
        <v>0</v>
      </c>
      <c r="AB2205">
        <v>2.4</v>
      </c>
      <c r="AC2205" t="s">
        <v>2989</v>
      </c>
      <c r="AD2205">
        <v>10.78</v>
      </c>
      <c r="AE2205" t="s">
        <v>918</v>
      </c>
      <c r="AF2205">
        <v>0.79</v>
      </c>
      <c r="AG2205">
        <v>0</v>
      </c>
      <c r="AH2205">
        <v>0</v>
      </c>
      <c r="AI2205" s="4">
        <v>35535</v>
      </c>
    </row>
    <row r="2206" spans="1:35">
      <c r="A2206">
        <v>2205</v>
      </c>
      <c r="B2206" t="str">
        <f>"000157"</f>
        <v>000157</v>
      </c>
      <c r="C2206" t="s">
        <v>10810</v>
      </c>
      <c r="D2206" s="4">
        <v>43190</v>
      </c>
      <c r="E2206" t="s">
        <v>2395</v>
      </c>
      <c r="F2206" t="s">
        <v>6291</v>
      </c>
      <c r="G2206">
        <v>0</v>
      </c>
      <c r="H2206">
        <v>0.05</v>
      </c>
      <c r="I2206">
        <v>4.88</v>
      </c>
      <c r="J2206">
        <v>1</v>
      </c>
      <c r="K2206" t="s">
        <v>2286</v>
      </c>
      <c r="L2206">
        <v>20.58</v>
      </c>
      <c r="M2206" t="s">
        <v>142</v>
      </c>
      <c r="N2206" t="s">
        <v>10811</v>
      </c>
      <c r="O2206" t="s">
        <v>1059</v>
      </c>
      <c r="P2206" t="s">
        <v>137</v>
      </c>
      <c r="Q2206">
        <v>345.51</v>
      </c>
      <c r="R2206" t="s">
        <v>788</v>
      </c>
      <c r="S2206">
        <v>1.99</v>
      </c>
      <c r="T2206">
        <v>25.33</v>
      </c>
      <c r="U2206" t="s">
        <v>10812</v>
      </c>
      <c r="V2206" t="s">
        <v>10813</v>
      </c>
      <c r="W2206" t="s">
        <v>2300</v>
      </c>
      <c r="X2206">
        <v>1</v>
      </c>
      <c r="Y2206" t="s">
        <v>10814</v>
      </c>
      <c r="Z2206" t="s">
        <v>1454</v>
      </c>
      <c r="AA2206" t="s">
        <v>1337</v>
      </c>
      <c r="AB2206">
        <v>0.82</v>
      </c>
      <c r="AC2206" t="s">
        <v>8607</v>
      </c>
      <c r="AD2206">
        <v>44.43</v>
      </c>
      <c r="AE2206" t="s">
        <v>2504</v>
      </c>
      <c r="AF2206">
        <v>1.69</v>
      </c>
      <c r="AG2206">
        <v>0</v>
      </c>
      <c r="AH2206" t="s">
        <v>624</v>
      </c>
      <c r="AI2206" s="4">
        <v>36811</v>
      </c>
    </row>
    <row r="2207" spans="1:35">
      <c r="A2207">
        <v>2206</v>
      </c>
      <c r="B2207" t="str">
        <f>"000056"</f>
        <v>000056</v>
      </c>
      <c r="C2207" t="s">
        <v>10815</v>
      </c>
      <c r="D2207" s="4">
        <v>43190</v>
      </c>
      <c r="E2207" t="s">
        <v>250</v>
      </c>
      <c r="F2207" t="s">
        <v>2507</v>
      </c>
      <c r="G2207">
        <v>0</v>
      </c>
      <c r="H2207">
        <v>0.05</v>
      </c>
      <c r="I2207">
        <v>4.5599999999999996</v>
      </c>
      <c r="J2207">
        <v>1</v>
      </c>
      <c r="K2207" t="s">
        <v>682</v>
      </c>
      <c r="L2207">
        <v>60.62</v>
      </c>
      <c r="M2207" t="s">
        <v>10816</v>
      </c>
      <c r="N2207" t="s">
        <v>10817</v>
      </c>
      <c r="O2207" t="s">
        <v>7351</v>
      </c>
      <c r="P2207" t="s">
        <v>5238</v>
      </c>
      <c r="Q2207">
        <v>2.0499999999999998</v>
      </c>
      <c r="R2207" t="s">
        <v>578</v>
      </c>
      <c r="S2207">
        <v>1.93</v>
      </c>
      <c r="T2207">
        <v>63.16</v>
      </c>
      <c r="U2207" t="s">
        <v>398</v>
      </c>
      <c r="V2207" t="s">
        <v>1258</v>
      </c>
      <c r="W2207" t="s">
        <v>10818</v>
      </c>
      <c r="X2207">
        <v>1</v>
      </c>
      <c r="Y2207" t="s">
        <v>1030</v>
      </c>
      <c r="Z2207" t="s">
        <v>1000</v>
      </c>
      <c r="AA2207" t="s">
        <v>2044</v>
      </c>
      <c r="AB2207">
        <v>2.15</v>
      </c>
      <c r="AC2207" t="s">
        <v>4286</v>
      </c>
      <c r="AD2207">
        <v>37.869999999999997</v>
      </c>
      <c r="AE2207" t="s">
        <v>2328</v>
      </c>
      <c r="AF2207">
        <v>1.65</v>
      </c>
      <c r="AG2207" t="s">
        <v>3674</v>
      </c>
      <c r="AH2207">
        <v>0</v>
      </c>
      <c r="AI2207" s="4">
        <v>35254</v>
      </c>
    </row>
    <row r="2208" spans="1:35">
      <c r="A2208">
        <v>2207</v>
      </c>
      <c r="B2208" t="str">
        <f>"601113"</f>
        <v>601113</v>
      </c>
      <c r="C2208" t="s">
        <v>10819</v>
      </c>
      <c r="D2208" s="4">
        <v>43190</v>
      </c>
      <c r="E2208" t="s">
        <v>323</v>
      </c>
      <c r="F2208" t="s">
        <v>1849</v>
      </c>
      <c r="G2208" t="s">
        <v>10820</v>
      </c>
      <c r="H2208">
        <v>0.03</v>
      </c>
      <c r="I2208">
        <v>4.9000000000000004</v>
      </c>
      <c r="J2208">
        <v>0.99</v>
      </c>
      <c r="K2208" t="s">
        <v>1837</v>
      </c>
      <c r="L2208">
        <v>22.34</v>
      </c>
      <c r="M2208" t="s">
        <v>10821</v>
      </c>
      <c r="N2208" t="s">
        <v>10822</v>
      </c>
      <c r="O2208" t="s">
        <v>10821</v>
      </c>
      <c r="P2208" t="s">
        <v>6740</v>
      </c>
      <c r="Q2208">
        <v>-26.84</v>
      </c>
      <c r="R2208" t="s">
        <v>3321</v>
      </c>
      <c r="S2208">
        <v>0.4</v>
      </c>
      <c r="T2208">
        <v>11.59</v>
      </c>
      <c r="U2208" t="s">
        <v>430</v>
      </c>
      <c r="V2208" t="s">
        <v>756</v>
      </c>
      <c r="W2208" t="s">
        <v>971</v>
      </c>
      <c r="X2208">
        <v>0.99</v>
      </c>
      <c r="Y2208" t="s">
        <v>565</v>
      </c>
      <c r="Z2208" t="s">
        <v>1244</v>
      </c>
      <c r="AA2208" t="s">
        <v>1941</v>
      </c>
      <c r="AB2208">
        <v>2.71</v>
      </c>
      <c r="AC2208" t="s">
        <v>356</v>
      </c>
      <c r="AD2208">
        <v>54.77</v>
      </c>
      <c r="AE2208" t="s">
        <v>759</v>
      </c>
      <c r="AF2208">
        <v>3.44</v>
      </c>
      <c r="AG2208">
        <v>0</v>
      </c>
      <c r="AH2208">
        <v>0</v>
      </c>
      <c r="AI2208" s="4">
        <v>40672</v>
      </c>
    </row>
    <row r="2209" spans="1:35">
      <c r="A2209">
        <v>2208</v>
      </c>
      <c r="B2209" t="str">
        <f>"601038"</f>
        <v>601038</v>
      </c>
      <c r="C2209" t="s">
        <v>10823</v>
      </c>
      <c r="D2209" s="4">
        <v>43190</v>
      </c>
      <c r="E2209" t="s">
        <v>3154</v>
      </c>
      <c r="F2209" t="s">
        <v>1652</v>
      </c>
      <c r="G2209" t="s">
        <v>3138</v>
      </c>
      <c r="H2209">
        <v>0.05</v>
      </c>
      <c r="I2209">
        <v>4.91</v>
      </c>
      <c r="J2209">
        <v>0.99</v>
      </c>
      <c r="K2209" t="s">
        <v>826</v>
      </c>
      <c r="L2209">
        <v>-12.31</v>
      </c>
      <c r="M2209" t="s">
        <v>6105</v>
      </c>
      <c r="N2209" t="s">
        <v>10824</v>
      </c>
      <c r="O2209" t="s">
        <v>10825</v>
      </c>
      <c r="P2209" t="s">
        <v>10826</v>
      </c>
      <c r="Q2209">
        <v>-25.12</v>
      </c>
      <c r="R2209" t="s">
        <v>1307</v>
      </c>
      <c r="S2209">
        <v>1.34</v>
      </c>
      <c r="T2209">
        <v>14.59</v>
      </c>
      <c r="U2209" t="s">
        <v>1149</v>
      </c>
      <c r="V2209" t="s">
        <v>414</v>
      </c>
      <c r="W2209" t="s">
        <v>1350</v>
      </c>
      <c r="X2209">
        <v>0.99</v>
      </c>
      <c r="Y2209" t="s">
        <v>2641</v>
      </c>
      <c r="Z2209" t="s">
        <v>5695</v>
      </c>
      <c r="AA2209" t="s">
        <v>3494</v>
      </c>
      <c r="AB2209">
        <v>1.0900000000000001</v>
      </c>
      <c r="AC2209" t="s">
        <v>2567</v>
      </c>
      <c r="AD2209">
        <v>34.69</v>
      </c>
      <c r="AE2209" t="s">
        <v>876</v>
      </c>
      <c r="AF2209">
        <v>2.13</v>
      </c>
      <c r="AG2209">
        <v>0</v>
      </c>
      <c r="AH2209" t="s">
        <v>2590</v>
      </c>
      <c r="AI2209" s="4">
        <v>41129</v>
      </c>
    </row>
    <row r="2210" spans="1:35">
      <c r="A2210">
        <v>2209</v>
      </c>
      <c r="B2210" t="str">
        <f>"300593"</f>
        <v>300593</v>
      </c>
      <c r="C2210" t="s">
        <v>10827</v>
      </c>
      <c r="D2210" s="4">
        <v>43190</v>
      </c>
      <c r="E2210" t="s">
        <v>282</v>
      </c>
      <c r="F2210" t="s">
        <v>7639</v>
      </c>
      <c r="G2210">
        <v>4236</v>
      </c>
      <c r="H2210">
        <v>0.05</v>
      </c>
      <c r="I2210">
        <v>4.8099999999999996</v>
      </c>
      <c r="J2210">
        <v>0.99</v>
      </c>
      <c r="K2210" t="s">
        <v>10828</v>
      </c>
      <c r="L2210">
        <v>-4.33</v>
      </c>
      <c r="M2210" t="s">
        <v>9566</v>
      </c>
      <c r="N2210" t="s">
        <v>10829</v>
      </c>
      <c r="O2210" t="s">
        <v>9901</v>
      </c>
      <c r="P2210" t="s">
        <v>10830</v>
      </c>
      <c r="Q2210">
        <v>16.34</v>
      </c>
      <c r="R2210" t="s">
        <v>975</v>
      </c>
      <c r="S2210">
        <v>1.7</v>
      </c>
      <c r="T2210">
        <v>44.63</v>
      </c>
      <c r="U2210" t="s">
        <v>285</v>
      </c>
      <c r="V2210" t="s">
        <v>1121</v>
      </c>
      <c r="W2210" t="s">
        <v>10831</v>
      </c>
      <c r="X2210">
        <v>0.99</v>
      </c>
      <c r="Y2210" t="s">
        <v>986</v>
      </c>
      <c r="Z2210" t="s">
        <v>657</v>
      </c>
      <c r="AA2210" t="s">
        <v>10832</v>
      </c>
      <c r="AB2210">
        <v>3.47</v>
      </c>
      <c r="AC2210" t="s">
        <v>1088</v>
      </c>
      <c r="AD2210">
        <v>71.13</v>
      </c>
      <c r="AE2210" t="s">
        <v>935</v>
      </c>
      <c r="AF2210">
        <v>1.96</v>
      </c>
      <c r="AG2210">
        <v>0</v>
      </c>
      <c r="AH2210">
        <v>0</v>
      </c>
      <c r="AI2210" s="4">
        <v>42748</v>
      </c>
    </row>
    <row r="2211" spans="1:35">
      <c r="A2211">
        <v>2210</v>
      </c>
      <c r="B2211" t="str">
        <f>"002915"</f>
        <v>002915</v>
      </c>
      <c r="C2211" t="s">
        <v>10833</v>
      </c>
      <c r="D2211" s="4">
        <v>43190</v>
      </c>
      <c r="E2211" t="s">
        <v>355</v>
      </c>
      <c r="F2211" t="s">
        <v>2471</v>
      </c>
      <c r="G2211">
        <v>1354</v>
      </c>
      <c r="H2211">
        <v>0.04</v>
      </c>
      <c r="I2211">
        <v>3.94</v>
      </c>
      <c r="J2211">
        <v>0.99</v>
      </c>
      <c r="K2211" t="s">
        <v>2153</v>
      </c>
      <c r="L2211">
        <v>48.27</v>
      </c>
      <c r="M2211" t="s">
        <v>6511</v>
      </c>
      <c r="N2211">
        <v>0</v>
      </c>
      <c r="O2211" t="s">
        <v>6753</v>
      </c>
      <c r="P2211" t="s">
        <v>10834</v>
      </c>
      <c r="Q2211">
        <v>46.31</v>
      </c>
      <c r="R2211" t="s">
        <v>1689</v>
      </c>
      <c r="S2211">
        <v>1.27</v>
      </c>
      <c r="T2211">
        <v>20.9</v>
      </c>
      <c r="U2211" t="s">
        <v>1238</v>
      </c>
      <c r="V2211" t="s">
        <v>267</v>
      </c>
      <c r="W2211" t="s">
        <v>94</v>
      </c>
      <c r="X2211">
        <v>0.99</v>
      </c>
      <c r="Y2211" t="s">
        <v>1435</v>
      </c>
      <c r="Z2211" t="s">
        <v>1364</v>
      </c>
      <c r="AA2211" t="s">
        <v>8592</v>
      </c>
      <c r="AB2211">
        <v>9.43</v>
      </c>
      <c r="AC2211" t="s">
        <v>2625</v>
      </c>
      <c r="AD2211">
        <v>67.260000000000005</v>
      </c>
      <c r="AE2211" t="s">
        <v>1203</v>
      </c>
      <c r="AF2211">
        <v>1.43</v>
      </c>
      <c r="AG2211">
        <v>0</v>
      </c>
      <c r="AH2211">
        <v>0</v>
      </c>
      <c r="AI2211" s="4">
        <v>43074</v>
      </c>
    </row>
    <row r="2212" spans="1:35">
      <c r="A2212">
        <v>2211</v>
      </c>
      <c r="B2212" t="str">
        <f>"002767"</f>
        <v>002767</v>
      </c>
      <c r="C2212" t="s">
        <v>10835</v>
      </c>
      <c r="D2212" s="4">
        <v>43190</v>
      </c>
      <c r="E2212" t="s">
        <v>609</v>
      </c>
      <c r="F2212" t="s">
        <v>10836</v>
      </c>
      <c r="G2212">
        <v>2369</v>
      </c>
      <c r="H2212">
        <v>0.05</v>
      </c>
      <c r="I2212">
        <v>4.68</v>
      </c>
      <c r="J2212">
        <v>0.99</v>
      </c>
      <c r="K2212" t="s">
        <v>10837</v>
      </c>
      <c r="L2212">
        <v>4.05</v>
      </c>
      <c r="M2212" t="s">
        <v>3644</v>
      </c>
      <c r="N2212" t="s">
        <v>10838</v>
      </c>
      <c r="O2212" t="s">
        <v>7803</v>
      </c>
      <c r="P2212" t="s">
        <v>6204</v>
      </c>
      <c r="Q2212">
        <v>-6.52</v>
      </c>
      <c r="R2212" t="s">
        <v>862</v>
      </c>
      <c r="S2212">
        <v>1.4</v>
      </c>
      <c r="T2212">
        <v>34.15</v>
      </c>
      <c r="U2212" t="s">
        <v>2984</v>
      </c>
      <c r="V2212" t="s">
        <v>2149</v>
      </c>
      <c r="W2212" t="s">
        <v>10839</v>
      </c>
      <c r="X2212">
        <v>0.99</v>
      </c>
      <c r="Y2212" t="s">
        <v>533</v>
      </c>
      <c r="Z2212" t="s">
        <v>10840</v>
      </c>
      <c r="AA2212" t="s">
        <v>2874</v>
      </c>
      <c r="AB2212">
        <v>3.27</v>
      </c>
      <c r="AC2212" t="s">
        <v>2001</v>
      </c>
      <c r="AD2212">
        <v>87.31</v>
      </c>
      <c r="AE2212" t="s">
        <v>1184</v>
      </c>
      <c r="AF2212">
        <v>1.92</v>
      </c>
      <c r="AG2212">
        <v>0</v>
      </c>
      <c r="AH2212">
        <v>0</v>
      </c>
      <c r="AI2212" s="4">
        <v>42167</v>
      </c>
    </row>
    <row r="2213" spans="1:35">
      <c r="A2213">
        <v>2212</v>
      </c>
      <c r="B2213" t="str">
        <f>"002732"</f>
        <v>002732</v>
      </c>
      <c r="C2213" t="s">
        <v>10841</v>
      </c>
      <c r="D2213" s="4">
        <v>43190</v>
      </c>
      <c r="E2213" t="s">
        <v>382</v>
      </c>
      <c r="F2213" t="s">
        <v>610</v>
      </c>
      <c r="G2213">
        <v>8080</v>
      </c>
      <c r="H2213">
        <v>0.06</v>
      </c>
      <c r="I2213">
        <v>6.09</v>
      </c>
      <c r="J2213">
        <v>0.99</v>
      </c>
      <c r="K2213" t="s">
        <v>507</v>
      </c>
      <c r="L2213">
        <v>9.14</v>
      </c>
      <c r="M2213" t="s">
        <v>10842</v>
      </c>
      <c r="N2213">
        <v>0</v>
      </c>
      <c r="O2213" t="s">
        <v>10843</v>
      </c>
      <c r="P2213" t="s">
        <v>10844</v>
      </c>
      <c r="Q2213">
        <v>-21.02</v>
      </c>
      <c r="R2213" t="s">
        <v>599</v>
      </c>
      <c r="S2213">
        <v>2.7</v>
      </c>
      <c r="T2213">
        <v>32.1</v>
      </c>
      <c r="U2213" t="s">
        <v>350</v>
      </c>
      <c r="V2213" t="s">
        <v>1578</v>
      </c>
      <c r="W2213" t="s">
        <v>1362</v>
      </c>
      <c r="X2213">
        <v>0.99</v>
      </c>
      <c r="Y2213" t="s">
        <v>2224</v>
      </c>
      <c r="Z2213" t="s">
        <v>958</v>
      </c>
      <c r="AA2213" t="s">
        <v>2307</v>
      </c>
      <c r="AB2213">
        <v>3.77</v>
      </c>
      <c r="AC2213" t="s">
        <v>4861</v>
      </c>
      <c r="AD2213">
        <v>70.73</v>
      </c>
      <c r="AE2213" t="s">
        <v>301</v>
      </c>
      <c r="AF2213">
        <v>2.0299999999999998</v>
      </c>
      <c r="AG2213">
        <v>0</v>
      </c>
      <c r="AH2213">
        <v>0</v>
      </c>
      <c r="AI2213" s="4">
        <v>41978</v>
      </c>
    </row>
    <row r="2214" spans="1:35">
      <c r="A2214">
        <v>2213</v>
      </c>
      <c r="B2214" t="str">
        <f>"600562"</f>
        <v>600562</v>
      </c>
      <c r="C2214" t="s">
        <v>10845</v>
      </c>
      <c r="D2214" s="4">
        <v>43190</v>
      </c>
      <c r="E2214" t="s">
        <v>362</v>
      </c>
      <c r="F2214" t="s">
        <v>593</v>
      </c>
      <c r="G2214" t="s">
        <v>2305</v>
      </c>
      <c r="H2214">
        <v>0.04</v>
      </c>
      <c r="I2214">
        <v>3.77</v>
      </c>
      <c r="J2214">
        <v>0.98</v>
      </c>
      <c r="K2214" t="s">
        <v>284</v>
      </c>
      <c r="L2214">
        <v>8.84</v>
      </c>
      <c r="M2214" t="s">
        <v>9717</v>
      </c>
      <c r="N2214">
        <v>0</v>
      </c>
      <c r="O2214" t="s">
        <v>10846</v>
      </c>
      <c r="P2214" t="s">
        <v>10847</v>
      </c>
      <c r="Q2214">
        <v>-25.57</v>
      </c>
      <c r="R2214" t="s">
        <v>3716</v>
      </c>
      <c r="S2214">
        <v>1.53</v>
      </c>
      <c r="T2214">
        <v>23.04</v>
      </c>
      <c r="U2214" t="s">
        <v>2100</v>
      </c>
      <c r="V2214" t="s">
        <v>1294</v>
      </c>
      <c r="W2214" t="s">
        <v>2360</v>
      </c>
      <c r="X2214">
        <v>0.98</v>
      </c>
      <c r="Y2214" t="s">
        <v>1747</v>
      </c>
      <c r="Z2214" t="s">
        <v>3557</v>
      </c>
      <c r="AA2214" t="s">
        <v>5742</v>
      </c>
      <c r="AB2214">
        <v>5.22</v>
      </c>
      <c r="AC2214" t="s">
        <v>1455</v>
      </c>
      <c r="AD2214">
        <v>67.489999999999995</v>
      </c>
      <c r="AE2214" t="s">
        <v>1358</v>
      </c>
      <c r="AF2214">
        <v>1.03</v>
      </c>
      <c r="AG2214">
        <v>0</v>
      </c>
      <c r="AH2214">
        <v>0</v>
      </c>
      <c r="AI2214" s="4">
        <v>37649</v>
      </c>
    </row>
    <row r="2215" spans="1:35">
      <c r="A2215">
        <v>2214</v>
      </c>
      <c r="B2215" t="str">
        <f>"600488"</f>
        <v>600488</v>
      </c>
      <c r="C2215" t="s">
        <v>10848</v>
      </c>
      <c r="D2215" s="4">
        <v>43190</v>
      </c>
      <c r="E2215" t="s">
        <v>1223</v>
      </c>
      <c r="F2215" t="s">
        <v>2678</v>
      </c>
      <c r="G2215" t="s">
        <v>2229</v>
      </c>
      <c r="H2215">
        <v>0.02</v>
      </c>
      <c r="I2215">
        <v>2.48</v>
      </c>
      <c r="J2215">
        <v>0.98</v>
      </c>
      <c r="K2215" t="s">
        <v>2532</v>
      </c>
      <c r="L2215">
        <v>49.77</v>
      </c>
      <c r="M2215" t="s">
        <v>4430</v>
      </c>
      <c r="N2215" t="s">
        <v>10849</v>
      </c>
      <c r="O2215" t="s">
        <v>10850</v>
      </c>
      <c r="P2215" t="s">
        <v>10088</v>
      </c>
      <c r="Q2215">
        <v>19.579999999999998</v>
      </c>
      <c r="R2215" t="s">
        <v>2959</v>
      </c>
      <c r="S2215">
        <v>0.84</v>
      </c>
      <c r="T2215">
        <v>51.62</v>
      </c>
      <c r="U2215" t="s">
        <v>3422</v>
      </c>
      <c r="V2215" t="s">
        <v>1000</v>
      </c>
      <c r="W2215" t="s">
        <v>646</v>
      </c>
      <c r="X2215">
        <v>0.98</v>
      </c>
      <c r="Y2215" t="s">
        <v>926</v>
      </c>
      <c r="Z2215" t="s">
        <v>300</v>
      </c>
      <c r="AA2215" t="s">
        <v>6871</v>
      </c>
      <c r="AB2215">
        <v>1.57</v>
      </c>
      <c r="AC2215" t="s">
        <v>239</v>
      </c>
      <c r="AD2215">
        <v>61.78</v>
      </c>
      <c r="AE2215" t="s">
        <v>944</v>
      </c>
      <c r="AF2215">
        <v>0.47</v>
      </c>
      <c r="AG2215">
        <v>0</v>
      </c>
      <c r="AH2215">
        <v>0</v>
      </c>
      <c r="AI2215" s="4">
        <v>37060</v>
      </c>
    </row>
    <row r="2216" spans="1:35">
      <c r="A2216">
        <v>2215</v>
      </c>
      <c r="B2216" t="str">
        <f>"600271"</f>
        <v>600271</v>
      </c>
      <c r="C2216" t="s">
        <v>10851</v>
      </c>
      <c r="D2216" s="4">
        <v>43190</v>
      </c>
      <c r="E2216" t="s">
        <v>891</v>
      </c>
      <c r="F2216" t="s">
        <v>510</v>
      </c>
      <c r="G2216" t="s">
        <v>6572</v>
      </c>
      <c r="H2216">
        <v>0.05</v>
      </c>
      <c r="I2216">
        <v>5.33</v>
      </c>
      <c r="J2216">
        <v>0.98</v>
      </c>
      <c r="K2216" t="s">
        <v>1735</v>
      </c>
      <c r="L2216">
        <v>-0.28999999999999998</v>
      </c>
      <c r="M2216" t="s">
        <v>1035</v>
      </c>
      <c r="N2216" t="s">
        <v>10516</v>
      </c>
      <c r="O2216" t="s">
        <v>137</v>
      </c>
      <c r="P2216" t="s">
        <v>651</v>
      </c>
      <c r="Q2216">
        <v>-74.42</v>
      </c>
      <c r="R2216" t="s">
        <v>2795</v>
      </c>
      <c r="S2216">
        <v>3.71</v>
      </c>
      <c r="T2216">
        <v>19.690000000000001</v>
      </c>
      <c r="U2216" t="s">
        <v>957</v>
      </c>
      <c r="V2216" t="s">
        <v>587</v>
      </c>
      <c r="W2216" t="s">
        <v>2414</v>
      </c>
      <c r="X2216">
        <v>0.98</v>
      </c>
      <c r="Y2216" t="s">
        <v>5659</v>
      </c>
      <c r="Z2216" t="s">
        <v>2881</v>
      </c>
      <c r="AA2216" t="s">
        <v>565</v>
      </c>
      <c r="AB2216">
        <v>4.29</v>
      </c>
      <c r="AC2216" t="s">
        <v>252</v>
      </c>
      <c r="AD2216">
        <v>52.42</v>
      </c>
      <c r="AE2216" t="s">
        <v>1934</v>
      </c>
      <c r="AF2216">
        <v>0.21</v>
      </c>
      <c r="AG2216">
        <v>0</v>
      </c>
      <c r="AH2216">
        <v>0</v>
      </c>
      <c r="AI2216" s="4">
        <v>37813</v>
      </c>
    </row>
    <row r="2217" spans="1:35">
      <c r="A2217">
        <v>2216</v>
      </c>
      <c r="B2217" t="str">
        <f>"600116"</f>
        <v>600116</v>
      </c>
      <c r="C2217" t="s">
        <v>10852</v>
      </c>
      <c r="D2217" s="4">
        <v>43190</v>
      </c>
      <c r="E2217" t="s">
        <v>2620</v>
      </c>
      <c r="F2217" t="s">
        <v>2620</v>
      </c>
      <c r="G2217" t="s">
        <v>1639</v>
      </c>
      <c r="H2217">
        <v>0.03</v>
      </c>
      <c r="I2217">
        <v>2.79</v>
      </c>
      <c r="J2217">
        <v>0.98</v>
      </c>
      <c r="K2217" t="s">
        <v>1995</v>
      </c>
      <c r="L2217">
        <v>5.85</v>
      </c>
      <c r="M2217" t="s">
        <v>10853</v>
      </c>
      <c r="N2217" t="s">
        <v>10854</v>
      </c>
      <c r="O2217" t="s">
        <v>4383</v>
      </c>
      <c r="P2217" t="s">
        <v>10855</v>
      </c>
      <c r="Q2217">
        <v>-44.61</v>
      </c>
      <c r="R2217" t="s">
        <v>299</v>
      </c>
      <c r="S2217">
        <v>0.9</v>
      </c>
      <c r="T2217">
        <v>16.32</v>
      </c>
      <c r="U2217" t="s">
        <v>2736</v>
      </c>
      <c r="V2217" t="s">
        <v>699</v>
      </c>
      <c r="W2217" t="s">
        <v>158</v>
      </c>
      <c r="X2217">
        <v>0.98</v>
      </c>
      <c r="Y2217" t="s">
        <v>578</v>
      </c>
      <c r="Z2217" t="s">
        <v>1079</v>
      </c>
      <c r="AA2217" t="s">
        <v>926</v>
      </c>
      <c r="AB2217">
        <v>2.52</v>
      </c>
      <c r="AC2217" t="s">
        <v>450</v>
      </c>
      <c r="AD2217">
        <v>55.32</v>
      </c>
      <c r="AE2217" t="s">
        <v>6262</v>
      </c>
      <c r="AF2217">
        <v>0.78</v>
      </c>
      <c r="AG2217">
        <v>0</v>
      </c>
      <c r="AH2217">
        <v>0</v>
      </c>
      <c r="AI2217" s="4">
        <v>35646</v>
      </c>
    </row>
    <row r="2218" spans="1:35">
      <c r="A2218">
        <v>2217</v>
      </c>
      <c r="B2218" t="str">
        <f>"002850"</f>
        <v>002850</v>
      </c>
      <c r="C2218" t="s">
        <v>10856</v>
      </c>
      <c r="D2218" s="4">
        <v>43190</v>
      </c>
      <c r="E2218" t="s">
        <v>118</v>
      </c>
      <c r="F2218" t="s">
        <v>10857</v>
      </c>
      <c r="G2218">
        <v>2802</v>
      </c>
      <c r="H2218">
        <v>0.11</v>
      </c>
      <c r="I2218">
        <v>10.64</v>
      </c>
      <c r="J2218">
        <v>0.98</v>
      </c>
      <c r="K2218" t="s">
        <v>69</v>
      </c>
      <c r="L2218">
        <v>14.29</v>
      </c>
      <c r="M2218" t="s">
        <v>10858</v>
      </c>
      <c r="N2218" t="s">
        <v>10859</v>
      </c>
      <c r="O2218" t="s">
        <v>10053</v>
      </c>
      <c r="P2218" t="s">
        <v>10860</v>
      </c>
      <c r="Q2218">
        <v>-46.86</v>
      </c>
      <c r="R2218" t="s">
        <v>1730</v>
      </c>
      <c r="S2218">
        <v>2.95</v>
      </c>
      <c r="T2218">
        <v>16.920000000000002</v>
      </c>
      <c r="U2218" t="s">
        <v>1380</v>
      </c>
      <c r="V2218" t="s">
        <v>1244</v>
      </c>
      <c r="W2218" t="s">
        <v>2984</v>
      </c>
      <c r="X2218">
        <v>0.98</v>
      </c>
      <c r="Y2218" t="s">
        <v>2192</v>
      </c>
      <c r="Z2218" t="s">
        <v>871</v>
      </c>
      <c r="AA2218" t="s">
        <v>10861</v>
      </c>
      <c r="AB2218">
        <v>2.5099999999999998</v>
      </c>
      <c r="AC2218" t="s">
        <v>2291</v>
      </c>
      <c r="AD2218">
        <v>72.47</v>
      </c>
      <c r="AE2218" t="s">
        <v>173</v>
      </c>
      <c r="AF2218">
        <v>6.44</v>
      </c>
      <c r="AG2218">
        <v>0</v>
      </c>
      <c r="AH2218">
        <v>0</v>
      </c>
      <c r="AI2218" s="4">
        <v>42796</v>
      </c>
    </row>
    <row r="2219" spans="1:35">
      <c r="A2219">
        <v>2218</v>
      </c>
      <c r="B2219" t="str">
        <f>"002806"</f>
        <v>002806</v>
      </c>
      <c r="C2219" t="s">
        <v>10862</v>
      </c>
      <c r="D2219" s="4">
        <v>43190</v>
      </c>
      <c r="E2219" t="s">
        <v>993</v>
      </c>
      <c r="F2219" t="s">
        <v>10863</v>
      </c>
      <c r="G2219">
        <v>3425</v>
      </c>
      <c r="H2219">
        <v>0.03</v>
      </c>
      <c r="I2219">
        <v>2.77</v>
      </c>
      <c r="J2219">
        <v>0.98</v>
      </c>
      <c r="K2219" t="s">
        <v>1475</v>
      </c>
      <c r="L2219">
        <v>14.89</v>
      </c>
      <c r="M2219" t="s">
        <v>10864</v>
      </c>
      <c r="N2219">
        <v>0</v>
      </c>
      <c r="O2219" t="s">
        <v>10865</v>
      </c>
      <c r="P2219" t="s">
        <v>10866</v>
      </c>
      <c r="Q2219">
        <v>8.52</v>
      </c>
      <c r="R2219" t="s">
        <v>3332</v>
      </c>
      <c r="S2219">
        <v>1.34</v>
      </c>
      <c r="T2219">
        <v>20.02</v>
      </c>
      <c r="U2219" t="s">
        <v>189</v>
      </c>
      <c r="V2219" t="s">
        <v>139</v>
      </c>
      <c r="W2219" t="s">
        <v>66</v>
      </c>
      <c r="X2219">
        <v>0.98</v>
      </c>
      <c r="Y2219" t="s">
        <v>1184</v>
      </c>
      <c r="Z2219" t="s">
        <v>1049</v>
      </c>
      <c r="AA2219" t="s">
        <v>10867</v>
      </c>
      <c r="AB2219">
        <v>11.5</v>
      </c>
      <c r="AC2219" t="s">
        <v>69</v>
      </c>
      <c r="AD2219">
        <v>57.57</v>
      </c>
      <c r="AE2219" t="s">
        <v>10868</v>
      </c>
      <c r="AF2219">
        <v>0.28999999999999998</v>
      </c>
      <c r="AG2219">
        <v>0</v>
      </c>
      <c r="AH2219">
        <v>0</v>
      </c>
      <c r="AI2219" s="4">
        <v>42577</v>
      </c>
    </row>
    <row r="2220" spans="1:35">
      <c r="A2220">
        <v>2219</v>
      </c>
      <c r="B2220" t="str">
        <f>"002751"</f>
        <v>002751</v>
      </c>
      <c r="C2220" t="s">
        <v>10869</v>
      </c>
      <c r="D2220" s="4">
        <v>43190</v>
      </c>
      <c r="E2220" t="s">
        <v>863</v>
      </c>
      <c r="F2220" t="s">
        <v>10870</v>
      </c>
      <c r="G2220">
        <v>2995</v>
      </c>
      <c r="H2220">
        <v>0.03</v>
      </c>
      <c r="I2220">
        <v>5.96</v>
      </c>
      <c r="J2220">
        <v>0.98</v>
      </c>
      <c r="K2220" t="s">
        <v>993</v>
      </c>
      <c r="L2220">
        <v>13.33</v>
      </c>
      <c r="M2220" t="s">
        <v>9445</v>
      </c>
      <c r="N2220">
        <v>0</v>
      </c>
      <c r="O2220" t="s">
        <v>2075</v>
      </c>
      <c r="P2220" t="s">
        <v>3467</v>
      </c>
      <c r="Q2220">
        <v>248.12</v>
      </c>
      <c r="R2220" t="s">
        <v>696</v>
      </c>
      <c r="S2220">
        <v>1.34</v>
      </c>
      <c r="T2220">
        <v>34.31</v>
      </c>
      <c r="U2220" t="s">
        <v>1908</v>
      </c>
      <c r="V2220" t="s">
        <v>3161</v>
      </c>
      <c r="W2220" t="s">
        <v>10871</v>
      </c>
      <c r="X2220">
        <v>0.98</v>
      </c>
      <c r="Y2220" t="s">
        <v>303</v>
      </c>
      <c r="Z2220" t="s">
        <v>3745</v>
      </c>
      <c r="AA2220" t="s">
        <v>3145</v>
      </c>
      <c r="AB2220">
        <v>5.5</v>
      </c>
      <c r="AC2220" t="s">
        <v>62</v>
      </c>
      <c r="AD2220">
        <v>34.630000000000003</v>
      </c>
      <c r="AE2220" t="s">
        <v>1088</v>
      </c>
      <c r="AF2220">
        <v>3.64</v>
      </c>
      <c r="AG2220">
        <v>0</v>
      </c>
      <c r="AH2220">
        <v>0</v>
      </c>
      <c r="AI2220" s="4">
        <v>42118</v>
      </c>
    </row>
    <row r="2221" spans="1:35">
      <c r="A2221">
        <v>2220</v>
      </c>
      <c r="B2221" t="str">
        <f>"002614"</f>
        <v>002614</v>
      </c>
      <c r="C2221" t="s">
        <v>10872</v>
      </c>
      <c r="D2221" s="4">
        <v>43190</v>
      </c>
      <c r="E2221" t="s">
        <v>1685</v>
      </c>
      <c r="F2221" t="s">
        <v>1791</v>
      </c>
      <c r="G2221" t="s">
        <v>5615</v>
      </c>
      <c r="H2221">
        <v>0.05</v>
      </c>
      <c r="I2221">
        <v>5.1100000000000003</v>
      </c>
      <c r="J2221">
        <v>0.98</v>
      </c>
      <c r="K2221" t="s">
        <v>978</v>
      </c>
      <c r="L2221">
        <v>33.369999999999997</v>
      </c>
      <c r="M2221" t="s">
        <v>10873</v>
      </c>
      <c r="N2221" t="s">
        <v>1582</v>
      </c>
      <c r="O2221" t="s">
        <v>5159</v>
      </c>
      <c r="P2221" t="s">
        <v>8733</v>
      </c>
      <c r="Q2221">
        <v>50.23</v>
      </c>
      <c r="R2221" t="s">
        <v>250</v>
      </c>
      <c r="S2221">
        <v>2</v>
      </c>
      <c r="T2221">
        <v>36.39</v>
      </c>
      <c r="U2221" t="s">
        <v>2736</v>
      </c>
      <c r="V2221" t="s">
        <v>2901</v>
      </c>
      <c r="W2221" t="s">
        <v>2063</v>
      </c>
      <c r="X2221">
        <v>0.98</v>
      </c>
      <c r="Y2221" t="s">
        <v>1843</v>
      </c>
      <c r="Z2221" t="s">
        <v>304</v>
      </c>
      <c r="AA2221" t="s">
        <v>90</v>
      </c>
      <c r="AB2221">
        <v>3.79</v>
      </c>
      <c r="AC2221" t="s">
        <v>1158</v>
      </c>
      <c r="AD2221">
        <v>58.36</v>
      </c>
      <c r="AE2221" t="s">
        <v>250</v>
      </c>
      <c r="AF2221">
        <v>2.11</v>
      </c>
      <c r="AG2221">
        <v>0</v>
      </c>
      <c r="AH2221">
        <v>0</v>
      </c>
      <c r="AI2221" s="4">
        <v>40795</v>
      </c>
    </row>
    <row r="2222" spans="1:35">
      <c r="A2222">
        <v>2221</v>
      </c>
      <c r="B2222" t="str">
        <f>"002495"</f>
        <v>002495</v>
      </c>
      <c r="C2222" t="s">
        <v>10874</v>
      </c>
      <c r="D2222" s="4">
        <v>43190</v>
      </c>
      <c r="E2222" t="s">
        <v>6052</v>
      </c>
      <c r="F2222" t="s">
        <v>453</v>
      </c>
      <c r="G2222" t="s">
        <v>2125</v>
      </c>
      <c r="H2222">
        <v>0.01</v>
      </c>
      <c r="I2222">
        <v>1.22</v>
      </c>
      <c r="J2222">
        <v>0.98</v>
      </c>
      <c r="K2222" t="s">
        <v>10875</v>
      </c>
      <c r="L2222">
        <v>40.61</v>
      </c>
      <c r="M2222" t="s">
        <v>10876</v>
      </c>
      <c r="N2222">
        <v>0</v>
      </c>
      <c r="O2222" t="s">
        <v>10877</v>
      </c>
      <c r="P2222" t="s">
        <v>10878</v>
      </c>
      <c r="Q2222">
        <v>84.44</v>
      </c>
      <c r="R2222" t="s">
        <v>355</v>
      </c>
      <c r="S2222">
        <v>0.11</v>
      </c>
      <c r="T2222">
        <v>44.38</v>
      </c>
      <c r="U2222" t="s">
        <v>548</v>
      </c>
      <c r="V2222" t="s">
        <v>594</v>
      </c>
      <c r="W2222" t="s">
        <v>479</v>
      </c>
      <c r="X2222">
        <v>0.98</v>
      </c>
      <c r="Y2222" t="s">
        <v>10879</v>
      </c>
      <c r="Z2222" t="s">
        <v>10880</v>
      </c>
      <c r="AA2222" t="s">
        <v>10881</v>
      </c>
      <c r="AB2222">
        <v>2.34</v>
      </c>
      <c r="AC2222" t="s">
        <v>973</v>
      </c>
      <c r="AD2222">
        <v>92.24</v>
      </c>
      <c r="AE2222" t="s">
        <v>8831</v>
      </c>
      <c r="AF2222">
        <v>0.06</v>
      </c>
      <c r="AG2222">
        <v>0</v>
      </c>
      <c r="AH2222">
        <v>0</v>
      </c>
      <c r="AI2222" s="4">
        <v>40484</v>
      </c>
    </row>
    <row r="2223" spans="1:35">
      <c r="A2223">
        <v>2222</v>
      </c>
      <c r="B2223" t="str">
        <f>"002198"</f>
        <v>002198</v>
      </c>
      <c r="C2223" t="s">
        <v>10882</v>
      </c>
      <c r="D2223" s="4">
        <v>43190</v>
      </c>
      <c r="E2223" t="s">
        <v>1012</v>
      </c>
      <c r="F2223" t="s">
        <v>1659</v>
      </c>
      <c r="G2223" t="s">
        <v>7320</v>
      </c>
      <c r="H2223">
        <v>0.02</v>
      </c>
      <c r="I2223">
        <v>1.49</v>
      </c>
      <c r="J2223">
        <v>0.98</v>
      </c>
      <c r="K2223" t="s">
        <v>9394</v>
      </c>
      <c r="L2223">
        <v>19.079999999999998</v>
      </c>
      <c r="M2223" t="s">
        <v>10883</v>
      </c>
      <c r="N2223" t="s">
        <v>10884</v>
      </c>
      <c r="O2223" t="s">
        <v>9108</v>
      </c>
      <c r="P2223" t="s">
        <v>6208</v>
      </c>
      <c r="Q2223">
        <v>7.92</v>
      </c>
      <c r="R2223" t="s">
        <v>2307</v>
      </c>
      <c r="S2223">
        <v>0.2</v>
      </c>
      <c r="T2223">
        <v>61.66</v>
      </c>
      <c r="U2223" t="s">
        <v>2444</v>
      </c>
      <c r="V2223" t="s">
        <v>139</v>
      </c>
      <c r="W2223" t="s">
        <v>1995</v>
      </c>
      <c r="X2223">
        <v>0.98</v>
      </c>
      <c r="Y2223" t="s">
        <v>10885</v>
      </c>
      <c r="Z2223" t="s">
        <v>9947</v>
      </c>
      <c r="AA2223" t="s">
        <v>10886</v>
      </c>
      <c r="AB2223">
        <v>3.65</v>
      </c>
      <c r="AC2223" t="s">
        <v>650</v>
      </c>
      <c r="AD2223">
        <v>88.84</v>
      </c>
      <c r="AE2223" t="s">
        <v>2360</v>
      </c>
      <c r="AF2223">
        <v>0.24</v>
      </c>
      <c r="AG2223">
        <v>0</v>
      </c>
      <c r="AH2223">
        <v>0</v>
      </c>
      <c r="AI2223" s="4">
        <v>39434</v>
      </c>
    </row>
    <row r="2224" spans="1:35">
      <c r="A2224">
        <v>2223</v>
      </c>
      <c r="B2224" t="str">
        <f>"000970"</f>
        <v>000970</v>
      </c>
      <c r="C2224" t="s">
        <v>10887</v>
      </c>
      <c r="D2224" s="4">
        <v>43190</v>
      </c>
      <c r="E2224" t="s">
        <v>295</v>
      </c>
      <c r="F2224" t="s">
        <v>295</v>
      </c>
      <c r="G2224">
        <v>9126</v>
      </c>
      <c r="H2224">
        <v>0.04</v>
      </c>
      <c r="I2224">
        <v>3.99</v>
      </c>
      <c r="J2224">
        <v>0.98</v>
      </c>
      <c r="K2224" t="s">
        <v>1817</v>
      </c>
      <c r="L2224">
        <v>18.82</v>
      </c>
      <c r="M2224" t="s">
        <v>10888</v>
      </c>
      <c r="N2224" t="s">
        <v>10889</v>
      </c>
      <c r="O2224" t="s">
        <v>4758</v>
      </c>
      <c r="P2224" t="s">
        <v>10890</v>
      </c>
      <c r="Q2224">
        <v>-41.96</v>
      </c>
      <c r="R2224" t="s">
        <v>1832</v>
      </c>
      <c r="S2224">
        <v>2.36</v>
      </c>
      <c r="T2224">
        <v>21.33</v>
      </c>
      <c r="U2224" t="s">
        <v>1878</v>
      </c>
      <c r="V2224" t="s">
        <v>2917</v>
      </c>
      <c r="W2224" t="s">
        <v>724</v>
      </c>
      <c r="X2224">
        <v>0.98</v>
      </c>
      <c r="Y2224" t="s">
        <v>6610</v>
      </c>
      <c r="Z2224" t="s">
        <v>2000</v>
      </c>
      <c r="AA2224" t="s">
        <v>8529</v>
      </c>
      <c r="AB2224">
        <v>2.42</v>
      </c>
      <c r="AC2224" t="s">
        <v>528</v>
      </c>
      <c r="AD2224">
        <v>71.209999999999994</v>
      </c>
      <c r="AE2224" t="s">
        <v>1295</v>
      </c>
      <c r="AF2224">
        <v>0.41</v>
      </c>
      <c r="AG2224">
        <v>0</v>
      </c>
      <c r="AH2224">
        <v>0</v>
      </c>
      <c r="AI2224" s="4">
        <v>36636</v>
      </c>
    </row>
    <row r="2225" spans="1:35">
      <c r="A2225">
        <v>2224</v>
      </c>
      <c r="B2225" t="str">
        <f>"000938"</f>
        <v>000938</v>
      </c>
      <c r="C2225" t="s">
        <v>10891</v>
      </c>
      <c r="D2225" s="4">
        <v>43190</v>
      </c>
      <c r="E2225" t="s">
        <v>919</v>
      </c>
      <c r="F2225" t="s">
        <v>1970</v>
      </c>
      <c r="G2225">
        <v>5302</v>
      </c>
      <c r="H2225">
        <v>0.24</v>
      </c>
      <c r="I2225">
        <v>24.39</v>
      </c>
      <c r="J2225">
        <v>0.98</v>
      </c>
      <c r="K2225" t="s">
        <v>232</v>
      </c>
      <c r="L2225">
        <v>30.08</v>
      </c>
      <c r="M2225" t="s">
        <v>1037</v>
      </c>
      <c r="N2225" t="s">
        <v>4860</v>
      </c>
      <c r="O2225" t="s">
        <v>128</v>
      </c>
      <c r="P2225" t="s">
        <v>3535</v>
      </c>
      <c r="Q2225">
        <v>-21.32</v>
      </c>
      <c r="R2225" t="s">
        <v>1252</v>
      </c>
      <c r="S2225">
        <v>2.82</v>
      </c>
      <c r="T2225">
        <v>21.35</v>
      </c>
      <c r="U2225" t="s">
        <v>10892</v>
      </c>
      <c r="V2225" t="s">
        <v>1749</v>
      </c>
      <c r="W2225" t="s">
        <v>140</v>
      </c>
      <c r="X2225">
        <v>0.98</v>
      </c>
      <c r="Y2225" t="s">
        <v>794</v>
      </c>
      <c r="Z2225" t="s">
        <v>315</v>
      </c>
      <c r="AA2225" t="s">
        <v>646</v>
      </c>
      <c r="AB2225">
        <v>2.4</v>
      </c>
      <c r="AC2225" t="s">
        <v>4700</v>
      </c>
      <c r="AD2225">
        <v>59.4</v>
      </c>
      <c r="AE2225" t="s">
        <v>2179</v>
      </c>
      <c r="AF2225">
        <v>20.21</v>
      </c>
      <c r="AG2225">
        <v>0</v>
      </c>
      <c r="AH2225">
        <v>0</v>
      </c>
      <c r="AI2225" s="4">
        <v>36468</v>
      </c>
    </row>
    <row r="2226" spans="1:35">
      <c r="A2226">
        <v>2225</v>
      </c>
      <c r="B2226" t="str">
        <f>"000790"</f>
        <v>000790</v>
      </c>
      <c r="C2226" t="s">
        <v>10893</v>
      </c>
      <c r="D2226" s="4">
        <v>43190</v>
      </c>
      <c r="E2226" t="s">
        <v>1002</v>
      </c>
      <c r="F2226" t="s">
        <v>1002</v>
      </c>
      <c r="G2226">
        <v>9473</v>
      </c>
      <c r="H2226">
        <v>0.01</v>
      </c>
      <c r="I2226">
        <v>1.44</v>
      </c>
      <c r="J2226">
        <v>0.98</v>
      </c>
      <c r="K2226" t="s">
        <v>1376</v>
      </c>
      <c r="L2226">
        <v>31.19</v>
      </c>
      <c r="M2226" t="s">
        <v>10894</v>
      </c>
      <c r="N2226" t="s">
        <v>10895</v>
      </c>
      <c r="O2226" t="s">
        <v>3823</v>
      </c>
      <c r="P2226" t="s">
        <v>7420</v>
      </c>
      <c r="Q2226">
        <v>51.47</v>
      </c>
      <c r="R2226" t="s">
        <v>2774</v>
      </c>
      <c r="S2226">
        <v>0.43</v>
      </c>
      <c r="T2226">
        <v>64.45</v>
      </c>
      <c r="U2226" t="s">
        <v>840</v>
      </c>
      <c r="V2226" t="s">
        <v>1496</v>
      </c>
      <c r="W2226" t="s">
        <v>1245</v>
      </c>
      <c r="X2226">
        <v>0.98</v>
      </c>
      <c r="Y2226" t="s">
        <v>4613</v>
      </c>
      <c r="Z2226" t="s">
        <v>3321</v>
      </c>
      <c r="AA2226" t="s">
        <v>1093</v>
      </c>
      <c r="AB2226">
        <v>4.51</v>
      </c>
      <c r="AC2226" t="s">
        <v>652</v>
      </c>
      <c r="AD2226">
        <v>64.52</v>
      </c>
      <c r="AE2226" t="s">
        <v>10443</v>
      </c>
      <c r="AF2226">
        <v>7.0000000000000007E-2</v>
      </c>
      <c r="AG2226">
        <v>0</v>
      </c>
      <c r="AH2226">
        <v>0</v>
      </c>
      <c r="AI2226" s="4">
        <v>35881</v>
      </c>
    </row>
    <row r="2227" spans="1:35">
      <c r="A2227">
        <v>2226</v>
      </c>
      <c r="B2227" t="str">
        <f>"600875"</f>
        <v>600875</v>
      </c>
      <c r="C2227" t="s">
        <v>10896</v>
      </c>
      <c r="D2227" s="4">
        <v>43190</v>
      </c>
      <c r="E2227" t="s">
        <v>2071</v>
      </c>
      <c r="F2227" t="s">
        <v>1000</v>
      </c>
      <c r="G2227">
        <v>0</v>
      </c>
      <c r="H2227">
        <v>7.0000000000000007E-2</v>
      </c>
      <c r="I2227">
        <v>9.35</v>
      </c>
      <c r="J2227">
        <v>0.97</v>
      </c>
      <c r="K2227" t="s">
        <v>4807</v>
      </c>
      <c r="L2227">
        <v>18.05</v>
      </c>
      <c r="M2227" t="s">
        <v>986</v>
      </c>
      <c r="N2227" t="s">
        <v>10800</v>
      </c>
      <c r="O2227" t="s">
        <v>4614</v>
      </c>
      <c r="P2227" t="s">
        <v>454</v>
      </c>
      <c r="Q2227">
        <v>39.65</v>
      </c>
      <c r="R2227" t="s">
        <v>232</v>
      </c>
      <c r="S2227">
        <v>3.28</v>
      </c>
      <c r="T2227">
        <v>16.690000000000001</v>
      </c>
      <c r="U2227" t="s">
        <v>10897</v>
      </c>
      <c r="V2227" t="s">
        <v>10898</v>
      </c>
      <c r="W2227" t="s">
        <v>3164</v>
      </c>
      <c r="X2227">
        <v>0.97</v>
      </c>
      <c r="Y2227" t="s">
        <v>3311</v>
      </c>
      <c r="Z2227" t="s">
        <v>8663</v>
      </c>
      <c r="AA2227" t="s">
        <v>817</v>
      </c>
      <c r="AB2227">
        <v>0.81</v>
      </c>
      <c r="AC2227" t="s">
        <v>2616</v>
      </c>
      <c r="AD2227">
        <v>28.59</v>
      </c>
      <c r="AE2227" t="s">
        <v>10899</v>
      </c>
      <c r="AF2227">
        <v>4.8099999999999996</v>
      </c>
      <c r="AG2227">
        <v>0</v>
      </c>
      <c r="AH2227" t="s">
        <v>344</v>
      </c>
      <c r="AI2227" s="4">
        <v>34982</v>
      </c>
    </row>
    <row r="2228" spans="1:35">
      <c r="A2228">
        <v>2227</v>
      </c>
      <c r="B2228" t="str">
        <f>"300306"</f>
        <v>300306</v>
      </c>
      <c r="C2228" t="s">
        <v>10900</v>
      </c>
      <c r="D2228" s="4">
        <v>43190</v>
      </c>
      <c r="E2228" t="s">
        <v>1184</v>
      </c>
      <c r="F2228" t="s">
        <v>372</v>
      </c>
      <c r="G2228" t="s">
        <v>2449</v>
      </c>
      <c r="H2228">
        <v>7.0000000000000007E-2</v>
      </c>
      <c r="I2228">
        <v>6.67</v>
      </c>
      <c r="J2228">
        <v>0.97</v>
      </c>
      <c r="K2228" t="s">
        <v>651</v>
      </c>
      <c r="L2228">
        <v>-2.91</v>
      </c>
      <c r="M2228" t="s">
        <v>10901</v>
      </c>
      <c r="N2228" t="s">
        <v>10902</v>
      </c>
      <c r="O2228" t="s">
        <v>10903</v>
      </c>
      <c r="P2228" t="s">
        <v>10904</v>
      </c>
      <c r="Q2228">
        <v>-22.08</v>
      </c>
      <c r="R2228" t="s">
        <v>1645</v>
      </c>
      <c r="S2228">
        <v>1.53</v>
      </c>
      <c r="T2228">
        <v>61.24</v>
      </c>
      <c r="U2228" t="s">
        <v>243</v>
      </c>
      <c r="V2228" t="s">
        <v>4224</v>
      </c>
      <c r="W2228" t="s">
        <v>122</v>
      </c>
      <c r="X2228">
        <v>0.97</v>
      </c>
      <c r="Y2228" t="s">
        <v>1077</v>
      </c>
      <c r="Z2228" t="s">
        <v>2031</v>
      </c>
      <c r="AA2228" t="s">
        <v>8232</v>
      </c>
      <c r="AB2228">
        <v>1.39</v>
      </c>
      <c r="AC2228" t="s">
        <v>691</v>
      </c>
      <c r="AD2228">
        <v>88.38</v>
      </c>
      <c r="AE2228" t="s">
        <v>835</v>
      </c>
      <c r="AF2228">
        <v>3.92</v>
      </c>
      <c r="AG2228">
        <v>0</v>
      </c>
      <c r="AH2228">
        <v>0</v>
      </c>
      <c r="AI2228" s="4">
        <v>40997</v>
      </c>
    </row>
    <row r="2229" spans="1:35">
      <c r="A2229">
        <v>2228</v>
      </c>
      <c r="B2229" t="str">
        <f>"300259"</f>
        <v>300259</v>
      </c>
      <c r="C2229" t="s">
        <v>10905</v>
      </c>
      <c r="D2229" s="4">
        <v>43190</v>
      </c>
      <c r="E2229" t="s">
        <v>250</v>
      </c>
      <c r="F2229" t="s">
        <v>1487</v>
      </c>
      <c r="G2229" t="s">
        <v>3091</v>
      </c>
      <c r="H2229">
        <v>0.02</v>
      </c>
      <c r="I2229">
        <v>1.55</v>
      </c>
      <c r="J2229">
        <v>0.97</v>
      </c>
      <c r="K2229" t="s">
        <v>2115</v>
      </c>
      <c r="L2229">
        <v>24.64</v>
      </c>
      <c r="M2229" t="s">
        <v>10906</v>
      </c>
      <c r="N2229" t="s">
        <v>10907</v>
      </c>
      <c r="O2229" t="s">
        <v>4827</v>
      </c>
      <c r="P2229" t="s">
        <v>10908</v>
      </c>
      <c r="Q2229">
        <v>4.16</v>
      </c>
      <c r="R2229" t="s">
        <v>2304</v>
      </c>
      <c r="S2229">
        <v>0.44</v>
      </c>
      <c r="T2229">
        <v>51.26</v>
      </c>
      <c r="U2229" t="s">
        <v>242</v>
      </c>
      <c r="V2229" t="s">
        <v>1244</v>
      </c>
      <c r="W2229" t="s">
        <v>2041</v>
      </c>
      <c r="X2229">
        <v>0.97</v>
      </c>
      <c r="Y2229" t="s">
        <v>375</v>
      </c>
      <c r="Z2229" t="s">
        <v>2029</v>
      </c>
      <c r="AA2229" t="s">
        <v>4761</v>
      </c>
      <c r="AB2229">
        <v>2.2200000000000002</v>
      </c>
      <c r="AC2229" t="s">
        <v>187</v>
      </c>
      <c r="AD2229">
        <v>80.040000000000006</v>
      </c>
      <c r="AE2229" t="s">
        <v>918</v>
      </c>
      <c r="AF2229">
        <v>0.06</v>
      </c>
      <c r="AG2229">
        <v>0</v>
      </c>
      <c r="AH2229">
        <v>0</v>
      </c>
      <c r="AI2229" s="4">
        <v>40786</v>
      </c>
    </row>
    <row r="2230" spans="1:35">
      <c r="A2230">
        <v>2229</v>
      </c>
      <c r="B2230" t="str">
        <f>"002774"</f>
        <v>002774</v>
      </c>
      <c r="C2230" t="s">
        <v>10909</v>
      </c>
      <c r="D2230" s="4">
        <v>43190</v>
      </c>
      <c r="E2230" t="s">
        <v>681</v>
      </c>
      <c r="F2230" t="s">
        <v>10910</v>
      </c>
      <c r="G2230">
        <v>2373</v>
      </c>
      <c r="H2230">
        <v>0.03</v>
      </c>
      <c r="I2230">
        <v>2.95</v>
      </c>
      <c r="J2230">
        <v>0.97</v>
      </c>
      <c r="K2230" t="s">
        <v>609</v>
      </c>
      <c r="L2230">
        <v>-9.67</v>
      </c>
      <c r="M2230" t="s">
        <v>8720</v>
      </c>
      <c r="N2230" t="s">
        <v>4666</v>
      </c>
      <c r="O2230" t="s">
        <v>10911</v>
      </c>
      <c r="P2230" t="s">
        <v>1795</v>
      </c>
      <c r="Q2230">
        <v>-44.81</v>
      </c>
      <c r="R2230" t="s">
        <v>1364</v>
      </c>
      <c r="S2230">
        <v>0.57999999999999996</v>
      </c>
      <c r="T2230">
        <v>33.86</v>
      </c>
      <c r="U2230" t="s">
        <v>162</v>
      </c>
      <c r="V2230" t="s">
        <v>354</v>
      </c>
      <c r="W2230" t="s">
        <v>322</v>
      </c>
      <c r="X2230">
        <v>0.97</v>
      </c>
      <c r="Y2230" t="s">
        <v>2284</v>
      </c>
      <c r="Z2230" t="s">
        <v>2751</v>
      </c>
      <c r="AA2230" t="s">
        <v>10912</v>
      </c>
      <c r="AB2230">
        <v>2.73</v>
      </c>
      <c r="AC2230" t="s">
        <v>1094</v>
      </c>
      <c r="AD2230">
        <v>70.72</v>
      </c>
      <c r="AE2230" t="s">
        <v>133</v>
      </c>
      <c r="AF2230">
        <v>1.19</v>
      </c>
      <c r="AG2230">
        <v>0</v>
      </c>
      <c r="AH2230">
        <v>0</v>
      </c>
      <c r="AI2230" s="4">
        <v>42818</v>
      </c>
    </row>
    <row r="2231" spans="1:35">
      <c r="A2231">
        <v>2230</v>
      </c>
      <c r="B2231" t="str">
        <f>"600038"</f>
        <v>600038</v>
      </c>
      <c r="C2231" t="s">
        <v>10913</v>
      </c>
      <c r="D2231" s="4">
        <v>43190</v>
      </c>
      <c r="E2231" t="s">
        <v>107</v>
      </c>
      <c r="F2231" t="s">
        <v>107</v>
      </c>
      <c r="G2231" t="s">
        <v>9465</v>
      </c>
      <c r="H2231">
        <v>0.12</v>
      </c>
      <c r="I2231">
        <v>12.43</v>
      </c>
      <c r="J2231">
        <v>0.97</v>
      </c>
      <c r="K2231" t="s">
        <v>420</v>
      </c>
      <c r="L2231">
        <v>2.54</v>
      </c>
      <c r="M2231" t="s">
        <v>5283</v>
      </c>
      <c r="N2231" t="s">
        <v>10914</v>
      </c>
      <c r="O2231" t="s">
        <v>10915</v>
      </c>
      <c r="P2231" t="s">
        <v>6565</v>
      </c>
      <c r="Q2231">
        <v>-0.49</v>
      </c>
      <c r="R2231" t="s">
        <v>119</v>
      </c>
      <c r="S2231">
        <v>3.37</v>
      </c>
      <c r="T2231">
        <v>14.18</v>
      </c>
      <c r="U2231" t="s">
        <v>2766</v>
      </c>
      <c r="V2231" t="s">
        <v>1982</v>
      </c>
      <c r="W2231" t="s">
        <v>276</v>
      </c>
      <c r="X2231">
        <v>0.97</v>
      </c>
      <c r="Y2231" t="s">
        <v>1753</v>
      </c>
      <c r="Z2231" t="s">
        <v>794</v>
      </c>
      <c r="AA2231" t="s">
        <v>2693</v>
      </c>
      <c r="AB2231">
        <v>2.97</v>
      </c>
      <c r="AC2231" t="s">
        <v>1927</v>
      </c>
      <c r="AD2231">
        <v>33.57</v>
      </c>
      <c r="AE2231" t="s">
        <v>1312</v>
      </c>
      <c r="AF2231">
        <v>7.18</v>
      </c>
      <c r="AG2231">
        <v>0</v>
      </c>
      <c r="AH2231">
        <v>0</v>
      </c>
      <c r="AI2231" s="4">
        <v>36878</v>
      </c>
    </row>
    <row r="2232" spans="1:35">
      <c r="A2232">
        <v>2231</v>
      </c>
      <c r="B2232" t="str">
        <f>"600353"</f>
        <v>600353</v>
      </c>
      <c r="C2232" t="s">
        <v>10916</v>
      </c>
      <c r="D2232" s="4">
        <v>43190</v>
      </c>
      <c r="E2232" t="s">
        <v>318</v>
      </c>
      <c r="F2232" t="s">
        <v>318</v>
      </c>
      <c r="G2232" t="s">
        <v>708</v>
      </c>
      <c r="H2232">
        <v>0.02</v>
      </c>
      <c r="I2232">
        <v>2</v>
      </c>
      <c r="J2232">
        <v>0.97</v>
      </c>
      <c r="K2232" t="s">
        <v>470</v>
      </c>
      <c r="L2232">
        <v>-10.1</v>
      </c>
      <c r="M2232" t="s">
        <v>10917</v>
      </c>
      <c r="N2232" t="s">
        <v>10918</v>
      </c>
      <c r="O2232" t="s">
        <v>8908</v>
      </c>
      <c r="P2232" t="s">
        <v>2855</v>
      </c>
      <c r="Q2232">
        <v>-15.53</v>
      </c>
      <c r="R2232" t="s">
        <v>47</v>
      </c>
      <c r="S2232">
        <v>0.61</v>
      </c>
      <c r="T2232">
        <v>14.76</v>
      </c>
      <c r="U2232" t="s">
        <v>79</v>
      </c>
      <c r="V2232" t="s">
        <v>924</v>
      </c>
      <c r="W2232" t="s">
        <v>1206</v>
      </c>
      <c r="X2232">
        <v>0.97</v>
      </c>
      <c r="Y2232" t="s">
        <v>3496</v>
      </c>
      <c r="Z2232" t="s">
        <v>364</v>
      </c>
      <c r="AA2232" t="s">
        <v>10919</v>
      </c>
      <c r="AB2232">
        <v>2.5299999999999998</v>
      </c>
      <c r="AC2232" t="s">
        <v>1223</v>
      </c>
      <c r="AD2232">
        <v>62.83</v>
      </c>
      <c r="AE2232" t="s">
        <v>256</v>
      </c>
      <c r="AF2232">
        <v>0.21</v>
      </c>
      <c r="AG2232">
        <v>0</v>
      </c>
      <c r="AH2232">
        <v>0</v>
      </c>
      <c r="AI2232" s="4">
        <v>37580</v>
      </c>
    </row>
    <row r="2233" spans="1:35">
      <c r="A2233">
        <v>2232</v>
      </c>
      <c r="B2233" t="str">
        <f>"600379"</f>
        <v>600379</v>
      </c>
      <c r="C2233" t="s">
        <v>10920</v>
      </c>
      <c r="D2233" s="4">
        <v>43190</v>
      </c>
      <c r="E2233" t="s">
        <v>916</v>
      </c>
      <c r="F2233" t="s">
        <v>916</v>
      </c>
      <c r="G2233" t="s">
        <v>5531</v>
      </c>
      <c r="H2233">
        <v>0.02</v>
      </c>
      <c r="I2233">
        <v>2.13</v>
      </c>
      <c r="J2233">
        <v>0.96</v>
      </c>
      <c r="K2233" t="s">
        <v>2031</v>
      </c>
      <c r="L2233">
        <v>11.7</v>
      </c>
      <c r="M2233" t="s">
        <v>10285</v>
      </c>
      <c r="N2233">
        <v>0</v>
      </c>
      <c r="O2233" t="s">
        <v>10238</v>
      </c>
      <c r="P2233" t="s">
        <v>8333</v>
      </c>
      <c r="Q2233">
        <v>-22.45</v>
      </c>
      <c r="R2233" t="s">
        <v>1435</v>
      </c>
      <c r="S2233">
        <v>0.94</v>
      </c>
      <c r="T2233">
        <v>21.15</v>
      </c>
      <c r="U2233" t="s">
        <v>259</v>
      </c>
      <c r="V2233" t="s">
        <v>348</v>
      </c>
      <c r="W2233" t="s">
        <v>1011</v>
      </c>
      <c r="X2233">
        <v>0.96</v>
      </c>
      <c r="Y2233" t="s">
        <v>200</v>
      </c>
      <c r="Z2233" t="s">
        <v>1200</v>
      </c>
      <c r="AA2233" t="s">
        <v>7587</v>
      </c>
      <c r="AB2233">
        <v>3.21</v>
      </c>
      <c r="AC2233" t="s">
        <v>2563</v>
      </c>
      <c r="AD2233">
        <v>71.989999999999995</v>
      </c>
      <c r="AE2233" t="s">
        <v>9469</v>
      </c>
      <c r="AF2233">
        <v>0.03</v>
      </c>
      <c r="AG2233">
        <v>0</v>
      </c>
      <c r="AH2233">
        <v>0</v>
      </c>
      <c r="AI2233" s="4">
        <v>37272</v>
      </c>
    </row>
    <row r="2234" spans="1:35">
      <c r="A2234">
        <v>2233</v>
      </c>
      <c r="B2234" t="str">
        <f>"603133"</f>
        <v>603133</v>
      </c>
      <c r="C2234" t="s">
        <v>10921</v>
      </c>
      <c r="D2234" s="4">
        <v>43190</v>
      </c>
      <c r="E2234" t="s">
        <v>415</v>
      </c>
      <c r="F2234" t="s">
        <v>355</v>
      </c>
      <c r="G2234">
        <v>6006</v>
      </c>
      <c r="H2234">
        <v>0.04</v>
      </c>
      <c r="I2234">
        <v>4.25</v>
      </c>
      <c r="J2234">
        <v>0.96</v>
      </c>
      <c r="K2234" t="s">
        <v>804</v>
      </c>
      <c r="L2234">
        <v>-7.51</v>
      </c>
      <c r="M2234" t="s">
        <v>10922</v>
      </c>
      <c r="N2234" t="s">
        <v>2260</v>
      </c>
      <c r="O2234" t="s">
        <v>8088</v>
      </c>
      <c r="P2234" t="s">
        <v>9976</v>
      </c>
      <c r="Q2234">
        <v>-38.72</v>
      </c>
      <c r="R2234" t="s">
        <v>262</v>
      </c>
      <c r="S2234">
        <v>0.99</v>
      </c>
      <c r="T2234">
        <v>23.82</v>
      </c>
      <c r="U2234" t="s">
        <v>919</v>
      </c>
      <c r="V2234" t="s">
        <v>1608</v>
      </c>
      <c r="W2234" t="s">
        <v>2424</v>
      </c>
      <c r="X2234">
        <v>0.96</v>
      </c>
      <c r="Y2234" t="s">
        <v>326</v>
      </c>
      <c r="Z2234" t="s">
        <v>711</v>
      </c>
      <c r="AA2234" t="s">
        <v>6925</v>
      </c>
      <c r="AB2234">
        <v>4.93</v>
      </c>
      <c r="AC2234" t="s">
        <v>1215</v>
      </c>
      <c r="AD2234">
        <v>86.2</v>
      </c>
      <c r="AE2234" t="s">
        <v>806</v>
      </c>
      <c r="AF2234">
        <v>2.04</v>
      </c>
      <c r="AG2234">
        <v>0</v>
      </c>
      <c r="AH2234">
        <v>0</v>
      </c>
      <c r="AI2234" s="4">
        <v>42814</v>
      </c>
    </row>
    <row r="2235" spans="1:35">
      <c r="A2235">
        <v>2234</v>
      </c>
      <c r="B2235" t="str">
        <f>"300737"</f>
        <v>300737</v>
      </c>
      <c r="C2235" t="s">
        <v>10923</v>
      </c>
      <c r="D2235" s="4">
        <v>43190</v>
      </c>
      <c r="E2235" t="s">
        <v>2674</v>
      </c>
      <c r="F2235" t="s">
        <v>452</v>
      </c>
      <c r="G2235">
        <v>1532</v>
      </c>
      <c r="H2235">
        <v>0.04</v>
      </c>
      <c r="I2235">
        <v>4.6399999999999997</v>
      </c>
      <c r="J2235">
        <v>0.96</v>
      </c>
      <c r="K2235" t="s">
        <v>2953</v>
      </c>
      <c r="L2235">
        <v>37.68</v>
      </c>
      <c r="M2235" t="s">
        <v>10924</v>
      </c>
      <c r="N2235">
        <v>0</v>
      </c>
      <c r="O2235" t="s">
        <v>2471</v>
      </c>
      <c r="P2235" t="s">
        <v>3711</v>
      </c>
      <c r="Q2235">
        <v>18.149999999999999</v>
      </c>
      <c r="R2235" t="s">
        <v>1594</v>
      </c>
      <c r="S2235">
        <v>0.52</v>
      </c>
      <c r="T2235">
        <v>35.840000000000003</v>
      </c>
      <c r="U2235" t="s">
        <v>1581</v>
      </c>
      <c r="V2235" t="s">
        <v>1054</v>
      </c>
      <c r="W2235" t="s">
        <v>344</v>
      </c>
      <c r="X2235">
        <v>0.96</v>
      </c>
      <c r="Y2235" t="s">
        <v>699</v>
      </c>
      <c r="Z2235" t="s">
        <v>407</v>
      </c>
      <c r="AA2235" t="s">
        <v>10925</v>
      </c>
      <c r="AB2235">
        <v>2.52</v>
      </c>
      <c r="AC2235" t="s">
        <v>1542</v>
      </c>
      <c r="AD2235">
        <v>72.650000000000006</v>
      </c>
      <c r="AE2235" t="s">
        <v>980</v>
      </c>
      <c r="AF2235">
        <v>3.01</v>
      </c>
      <c r="AG2235">
        <v>0</v>
      </c>
      <c r="AH2235">
        <v>0</v>
      </c>
      <c r="AI2235" s="4">
        <v>43125</v>
      </c>
    </row>
    <row r="2236" spans="1:35">
      <c r="A2236">
        <v>2235</v>
      </c>
      <c r="B2236" t="str">
        <f>"002616"</f>
        <v>002616</v>
      </c>
      <c r="C2236" t="s">
        <v>10926</v>
      </c>
      <c r="D2236" s="4">
        <v>43190</v>
      </c>
      <c r="E2236" t="s">
        <v>2646</v>
      </c>
      <c r="F2236" t="s">
        <v>856</v>
      </c>
      <c r="G2236" t="s">
        <v>2221</v>
      </c>
      <c r="H2236">
        <v>0.03</v>
      </c>
      <c r="I2236">
        <v>2.86</v>
      </c>
      <c r="J2236">
        <v>0.96</v>
      </c>
      <c r="K2236" t="s">
        <v>749</v>
      </c>
      <c r="L2236">
        <v>-14.61</v>
      </c>
      <c r="M2236" t="s">
        <v>3007</v>
      </c>
      <c r="N2236" t="s">
        <v>5098</v>
      </c>
      <c r="O2236" t="s">
        <v>3007</v>
      </c>
      <c r="P2236" t="s">
        <v>6672</v>
      </c>
      <c r="Q2236">
        <v>-20.67</v>
      </c>
      <c r="R2236" t="s">
        <v>2792</v>
      </c>
      <c r="S2236">
        <v>0.65</v>
      </c>
      <c r="T2236">
        <v>17.48</v>
      </c>
      <c r="U2236" t="s">
        <v>152</v>
      </c>
      <c r="V2236" t="s">
        <v>162</v>
      </c>
      <c r="W2236" t="s">
        <v>407</v>
      </c>
      <c r="X2236">
        <v>0.96</v>
      </c>
      <c r="Y2236" t="s">
        <v>306</v>
      </c>
      <c r="Z2236" t="s">
        <v>405</v>
      </c>
      <c r="AA2236" t="s">
        <v>264</v>
      </c>
      <c r="AB2236">
        <v>1.96</v>
      </c>
      <c r="AC2236" t="s">
        <v>1693</v>
      </c>
      <c r="AD2236">
        <v>46.59</v>
      </c>
      <c r="AE2236" t="s">
        <v>179</v>
      </c>
      <c r="AF2236">
        <v>1.1499999999999999</v>
      </c>
      <c r="AG2236">
        <v>0</v>
      </c>
      <c r="AH2236">
        <v>0</v>
      </c>
      <c r="AI2236" s="4">
        <v>40806</v>
      </c>
    </row>
    <row r="2237" spans="1:35">
      <c r="A2237">
        <v>2236</v>
      </c>
      <c r="B2237" t="str">
        <f>"002255"</f>
        <v>002255</v>
      </c>
      <c r="C2237" t="s">
        <v>10927</v>
      </c>
      <c r="D2237" s="4">
        <v>43190</v>
      </c>
      <c r="E2237" t="s">
        <v>1462</v>
      </c>
      <c r="F2237" t="s">
        <v>860</v>
      </c>
      <c r="G2237" t="s">
        <v>3064</v>
      </c>
      <c r="H2237">
        <v>0.04</v>
      </c>
      <c r="I2237">
        <v>4.68</v>
      </c>
      <c r="J2237">
        <v>0.96</v>
      </c>
      <c r="K2237" t="s">
        <v>856</v>
      </c>
      <c r="L2237">
        <v>141.26</v>
      </c>
      <c r="M2237" t="s">
        <v>5345</v>
      </c>
      <c r="N2237" t="s">
        <v>2945</v>
      </c>
      <c r="O2237" t="s">
        <v>10928</v>
      </c>
      <c r="P2237" t="s">
        <v>3723</v>
      </c>
      <c r="Q2237">
        <v>48.57</v>
      </c>
      <c r="R2237" t="s">
        <v>4790</v>
      </c>
      <c r="S2237">
        <v>1</v>
      </c>
      <c r="T2237">
        <v>19.100000000000001</v>
      </c>
      <c r="U2237" t="s">
        <v>2501</v>
      </c>
      <c r="V2237" t="s">
        <v>1748</v>
      </c>
      <c r="W2237" t="s">
        <v>5080</v>
      </c>
      <c r="X2237">
        <v>0.96</v>
      </c>
      <c r="Y2237" t="s">
        <v>2989</v>
      </c>
      <c r="Z2237" t="s">
        <v>940</v>
      </c>
      <c r="AA2237" t="s">
        <v>2306</v>
      </c>
      <c r="AB2237">
        <v>1.1200000000000001</v>
      </c>
      <c r="AC2237" t="s">
        <v>1054</v>
      </c>
      <c r="AD2237">
        <v>44.4</v>
      </c>
      <c r="AE2237" t="s">
        <v>833</v>
      </c>
      <c r="AF2237">
        <v>2.56</v>
      </c>
      <c r="AG2237">
        <v>0</v>
      </c>
      <c r="AH2237">
        <v>0</v>
      </c>
      <c r="AI2237" s="4">
        <v>39624</v>
      </c>
    </row>
    <row r="2238" spans="1:35">
      <c r="A2238">
        <v>2237</v>
      </c>
      <c r="B2238" t="str">
        <f>"000809"</f>
        <v>000809</v>
      </c>
      <c r="C2238" t="s">
        <v>10929</v>
      </c>
      <c r="D2238" s="4">
        <v>43190</v>
      </c>
      <c r="E2238" t="s">
        <v>2595</v>
      </c>
      <c r="F2238" t="s">
        <v>2595</v>
      </c>
      <c r="G2238" t="s">
        <v>6568</v>
      </c>
      <c r="H2238">
        <v>0.04</v>
      </c>
      <c r="I2238">
        <v>3.8</v>
      </c>
      <c r="J2238">
        <v>0.96</v>
      </c>
      <c r="K2238" t="s">
        <v>10930</v>
      </c>
      <c r="L2238">
        <v>41.29</v>
      </c>
      <c r="M2238" t="s">
        <v>10931</v>
      </c>
      <c r="N2238">
        <v>0</v>
      </c>
      <c r="O2238" t="s">
        <v>10931</v>
      </c>
      <c r="P2238" t="s">
        <v>10932</v>
      </c>
      <c r="Q2238">
        <v>187.24</v>
      </c>
      <c r="R2238" t="s">
        <v>877</v>
      </c>
      <c r="S2238">
        <v>2.52</v>
      </c>
      <c r="T2238">
        <v>-40.54</v>
      </c>
      <c r="U2238" t="s">
        <v>4937</v>
      </c>
      <c r="V2238" t="s">
        <v>1064</v>
      </c>
      <c r="W2238" t="s">
        <v>618</v>
      </c>
      <c r="X2238">
        <v>0.96</v>
      </c>
      <c r="Y2238" t="s">
        <v>502</v>
      </c>
      <c r="Z2238" t="s">
        <v>1082</v>
      </c>
      <c r="AA2238" t="s">
        <v>908</v>
      </c>
      <c r="AB2238">
        <v>0.76</v>
      </c>
      <c r="AC2238" t="s">
        <v>1285</v>
      </c>
      <c r="AD2238">
        <v>52.93</v>
      </c>
      <c r="AE2238" t="s">
        <v>4753</v>
      </c>
      <c r="AF2238">
        <v>0.04</v>
      </c>
      <c r="AG2238">
        <v>0</v>
      </c>
      <c r="AH2238">
        <v>0</v>
      </c>
      <c r="AI2238" s="4">
        <v>35962</v>
      </c>
    </row>
    <row r="2239" spans="1:35">
      <c r="A2239">
        <v>2238</v>
      </c>
      <c r="B2239" t="str">
        <f>"603208"</f>
        <v>603208</v>
      </c>
      <c r="C2239" t="s">
        <v>10933</v>
      </c>
      <c r="D2239" s="4">
        <v>43190</v>
      </c>
      <c r="E2239" t="s">
        <v>10934</v>
      </c>
      <c r="F2239" t="s">
        <v>2981</v>
      </c>
      <c r="G2239">
        <v>4556</v>
      </c>
      <c r="H2239">
        <v>0.12</v>
      </c>
      <c r="I2239">
        <v>11.81</v>
      </c>
      <c r="J2239">
        <v>0.95</v>
      </c>
      <c r="K2239" t="s">
        <v>1264</v>
      </c>
      <c r="L2239">
        <v>10.3</v>
      </c>
      <c r="M2239" t="s">
        <v>7507</v>
      </c>
      <c r="N2239" t="s">
        <v>5824</v>
      </c>
      <c r="O2239" t="s">
        <v>7507</v>
      </c>
      <c r="P2239" t="s">
        <v>9642</v>
      </c>
      <c r="Q2239">
        <v>-51.02</v>
      </c>
      <c r="R2239" t="s">
        <v>314</v>
      </c>
      <c r="S2239">
        <v>3.78</v>
      </c>
      <c r="T2239">
        <v>27.78</v>
      </c>
      <c r="U2239" t="s">
        <v>1367</v>
      </c>
      <c r="V2239" t="s">
        <v>6194</v>
      </c>
      <c r="W2239" t="s">
        <v>200</v>
      </c>
      <c r="X2239">
        <v>0.95</v>
      </c>
      <c r="Y2239" t="s">
        <v>999</v>
      </c>
      <c r="Z2239" t="s">
        <v>1918</v>
      </c>
      <c r="AA2239" t="s">
        <v>1724</v>
      </c>
      <c r="AB2239">
        <v>2.42</v>
      </c>
      <c r="AC2239" t="s">
        <v>895</v>
      </c>
      <c r="AD2239">
        <v>63.73</v>
      </c>
      <c r="AE2239" t="s">
        <v>2230</v>
      </c>
      <c r="AF2239">
        <v>6.4</v>
      </c>
      <c r="AG2239">
        <v>0</v>
      </c>
      <c r="AH2239">
        <v>0</v>
      </c>
      <c r="AI2239" s="4">
        <v>42776</v>
      </c>
    </row>
    <row r="2240" spans="1:35">
      <c r="A2240">
        <v>2239</v>
      </c>
      <c r="B2240" t="str">
        <f>"603042"</f>
        <v>603042</v>
      </c>
      <c r="C2240" t="s">
        <v>10935</v>
      </c>
      <c r="D2240" s="4">
        <v>43190</v>
      </c>
      <c r="E2240" t="s">
        <v>657</v>
      </c>
      <c r="F2240" t="s">
        <v>651</v>
      </c>
      <c r="G2240">
        <v>1938</v>
      </c>
      <c r="H2240">
        <v>0.06</v>
      </c>
      <c r="I2240">
        <v>6.22</v>
      </c>
      <c r="J2240">
        <v>0.95</v>
      </c>
      <c r="K2240" t="s">
        <v>824</v>
      </c>
      <c r="L2240">
        <v>12.49</v>
      </c>
      <c r="M2240" t="s">
        <v>4491</v>
      </c>
      <c r="N2240" t="s">
        <v>10936</v>
      </c>
      <c r="O2240" t="s">
        <v>9519</v>
      </c>
      <c r="P2240" t="s">
        <v>9948</v>
      </c>
      <c r="Q2240">
        <v>-69.28</v>
      </c>
      <c r="R2240" t="s">
        <v>492</v>
      </c>
      <c r="S2240">
        <v>1.72</v>
      </c>
      <c r="T2240">
        <v>21.76</v>
      </c>
      <c r="U2240" t="s">
        <v>391</v>
      </c>
      <c r="V2240" t="s">
        <v>192</v>
      </c>
      <c r="W2240" t="s">
        <v>2031</v>
      </c>
      <c r="X2240">
        <v>0.95</v>
      </c>
      <c r="Y2240" t="s">
        <v>4760</v>
      </c>
      <c r="Z2240" t="s">
        <v>424</v>
      </c>
      <c r="AA2240" t="s">
        <v>3453</v>
      </c>
      <c r="AB2240">
        <v>3.05</v>
      </c>
      <c r="AC2240" t="s">
        <v>3546</v>
      </c>
      <c r="AD2240">
        <v>57.83</v>
      </c>
      <c r="AE2240" t="s">
        <v>97</v>
      </c>
      <c r="AF2240">
        <v>3.71</v>
      </c>
      <c r="AG2240">
        <v>0</v>
      </c>
      <c r="AH2240">
        <v>0</v>
      </c>
      <c r="AI2240" s="4">
        <v>42888</v>
      </c>
    </row>
    <row r="2241" spans="1:35">
      <c r="A2241">
        <v>2240</v>
      </c>
      <c r="B2241" t="str">
        <f>"600050"</f>
        <v>600050</v>
      </c>
      <c r="C2241" t="s">
        <v>10937</v>
      </c>
      <c r="D2241" s="4">
        <v>43190</v>
      </c>
      <c r="E2241" t="s">
        <v>10938</v>
      </c>
      <c r="F2241" t="s">
        <v>2446</v>
      </c>
      <c r="G2241" t="s">
        <v>6656</v>
      </c>
      <c r="H2241">
        <v>0.04</v>
      </c>
      <c r="I2241">
        <v>4.5199999999999996</v>
      </c>
      <c r="J2241">
        <v>0.95</v>
      </c>
      <c r="K2241" t="s">
        <v>10939</v>
      </c>
      <c r="L2241">
        <v>8.59</v>
      </c>
      <c r="M2241" t="s">
        <v>1133</v>
      </c>
      <c r="N2241" t="s">
        <v>985</v>
      </c>
      <c r="O2241" t="s">
        <v>1258</v>
      </c>
      <c r="P2241" t="s">
        <v>1025</v>
      </c>
      <c r="Q2241">
        <v>374.75</v>
      </c>
      <c r="R2241" t="s">
        <v>394</v>
      </c>
      <c r="S2241">
        <v>1.01</v>
      </c>
      <c r="T2241">
        <v>26.45</v>
      </c>
      <c r="U2241" t="s">
        <v>10940</v>
      </c>
      <c r="V2241" t="s">
        <v>10941</v>
      </c>
      <c r="W2241" t="s">
        <v>10942</v>
      </c>
      <c r="X2241">
        <v>0.95</v>
      </c>
      <c r="Y2241" t="s">
        <v>10943</v>
      </c>
      <c r="Z2241" t="s">
        <v>10944</v>
      </c>
      <c r="AA2241" t="s">
        <v>435</v>
      </c>
      <c r="AB2241">
        <v>1.1000000000000001</v>
      </c>
      <c r="AC2241" t="s">
        <v>10945</v>
      </c>
      <c r="AD2241">
        <v>23.86</v>
      </c>
      <c r="AE2241" t="s">
        <v>10946</v>
      </c>
      <c r="AF2241">
        <v>2.61</v>
      </c>
      <c r="AG2241">
        <v>0</v>
      </c>
      <c r="AH2241">
        <v>0</v>
      </c>
      <c r="AI2241" s="4">
        <v>37538</v>
      </c>
    </row>
    <row r="2242" spans="1:35">
      <c r="A2242">
        <v>2241</v>
      </c>
      <c r="B2242" t="str">
        <f>"300636"</f>
        <v>300636</v>
      </c>
      <c r="C2242" t="s">
        <v>10947</v>
      </c>
      <c r="D2242" s="4">
        <v>43190</v>
      </c>
      <c r="E2242" t="s">
        <v>9186</v>
      </c>
      <c r="F2242" t="s">
        <v>7147</v>
      </c>
      <c r="G2242">
        <v>1699</v>
      </c>
      <c r="H2242">
        <v>7.0000000000000007E-2</v>
      </c>
      <c r="I2242">
        <v>7.84</v>
      </c>
      <c r="J2242">
        <v>0.95</v>
      </c>
      <c r="K2242" t="s">
        <v>10094</v>
      </c>
      <c r="L2242">
        <v>10.06</v>
      </c>
      <c r="M2242" t="s">
        <v>3644</v>
      </c>
      <c r="N2242" t="s">
        <v>6536</v>
      </c>
      <c r="O2242" t="s">
        <v>10948</v>
      </c>
      <c r="P2242" t="s">
        <v>6593</v>
      </c>
      <c r="Q2242">
        <v>-55.49</v>
      </c>
      <c r="R2242" t="s">
        <v>1597</v>
      </c>
      <c r="S2242">
        <v>2.0699999999999998</v>
      </c>
      <c r="T2242">
        <v>25.49</v>
      </c>
      <c r="U2242" t="s">
        <v>1073</v>
      </c>
      <c r="V2242" t="s">
        <v>3259</v>
      </c>
      <c r="W2242" t="s">
        <v>200</v>
      </c>
      <c r="X2242">
        <v>0.95</v>
      </c>
      <c r="Y2242" t="s">
        <v>10949</v>
      </c>
      <c r="Z2242" t="s">
        <v>6092</v>
      </c>
      <c r="AA2242" t="s">
        <v>8505</v>
      </c>
      <c r="AB2242">
        <v>2.74</v>
      </c>
      <c r="AC2242" t="s">
        <v>359</v>
      </c>
      <c r="AD2242">
        <v>89.11</v>
      </c>
      <c r="AE2242" t="s">
        <v>2590</v>
      </c>
      <c r="AF2242">
        <v>4.82</v>
      </c>
      <c r="AG2242">
        <v>0</v>
      </c>
      <c r="AH2242">
        <v>0</v>
      </c>
      <c r="AI2242" s="4">
        <v>42825</v>
      </c>
    </row>
    <row r="2243" spans="1:35">
      <c r="A2243">
        <v>2242</v>
      </c>
      <c r="B2243" t="str">
        <f>"002825"</f>
        <v>002825</v>
      </c>
      <c r="C2243" t="s">
        <v>10950</v>
      </c>
      <c r="D2243" s="4">
        <v>43190</v>
      </c>
      <c r="E2243" t="s">
        <v>2307</v>
      </c>
      <c r="F2243" t="s">
        <v>10951</v>
      </c>
      <c r="G2243">
        <v>1820</v>
      </c>
      <c r="H2243">
        <v>0.05</v>
      </c>
      <c r="I2243">
        <v>5.73</v>
      </c>
      <c r="J2243">
        <v>0.95</v>
      </c>
      <c r="K2243" t="s">
        <v>1200</v>
      </c>
      <c r="L2243">
        <v>32.24</v>
      </c>
      <c r="M2243" t="s">
        <v>10952</v>
      </c>
      <c r="N2243" t="s">
        <v>10953</v>
      </c>
      <c r="O2243" t="s">
        <v>10952</v>
      </c>
      <c r="P2243" t="s">
        <v>10954</v>
      </c>
      <c r="Q2243">
        <v>-46.03</v>
      </c>
      <c r="R2243" t="s">
        <v>2889</v>
      </c>
      <c r="S2243">
        <v>2.48</v>
      </c>
      <c r="T2243">
        <v>18.21</v>
      </c>
      <c r="U2243" t="s">
        <v>650</v>
      </c>
      <c r="V2243" t="s">
        <v>999</v>
      </c>
      <c r="W2243" t="s">
        <v>657</v>
      </c>
      <c r="X2243">
        <v>0.95</v>
      </c>
      <c r="Y2243" t="s">
        <v>37</v>
      </c>
      <c r="Z2243" t="s">
        <v>37</v>
      </c>
      <c r="AA2243">
        <v>0</v>
      </c>
      <c r="AB2243">
        <v>3.55</v>
      </c>
      <c r="AC2243" t="s">
        <v>541</v>
      </c>
      <c r="AD2243">
        <v>75.77</v>
      </c>
      <c r="AE2243" t="s">
        <v>148</v>
      </c>
      <c r="AF2243">
        <v>1.98</v>
      </c>
      <c r="AG2243">
        <v>0</v>
      </c>
      <c r="AH2243">
        <v>0</v>
      </c>
      <c r="AI2243" s="4">
        <v>42703</v>
      </c>
    </row>
    <row r="2244" spans="1:35">
      <c r="A2244">
        <v>2243</v>
      </c>
      <c r="B2244" t="str">
        <f>"002606"</f>
        <v>002606</v>
      </c>
      <c r="C2244" t="s">
        <v>10955</v>
      </c>
      <c r="D2244" s="4">
        <v>43190</v>
      </c>
      <c r="E2244" t="s">
        <v>48</v>
      </c>
      <c r="F2244" t="s">
        <v>498</v>
      </c>
      <c r="G2244">
        <v>7742</v>
      </c>
      <c r="H2244">
        <v>0.02</v>
      </c>
      <c r="I2244">
        <v>2.21</v>
      </c>
      <c r="J2244">
        <v>0.95</v>
      </c>
      <c r="K2244" t="s">
        <v>698</v>
      </c>
      <c r="L2244">
        <v>-8.67</v>
      </c>
      <c r="M2244" t="s">
        <v>10956</v>
      </c>
      <c r="N2244">
        <v>0</v>
      </c>
      <c r="O2244" t="s">
        <v>8365</v>
      </c>
      <c r="P2244" t="s">
        <v>9976</v>
      </c>
      <c r="Q2244">
        <v>-71.16</v>
      </c>
      <c r="R2244" t="s">
        <v>1967</v>
      </c>
      <c r="S2244">
        <v>0.81</v>
      </c>
      <c r="T2244">
        <v>28.8</v>
      </c>
      <c r="U2244" t="s">
        <v>173</v>
      </c>
      <c r="V2244" t="s">
        <v>1774</v>
      </c>
      <c r="W2244" t="s">
        <v>1968</v>
      </c>
      <c r="X2244">
        <v>0.95</v>
      </c>
      <c r="Y2244" t="s">
        <v>1959</v>
      </c>
      <c r="Z2244" t="s">
        <v>338</v>
      </c>
      <c r="AA2244" t="s">
        <v>533</v>
      </c>
      <c r="AB2244">
        <v>2.09</v>
      </c>
      <c r="AC2244" t="s">
        <v>703</v>
      </c>
      <c r="AD2244">
        <v>63.93</v>
      </c>
      <c r="AE2244" t="s">
        <v>1365</v>
      </c>
      <c r="AF2244">
        <v>0.3</v>
      </c>
      <c r="AG2244">
        <v>0</v>
      </c>
      <c r="AH2244">
        <v>0</v>
      </c>
      <c r="AI2244" s="4">
        <v>40760</v>
      </c>
    </row>
    <row r="2245" spans="1:35">
      <c r="A2245">
        <v>2244</v>
      </c>
      <c r="B2245" t="str">
        <f>"002445"</f>
        <v>002445</v>
      </c>
      <c r="C2245" t="s">
        <v>10957</v>
      </c>
      <c r="D2245" s="4">
        <v>43190</v>
      </c>
      <c r="E2245" t="s">
        <v>1415</v>
      </c>
      <c r="F2245" t="s">
        <v>632</v>
      </c>
      <c r="G2245" t="s">
        <v>4156</v>
      </c>
      <c r="H2245">
        <v>0.05</v>
      </c>
      <c r="I2245">
        <v>5.28</v>
      </c>
      <c r="J2245">
        <v>0.95</v>
      </c>
      <c r="K2245" t="s">
        <v>2769</v>
      </c>
      <c r="L2245">
        <v>-21.97</v>
      </c>
      <c r="M2245" t="s">
        <v>2659</v>
      </c>
      <c r="N2245" t="s">
        <v>10958</v>
      </c>
      <c r="O2245" t="s">
        <v>7269</v>
      </c>
      <c r="P2245" t="s">
        <v>10258</v>
      </c>
      <c r="Q2245">
        <v>27.77</v>
      </c>
      <c r="R2245" t="s">
        <v>4953</v>
      </c>
      <c r="S2245">
        <v>1.1499999999999999</v>
      </c>
      <c r="T2245">
        <v>38.97</v>
      </c>
      <c r="U2245" t="s">
        <v>6689</v>
      </c>
      <c r="V2245" t="s">
        <v>1127</v>
      </c>
      <c r="W2245" t="s">
        <v>3238</v>
      </c>
      <c r="X2245">
        <v>0.95</v>
      </c>
      <c r="Y2245" t="s">
        <v>1248</v>
      </c>
      <c r="Z2245" t="s">
        <v>420</v>
      </c>
      <c r="AA2245" t="s">
        <v>101</v>
      </c>
      <c r="AB2245">
        <v>1.6</v>
      </c>
      <c r="AC2245" t="s">
        <v>1819</v>
      </c>
      <c r="AD2245">
        <v>56.06</v>
      </c>
      <c r="AE2245" t="s">
        <v>451</v>
      </c>
      <c r="AF2245">
        <v>3.15</v>
      </c>
      <c r="AG2245">
        <v>0</v>
      </c>
      <c r="AH2245">
        <v>0</v>
      </c>
      <c r="AI2245" s="4">
        <v>40372</v>
      </c>
    </row>
    <row r="2246" spans="1:35">
      <c r="A2246">
        <v>2245</v>
      </c>
      <c r="B2246" t="str">
        <f>"000038"</f>
        <v>000038</v>
      </c>
      <c r="C2246" t="s">
        <v>10959</v>
      </c>
      <c r="D2246" s="4">
        <v>43190</v>
      </c>
      <c r="E2246" t="s">
        <v>269</v>
      </c>
      <c r="F2246" t="s">
        <v>1626</v>
      </c>
      <c r="G2246">
        <v>4528</v>
      </c>
      <c r="H2246">
        <v>0.1</v>
      </c>
      <c r="I2246">
        <v>10.01</v>
      </c>
      <c r="J2246">
        <v>0.95</v>
      </c>
      <c r="K2246" t="s">
        <v>645</v>
      </c>
      <c r="L2246">
        <v>-0.41</v>
      </c>
      <c r="M2246" t="s">
        <v>10960</v>
      </c>
      <c r="N2246" t="s">
        <v>2011</v>
      </c>
      <c r="O2246" t="s">
        <v>10960</v>
      </c>
      <c r="P2246" t="s">
        <v>9908</v>
      </c>
      <c r="Q2246">
        <v>-44.81</v>
      </c>
      <c r="R2246" t="s">
        <v>3324</v>
      </c>
      <c r="S2246">
        <v>0.69</v>
      </c>
      <c r="T2246">
        <v>12.25</v>
      </c>
      <c r="U2246" t="s">
        <v>1599</v>
      </c>
      <c r="V2246" t="s">
        <v>423</v>
      </c>
      <c r="W2246" t="s">
        <v>1119</v>
      </c>
      <c r="X2246">
        <v>0.95</v>
      </c>
      <c r="Y2246" t="s">
        <v>2507</v>
      </c>
      <c r="Z2246" t="s">
        <v>492</v>
      </c>
      <c r="AA2246" t="s">
        <v>1665</v>
      </c>
      <c r="AB2246">
        <v>1.81</v>
      </c>
      <c r="AC2246" t="s">
        <v>1776</v>
      </c>
      <c r="AD2246">
        <v>95.02</v>
      </c>
      <c r="AE2246" t="s">
        <v>524</v>
      </c>
      <c r="AF2246">
        <v>8.25</v>
      </c>
      <c r="AG2246">
        <v>0</v>
      </c>
      <c r="AH2246">
        <v>0</v>
      </c>
      <c r="AI2246" s="4">
        <v>34554</v>
      </c>
    </row>
    <row r="2247" spans="1:35">
      <c r="A2247">
        <v>2246</v>
      </c>
      <c r="B2247" t="str">
        <f>"600137"</f>
        <v>600137</v>
      </c>
      <c r="C2247" t="s">
        <v>10961</v>
      </c>
      <c r="D2247" s="4">
        <v>43190</v>
      </c>
      <c r="E2247" t="s">
        <v>3834</v>
      </c>
      <c r="F2247" t="s">
        <v>3834</v>
      </c>
      <c r="G2247">
        <v>6026</v>
      </c>
      <c r="H2247">
        <v>0.05</v>
      </c>
      <c r="I2247">
        <v>4.95</v>
      </c>
      <c r="J2247">
        <v>0.94</v>
      </c>
      <c r="K2247" t="s">
        <v>5915</v>
      </c>
      <c r="L2247">
        <v>42.23</v>
      </c>
      <c r="M2247" t="s">
        <v>4452</v>
      </c>
      <c r="N2247" t="s">
        <v>10962</v>
      </c>
      <c r="O2247" t="s">
        <v>10963</v>
      </c>
      <c r="P2247" t="s">
        <v>2260</v>
      </c>
      <c r="Q2247">
        <v>29.74</v>
      </c>
      <c r="R2247" t="s">
        <v>10964</v>
      </c>
      <c r="S2247">
        <v>0.32</v>
      </c>
      <c r="T2247">
        <v>19.52</v>
      </c>
      <c r="U2247" t="s">
        <v>1491</v>
      </c>
      <c r="V2247" t="s">
        <v>1596</v>
      </c>
      <c r="W2247" t="s">
        <v>2278</v>
      </c>
      <c r="X2247">
        <v>0.94</v>
      </c>
      <c r="Y2247" t="s">
        <v>609</v>
      </c>
      <c r="Z2247" t="s">
        <v>2424</v>
      </c>
      <c r="AA2247" t="s">
        <v>10965</v>
      </c>
      <c r="AB2247">
        <v>2.96</v>
      </c>
      <c r="AC2247" t="s">
        <v>2792</v>
      </c>
      <c r="AD2247">
        <v>76.180000000000007</v>
      </c>
      <c r="AE2247" t="s">
        <v>143</v>
      </c>
      <c r="AF2247">
        <v>3.52</v>
      </c>
      <c r="AG2247">
        <v>0</v>
      </c>
      <c r="AH2247">
        <v>0</v>
      </c>
      <c r="AI2247" s="4">
        <v>35901</v>
      </c>
    </row>
    <row r="2248" spans="1:35">
      <c r="A2248">
        <v>2247</v>
      </c>
      <c r="B2248" t="str">
        <f>"600023"</f>
        <v>600023</v>
      </c>
      <c r="C2248" t="s">
        <v>10966</v>
      </c>
      <c r="D2248" s="4">
        <v>43190</v>
      </c>
      <c r="E2248" t="s">
        <v>413</v>
      </c>
      <c r="F2248" t="s">
        <v>413</v>
      </c>
      <c r="G2248" t="s">
        <v>5676</v>
      </c>
      <c r="H2248">
        <v>0.04</v>
      </c>
      <c r="I2248">
        <v>4.5</v>
      </c>
      <c r="J2248">
        <v>0.94</v>
      </c>
      <c r="K2248" t="s">
        <v>1929</v>
      </c>
      <c r="L2248">
        <v>17.690000000000001</v>
      </c>
      <c r="M2248" t="s">
        <v>632</v>
      </c>
      <c r="N2248" t="s">
        <v>4552</v>
      </c>
      <c r="O2248" t="s">
        <v>568</v>
      </c>
      <c r="P2248" t="s">
        <v>2586</v>
      </c>
      <c r="Q2248">
        <v>-41.65</v>
      </c>
      <c r="R2248" t="s">
        <v>2491</v>
      </c>
      <c r="S2248">
        <v>1.32</v>
      </c>
      <c r="T2248">
        <v>6.4</v>
      </c>
      <c r="U2248" t="s">
        <v>10967</v>
      </c>
      <c r="V2248" t="s">
        <v>5122</v>
      </c>
      <c r="W2248" t="s">
        <v>10968</v>
      </c>
      <c r="X2248">
        <v>0.94</v>
      </c>
      <c r="Y2248" t="s">
        <v>953</v>
      </c>
      <c r="Z2248" t="s">
        <v>4411</v>
      </c>
      <c r="AA2248" t="s">
        <v>3410</v>
      </c>
      <c r="AB2248">
        <v>1.05</v>
      </c>
      <c r="AC2248" t="s">
        <v>3612</v>
      </c>
      <c r="AD2248">
        <v>54.66</v>
      </c>
      <c r="AE2248" t="s">
        <v>3242</v>
      </c>
      <c r="AF2248">
        <v>1.77</v>
      </c>
      <c r="AG2248">
        <v>0</v>
      </c>
      <c r="AH2248">
        <v>0</v>
      </c>
      <c r="AI2248" s="4">
        <v>41627</v>
      </c>
    </row>
    <row r="2249" spans="1:35">
      <c r="A2249">
        <v>2248</v>
      </c>
      <c r="B2249" t="str">
        <f>"300619"</f>
        <v>300619</v>
      </c>
      <c r="C2249" t="s">
        <v>10969</v>
      </c>
      <c r="D2249" s="4">
        <v>43190</v>
      </c>
      <c r="E2249" t="s">
        <v>1622</v>
      </c>
      <c r="F2249" t="s">
        <v>38</v>
      </c>
      <c r="G2249">
        <v>2682</v>
      </c>
      <c r="H2249">
        <v>0.05</v>
      </c>
      <c r="I2249">
        <v>5.55</v>
      </c>
      <c r="J2249">
        <v>0.94</v>
      </c>
      <c r="K2249" t="s">
        <v>533</v>
      </c>
      <c r="L2249">
        <v>104.6</v>
      </c>
      <c r="M2249" t="s">
        <v>9458</v>
      </c>
      <c r="N2249">
        <v>0</v>
      </c>
      <c r="O2249" t="s">
        <v>8041</v>
      </c>
      <c r="P2249" t="s">
        <v>9140</v>
      </c>
      <c r="Q2249">
        <v>8.3000000000000007</v>
      </c>
      <c r="R2249" t="s">
        <v>595</v>
      </c>
      <c r="S2249">
        <v>1.72</v>
      </c>
      <c r="T2249">
        <v>26.73</v>
      </c>
      <c r="U2249" t="s">
        <v>1705</v>
      </c>
      <c r="V2249" t="s">
        <v>2517</v>
      </c>
      <c r="W2249" t="s">
        <v>10970</v>
      </c>
      <c r="X2249">
        <v>0.94</v>
      </c>
      <c r="Y2249" t="s">
        <v>735</v>
      </c>
      <c r="Z2249" t="s">
        <v>501</v>
      </c>
      <c r="AA2249" t="s">
        <v>10971</v>
      </c>
      <c r="AB2249">
        <v>5.87</v>
      </c>
      <c r="AC2249" t="s">
        <v>202</v>
      </c>
      <c r="AD2249">
        <v>47.35</v>
      </c>
      <c r="AE2249" t="s">
        <v>2769</v>
      </c>
      <c r="AF2249">
        <v>2.52</v>
      </c>
      <c r="AG2249">
        <v>0</v>
      </c>
      <c r="AH2249">
        <v>0</v>
      </c>
      <c r="AI2249" s="4">
        <v>42795</v>
      </c>
    </row>
    <row r="2250" spans="1:35">
      <c r="A2250">
        <v>2249</v>
      </c>
      <c r="B2250" t="str">
        <f>"300377"</f>
        <v>300377</v>
      </c>
      <c r="C2250" t="s">
        <v>10972</v>
      </c>
      <c r="D2250" s="4">
        <v>43190</v>
      </c>
      <c r="E2250" t="s">
        <v>561</v>
      </c>
      <c r="F2250" t="s">
        <v>1040</v>
      </c>
      <c r="G2250">
        <v>8141</v>
      </c>
      <c r="H2250">
        <v>0.03</v>
      </c>
      <c r="I2250">
        <v>3.67</v>
      </c>
      <c r="J2250">
        <v>0.94</v>
      </c>
      <c r="K2250" t="s">
        <v>1016</v>
      </c>
      <c r="L2250">
        <v>84.84</v>
      </c>
      <c r="M2250" t="s">
        <v>10973</v>
      </c>
      <c r="N2250" t="s">
        <v>10974</v>
      </c>
      <c r="O2250" t="s">
        <v>10973</v>
      </c>
      <c r="P2250" t="s">
        <v>5942</v>
      </c>
      <c r="Q2250">
        <v>70.86</v>
      </c>
      <c r="R2250" t="s">
        <v>156</v>
      </c>
      <c r="S2250">
        <v>0.51</v>
      </c>
      <c r="T2250">
        <v>81.99</v>
      </c>
      <c r="U2250" t="s">
        <v>864</v>
      </c>
      <c r="V2250" t="s">
        <v>161</v>
      </c>
      <c r="W2250" t="s">
        <v>1731</v>
      </c>
      <c r="X2250">
        <v>0.94</v>
      </c>
      <c r="Y2250" t="s">
        <v>975</v>
      </c>
      <c r="Z2250" t="s">
        <v>37</v>
      </c>
      <c r="AA2250" t="s">
        <v>8894</v>
      </c>
      <c r="AB2250">
        <v>3.28</v>
      </c>
      <c r="AC2250" t="s">
        <v>1675</v>
      </c>
      <c r="AD2250">
        <v>91.17</v>
      </c>
      <c r="AE2250" t="s">
        <v>847</v>
      </c>
      <c r="AF2250">
        <v>2.15</v>
      </c>
      <c r="AG2250">
        <v>0</v>
      </c>
      <c r="AH2250">
        <v>0</v>
      </c>
      <c r="AI2250" s="4">
        <v>41666</v>
      </c>
    </row>
    <row r="2251" spans="1:35">
      <c r="A2251">
        <v>2250</v>
      </c>
      <c r="B2251" t="str">
        <f>"300311"</f>
        <v>300311</v>
      </c>
      <c r="C2251" t="s">
        <v>10975</v>
      </c>
      <c r="D2251" s="4">
        <v>43190</v>
      </c>
      <c r="E2251" t="s">
        <v>2222</v>
      </c>
      <c r="F2251" t="s">
        <v>676</v>
      </c>
      <c r="G2251">
        <v>7335</v>
      </c>
      <c r="H2251">
        <v>0.03</v>
      </c>
      <c r="I2251">
        <v>2.83</v>
      </c>
      <c r="J2251">
        <v>0.94</v>
      </c>
      <c r="K2251" t="s">
        <v>454</v>
      </c>
      <c r="L2251">
        <v>-2.73</v>
      </c>
      <c r="M2251" t="s">
        <v>3020</v>
      </c>
      <c r="N2251" t="s">
        <v>6096</v>
      </c>
      <c r="O2251" t="s">
        <v>10976</v>
      </c>
      <c r="P2251" t="s">
        <v>10977</v>
      </c>
      <c r="Q2251">
        <v>8.76</v>
      </c>
      <c r="R2251" t="s">
        <v>2811</v>
      </c>
      <c r="S2251">
        <v>0.89</v>
      </c>
      <c r="T2251">
        <v>40.99</v>
      </c>
      <c r="U2251" t="s">
        <v>1449</v>
      </c>
      <c r="V2251" t="s">
        <v>648</v>
      </c>
      <c r="W2251" t="s">
        <v>1597</v>
      </c>
      <c r="X2251">
        <v>0.94</v>
      </c>
      <c r="Y2251" t="s">
        <v>2032</v>
      </c>
      <c r="Z2251" t="s">
        <v>3544</v>
      </c>
      <c r="AA2251" t="s">
        <v>454</v>
      </c>
      <c r="AB2251">
        <v>3.85</v>
      </c>
      <c r="AC2251" t="s">
        <v>548</v>
      </c>
      <c r="AD2251">
        <v>54.64</v>
      </c>
      <c r="AE2251" t="s">
        <v>678</v>
      </c>
      <c r="AF2251">
        <v>0.84</v>
      </c>
      <c r="AG2251">
        <v>0</v>
      </c>
      <c r="AH2251">
        <v>0</v>
      </c>
      <c r="AI2251" s="4">
        <v>41024</v>
      </c>
    </row>
    <row r="2252" spans="1:35">
      <c r="A2252">
        <v>2251</v>
      </c>
      <c r="B2252" t="str">
        <f>"300239"</f>
        <v>300239</v>
      </c>
      <c r="C2252" t="s">
        <v>10978</v>
      </c>
      <c r="D2252" s="4">
        <v>43190</v>
      </c>
      <c r="E2252" t="s">
        <v>348</v>
      </c>
      <c r="F2252" t="s">
        <v>123</v>
      </c>
      <c r="G2252" t="s">
        <v>5386</v>
      </c>
      <c r="H2252">
        <v>0.01</v>
      </c>
      <c r="I2252">
        <v>1.57</v>
      </c>
      <c r="J2252">
        <v>0.94</v>
      </c>
      <c r="K2252" t="s">
        <v>10979</v>
      </c>
      <c r="L2252">
        <v>28.76</v>
      </c>
      <c r="M2252" t="s">
        <v>9948</v>
      </c>
      <c r="N2252">
        <v>22</v>
      </c>
      <c r="O2252" t="s">
        <v>9948</v>
      </c>
      <c r="P2252" t="s">
        <v>10410</v>
      </c>
      <c r="Q2252">
        <v>20.440000000000001</v>
      </c>
      <c r="R2252" t="s">
        <v>10980</v>
      </c>
      <c r="S2252">
        <v>0.18</v>
      </c>
      <c r="T2252">
        <v>21.36</v>
      </c>
      <c r="U2252" t="s">
        <v>1496</v>
      </c>
      <c r="V2252" t="s">
        <v>2807</v>
      </c>
      <c r="W2252" t="s">
        <v>1703</v>
      </c>
      <c r="X2252">
        <v>0.94</v>
      </c>
      <c r="Y2252" t="s">
        <v>2507</v>
      </c>
      <c r="Z2252" t="s">
        <v>470</v>
      </c>
      <c r="AA2252" t="s">
        <v>10981</v>
      </c>
      <c r="AB2252">
        <v>2.61</v>
      </c>
      <c r="AC2252" t="s">
        <v>46</v>
      </c>
      <c r="AD2252">
        <v>72</v>
      </c>
      <c r="AE2252" t="s">
        <v>1936</v>
      </c>
      <c r="AF2252">
        <v>0.33</v>
      </c>
      <c r="AG2252">
        <v>0</v>
      </c>
      <c r="AH2252">
        <v>0</v>
      </c>
      <c r="AI2252" s="4">
        <v>40730</v>
      </c>
    </row>
    <row r="2253" spans="1:35">
      <c r="A2253">
        <v>2252</v>
      </c>
      <c r="B2253" t="str">
        <f>"002286"</f>
        <v>002286</v>
      </c>
      <c r="C2253" t="s">
        <v>10982</v>
      </c>
      <c r="D2253" s="4">
        <v>43190</v>
      </c>
      <c r="E2253" t="s">
        <v>3726</v>
      </c>
      <c r="F2253" t="s">
        <v>2661</v>
      </c>
      <c r="G2253" t="s">
        <v>522</v>
      </c>
      <c r="H2253">
        <v>0.04</v>
      </c>
      <c r="I2253">
        <v>4.0599999999999996</v>
      </c>
      <c r="J2253">
        <v>0.94</v>
      </c>
      <c r="K2253" t="s">
        <v>185</v>
      </c>
      <c r="L2253">
        <v>3.07</v>
      </c>
      <c r="M2253" t="s">
        <v>6708</v>
      </c>
      <c r="N2253" t="s">
        <v>10983</v>
      </c>
      <c r="O2253" t="s">
        <v>10984</v>
      </c>
      <c r="P2253" t="s">
        <v>10985</v>
      </c>
      <c r="Q2253">
        <v>1.21</v>
      </c>
      <c r="R2253" t="s">
        <v>90</v>
      </c>
      <c r="S2253">
        <v>0.79</v>
      </c>
      <c r="T2253">
        <v>14</v>
      </c>
      <c r="U2253" t="s">
        <v>865</v>
      </c>
      <c r="V2253" t="s">
        <v>2930</v>
      </c>
      <c r="W2253" t="s">
        <v>77</v>
      </c>
      <c r="X2253">
        <v>0.94</v>
      </c>
      <c r="Y2253" t="s">
        <v>4306</v>
      </c>
      <c r="Z2253" t="s">
        <v>615</v>
      </c>
      <c r="AA2253" t="s">
        <v>5058</v>
      </c>
      <c r="AB2253">
        <v>2.29</v>
      </c>
      <c r="AC2253" t="s">
        <v>391</v>
      </c>
      <c r="AD2253">
        <v>66.98</v>
      </c>
      <c r="AE2253" t="s">
        <v>4000</v>
      </c>
      <c r="AF2253">
        <v>2.17</v>
      </c>
      <c r="AG2253">
        <v>0</v>
      </c>
      <c r="AH2253">
        <v>0</v>
      </c>
      <c r="AI2253" s="4">
        <v>40053</v>
      </c>
    </row>
    <row r="2254" spans="1:35">
      <c r="A2254">
        <v>2253</v>
      </c>
      <c r="B2254" t="str">
        <f>"000595"</f>
        <v>000595</v>
      </c>
      <c r="C2254" t="s">
        <v>10986</v>
      </c>
      <c r="D2254" s="4">
        <v>43190</v>
      </c>
      <c r="E2254" t="s">
        <v>869</v>
      </c>
      <c r="F2254" t="s">
        <v>566</v>
      </c>
      <c r="G2254" t="s">
        <v>135</v>
      </c>
      <c r="H2254">
        <v>0.01</v>
      </c>
      <c r="I2254">
        <v>0.92</v>
      </c>
      <c r="J2254">
        <v>0.94</v>
      </c>
      <c r="K2254" t="s">
        <v>2439</v>
      </c>
      <c r="L2254">
        <v>-22.69</v>
      </c>
      <c r="M2254" t="s">
        <v>5642</v>
      </c>
      <c r="N2254">
        <v>0</v>
      </c>
      <c r="O2254" t="s">
        <v>8189</v>
      </c>
      <c r="P2254" t="s">
        <v>10987</v>
      </c>
      <c r="Q2254">
        <v>21.57</v>
      </c>
      <c r="R2254" t="s">
        <v>10988</v>
      </c>
      <c r="S2254">
        <v>-0.66</v>
      </c>
      <c r="T2254">
        <v>20.69</v>
      </c>
      <c r="U2254" t="s">
        <v>1000</v>
      </c>
      <c r="V2254" t="s">
        <v>978</v>
      </c>
      <c r="W2254" t="s">
        <v>364</v>
      </c>
      <c r="X2254">
        <v>0.94</v>
      </c>
      <c r="Y2254" t="s">
        <v>982</v>
      </c>
      <c r="Z2254" t="s">
        <v>4345</v>
      </c>
      <c r="AA2254" t="s">
        <v>3674</v>
      </c>
      <c r="AB2254">
        <v>3.81</v>
      </c>
      <c r="AC2254" t="s">
        <v>2778</v>
      </c>
      <c r="AD2254">
        <v>35.200000000000003</v>
      </c>
      <c r="AE2254" t="s">
        <v>611</v>
      </c>
      <c r="AF2254">
        <v>0.62</v>
      </c>
      <c r="AG2254">
        <v>0</v>
      </c>
      <c r="AH2254">
        <v>0</v>
      </c>
      <c r="AI2254" s="4">
        <v>35174</v>
      </c>
    </row>
    <row r="2255" spans="1:35">
      <c r="A2255">
        <v>2254</v>
      </c>
      <c r="B2255" t="str">
        <f>"000153"</f>
        <v>000153</v>
      </c>
      <c r="C2255" t="s">
        <v>10989</v>
      </c>
      <c r="D2255" s="4">
        <v>43190</v>
      </c>
      <c r="E2255" t="s">
        <v>1964</v>
      </c>
      <c r="F2255" t="s">
        <v>2551</v>
      </c>
      <c r="G2255">
        <v>8938</v>
      </c>
      <c r="H2255">
        <v>0.04</v>
      </c>
      <c r="I2255">
        <v>3.84</v>
      </c>
      <c r="J2255">
        <v>0.94</v>
      </c>
      <c r="K2255" t="s">
        <v>2454</v>
      </c>
      <c r="L2255">
        <v>35.520000000000003</v>
      </c>
      <c r="M2255" t="s">
        <v>10990</v>
      </c>
      <c r="N2255" t="s">
        <v>10991</v>
      </c>
      <c r="O2255" t="s">
        <v>2995</v>
      </c>
      <c r="P2255" t="s">
        <v>4221</v>
      </c>
      <c r="Q2255">
        <v>22.12</v>
      </c>
      <c r="R2255" t="s">
        <v>1797</v>
      </c>
      <c r="S2255">
        <v>1.02</v>
      </c>
      <c r="T2255">
        <v>32.04</v>
      </c>
      <c r="U2255" t="s">
        <v>1881</v>
      </c>
      <c r="V2255" t="s">
        <v>848</v>
      </c>
      <c r="W2255" t="s">
        <v>1021</v>
      </c>
      <c r="X2255">
        <v>0.94</v>
      </c>
      <c r="Y2255" t="s">
        <v>847</v>
      </c>
      <c r="Z2255" t="s">
        <v>833</v>
      </c>
      <c r="AA2255" t="s">
        <v>10992</v>
      </c>
      <c r="AB2255">
        <v>1.6</v>
      </c>
      <c r="AC2255" t="s">
        <v>982</v>
      </c>
      <c r="AD2255">
        <v>43.26</v>
      </c>
      <c r="AE2255" t="s">
        <v>1959</v>
      </c>
      <c r="AF2255">
        <v>1.6</v>
      </c>
      <c r="AG2255">
        <v>0</v>
      </c>
      <c r="AH2255">
        <v>0</v>
      </c>
      <c r="AI2255" s="4">
        <v>36789</v>
      </c>
    </row>
    <row r="2256" spans="1:35">
      <c r="A2256">
        <v>2255</v>
      </c>
      <c r="B2256" t="str">
        <f>"603988"</f>
        <v>603988</v>
      </c>
      <c r="C2256" t="s">
        <v>10993</v>
      </c>
      <c r="D2256" s="4">
        <v>43190</v>
      </c>
      <c r="E2256" t="s">
        <v>290</v>
      </c>
      <c r="F2256" t="s">
        <v>290</v>
      </c>
      <c r="G2256" t="s">
        <v>5650</v>
      </c>
      <c r="H2256">
        <v>0.04</v>
      </c>
      <c r="I2256">
        <v>3.83</v>
      </c>
      <c r="J2256">
        <v>0.93</v>
      </c>
      <c r="K2256" t="s">
        <v>10994</v>
      </c>
      <c r="L2256">
        <v>3.88</v>
      </c>
      <c r="M2256" t="s">
        <v>10576</v>
      </c>
      <c r="N2256" t="s">
        <v>596</v>
      </c>
      <c r="O2256" t="s">
        <v>6209</v>
      </c>
      <c r="P2256" t="s">
        <v>5483</v>
      </c>
      <c r="Q2256">
        <v>-29.99</v>
      </c>
      <c r="R2256" t="s">
        <v>916</v>
      </c>
      <c r="S2256">
        <v>1.22</v>
      </c>
      <c r="T2256">
        <v>29.21</v>
      </c>
      <c r="U2256" t="s">
        <v>5880</v>
      </c>
      <c r="V2256" t="s">
        <v>3234</v>
      </c>
      <c r="W2256" t="s">
        <v>10995</v>
      </c>
      <c r="X2256">
        <v>0.93</v>
      </c>
      <c r="Y2256" t="s">
        <v>682</v>
      </c>
      <c r="Z2256" t="s">
        <v>682</v>
      </c>
      <c r="AA2256">
        <v>0</v>
      </c>
      <c r="AB2256">
        <v>3.28</v>
      </c>
      <c r="AC2256" t="s">
        <v>2089</v>
      </c>
      <c r="AD2256">
        <v>75.33</v>
      </c>
      <c r="AE2256" t="s">
        <v>188</v>
      </c>
      <c r="AF2256">
        <v>1.43</v>
      </c>
      <c r="AG2256">
        <v>0</v>
      </c>
      <c r="AH2256">
        <v>0</v>
      </c>
      <c r="AI2256" s="4">
        <v>41947</v>
      </c>
    </row>
    <row r="2257" spans="1:35">
      <c r="A2257">
        <v>2256</v>
      </c>
      <c r="B2257" t="str">
        <f>"600756"</f>
        <v>600756</v>
      </c>
      <c r="C2257" t="s">
        <v>10996</v>
      </c>
      <c r="D2257" s="4">
        <v>43190</v>
      </c>
      <c r="E2257" t="s">
        <v>144</v>
      </c>
      <c r="F2257" t="s">
        <v>144</v>
      </c>
      <c r="G2257">
        <v>5082</v>
      </c>
      <c r="H2257">
        <v>0.06</v>
      </c>
      <c r="I2257">
        <v>6.59</v>
      </c>
      <c r="J2257">
        <v>0.93</v>
      </c>
      <c r="K2257" t="s">
        <v>618</v>
      </c>
      <c r="L2257">
        <v>-28.91</v>
      </c>
      <c r="M2257" t="s">
        <v>10997</v>
      </c>
      <c r="N2257" t="s">
        <v>10998</v>
      </c>
      <c r="O2257" t="s">
        <v>8540</v>
      </c>
      <c r="P2257" t="s">
        <v>3668</v>
      </c>
      <c r="Q2257">
        <v>-10.39</v>
      </c>
      <c r="R2257" t="s">
        <v>3196</v>
      </c>
      <c r="S2257">
        <v>2.08</v>
      </c>
      <c r="T2257">
        <v>58.12</v>
      </c>
      <c r="U2257" t="s">
        <v>2941</v>
      </c>
      <c r="V2257" t="s">
        <v>303</v>
      </c>
      <c r="W2257" t="s">
        <v>748</v>
      </c>
      <c r="X2257">
        <v>0.93</v>
      </c>
      <c r="Y2257" t="s">
        <v>116</v>
      </c>
      <c r="Z2257" t="s">
        <v>1044</v>
      </c>
      <c r="AA2257" t="s">
        <v>10999</v>
      </c>
      <c r="AB2257">
        <v>2.36</v>
      </c>
      <c r="AC2257" t="s">
        <v>2753</v>
      </c>
      <c r="AD2257">
        <v>75.98</v>
      </c>
      <c r="AE2257" t="s">
        <v>407</v>
      </c>
      <c r="AF2257">
        <v>3.23</v>
      </c>
      <c r="AG2257">
        <v>0</v>
      </c>
      <c r="AH2257">
        <v>0</v>
      </c>
      <c r="AI2257" s="4">
        <v>35331</v>
      </c>
    </row>
    <row r="2258" spans="1:35">
      <c r="A2258">
        <v>2257</v>
      </c>
      <c r="B2258" t="str">
        <f>"600277"</f>
        <v>600277</v>
      </c>
      <c r="C2258" t="s">
        <v>11000</v>
      </c>
      <c r="D2258" s="4">
        <v>43190</v>
      </c>
      <c r="E2258" t="s">
        <v>725</v>
      </c>
      <c r="F2258" t="s">
        <v>260</v>
      </c>
      <c r="G2258" t="s">
        <v>11001</v>
      </c>
      <c r="H2258">
        <v>0.05</v>
      </c>
      <c r="I2258">
        <v>5.3</v>
      </c>
      <c r="J2258">
        <v>0.93</v>
      </c>
      <c r="K2258" t="s">
        <v>1545</v>
      </c>
      <c r="L2258">
        <v>44.5</v>
      </c>
      <c r="M2258" t="s">
        <v>682</v>
      </c>
      <c r="N2258" t="s">
        <v>7846</v>
      </c>
      <c r="O2258" t="s">
        <v>1004</v>
      </c>
      <c r="P2258" t="s">
        <v>595</v>
      </c>
      <c r="Q2258">
        <v>33.090000000000003</v>
      </c>
      <c r="R2258" t="s">
        <v>1367</v>
      </c>
      <c r="S2258">
        <v>0.57999999999999996</v>
      </c>
      <c r="T2258">
        <v>11.84</v>
      </c>
      <c r="U2258" t="s">
        <v>968</v>
      </c>
      <c r="V2258" t="s">
        <v>841</v>
      </c>
      <c r="W2258" t="s">
        <v>1498</v>
      </c>
      <c r="X2258">
        <v>0.93</v>
      </c>
      <c r="Y2258" t="s">
        <v>1524</v>
      </c>
      <c r="Z2258" t="s">
        <v>6720</v>
      </c>
      <c r="AA2258" t="s">
        <v>1410</v>
      </c>
      <c r="AB2258">
        <v>0.87</v>
      </c>
      <c r="AC2258" t="s">
        <v>1222</v>
      </c>
      <c r="AD2258">
        <v>49.63</v>
      </c>
      <c r="AE2258" t="s">
        <v>11002</v>
      </c>
      <c r="AF2258">
        <v>3.61</v>
      </c>
      <c r="AG2258">
        <v>0</v>
      </c>
      <c r="AH2258">
        <v>0</v>
      </c>
      <c r="AI2258" s="4">
        <v>36732</v>
      </c>
    </row>
    <row r="2259" spans="1:35">
      <c r="A2259">
        <v>2258</v>
      </c>
      <c r="B2259" t="str">
        <f>"600227"</f>
        <v>600227</v>
      </c>
      <c r="C2259" t="s">
        <v>11003</v>
      </c>
      <c r="D2259" s="4">
        <v>43190</v>
      </c>
      <c r="E2259" t="s">
        <v>867</v>
      </c>
      <c r="F2259" t="s">
        <v>300</v>
      </c>
      <c r="G2259" t="s">
        <v>5021</v>
      </c>
      <c r="H2259">
        <v>0.03</v>
      </c>
      <c r="I2259">
        <v>2.71</v>
      </c>
      <c r="J2259">
        <v>0.93</v>
      </c>
      <c r="K2259" t="s">
        <v>2230</v>
      </c>
      <c r="L2259">
        <v>117.53</v>
      </c>
      <c r="M2259" t="s">
        <v>9578</v>
      </c>
      <c r="N2259">
        <v>0</v>
      </c>
      <c r="O2259" t="s">
        <v>11004</v>
      </c>
      <c r="P2259" t="s">
        <v>11005</v>
      </c>
      <c r="Q2259">
        <v>181.18</v>
      </c>
      <c r="R2259" t="s">
        <v>136</v>
      </c>
      <c r="S2259">
        <v>0.09</v>
      </c>
      <c r="T2259">
        <v>31.26</v>
      </c>
      <c r="U2259" t="s">
        <v>2591</v>
      </c>
      <c r="V2259" t="s">
        <v>510</v>
      </c>
      <c r="W2259" t="s">
        <v>737</v>
      </c>
      <c r="X2259">
        <v>0.93</v>
      </c>
      <c r="Y2259" t="s">
        <v>877</v>
      </c>
      <c r="Z2259" t="s">
        <v>1062</v>
      </c>
      <c r="AA2259" t="s">
        <v>140</v>
      </c>
      <c r="AB2259">
        <v>1.71</v>
      </c>
      <c r="AC2259" t="s">
        <v>3386</v>
      </c>
      <c r="AD2259">
        <v>69.34</v>
      </c>
      <c r="AE2259" t="s">
        <v>1347</v>
      </c>
      <c r="AF2259">
        <v>1.45</v>
      </c>
      <c r="AG2259">
        <v>0</v>
      </c>
      <c r="AH2259">
        <v>0</v>
      </c>
      <c r="AI2259" s="4">
        <v>36577</v>
      </c>
    </row>
    <row r="2260" spans="1:35">
      <c r="A2260">
        <v>2259</v>
      </c>
      <c r="B2260" t="str">
        <f>"002300"</f>
        <v>002300</v>
      </c>
      <c r="C2260" t="s">
        <v>11006</v>
      </c>
      <c r="D2260" s="4">
        <v>43190</v>
      </c>
      <c r="E2260" t="s">
        <v>3471</v>
      </c>
      <c r="F2260" t="s">
        <v>734</v>
      </c>
      <c r="G2260">
        <v>9394</v>
      </c>
      <c r="H2260">
        <v>0.02</v>
      </c>
      <c r="I2260">
        <v>2.4700000000000002</v>
      </c>
      <c r="J2260">
        <v>0.93</v>
      </c>
      <c r="K2260" t="s">
        <v>3639</v>
      </c>
      <c r="L2260">
        <v>34.36</v>
      </c>
      <c r="M2260" t="s">
        <v>7439</v>
      </c>
      <c r="N2260" t="s">
        <v>11007</v>
      </c>
      <c r="O2260" t="s">
        <v>6931</v>
      </c>
      <c r="P2260" t="s">
        <v>7138</v>
      </c>
      <c r="Q2260">
        <v>5.29</v>
      </c>
      <c r="R2260" t="s">
        <v>2889</v>
      </c>
      <c r="S2260">
        <v>0.46</v>
      </c>
      <c r="T2260">
        <v>6.59</v>
      </c>
      <c r="U2260" t="s">
        <v>1219</v>
      </c>
      <c r="V2260" t="s">
        <v>304</v>
      </c>
      <c r="W2260" t="s">
        <v>1033</v>
      </c>
      <c r="X2260">
        <v>0.93</v>
      </c>
      <c r="Y2260" t="s">
        <v>419</v>
      </c>
      <c r="Z2260" t="s">
        <v>775</v>
      </c>
      <c r="AA2260" t="s">
        <v>293</v>
      </c>
      <c r="AB2260">
        <v>2.12</v>
      </c>
      <c r="AC2260" t="s">
        <v>924</v>
      </c>
      <c r="AD2260">
        <v>39.76</v>
      </c>
      <c r="AE2260" t="s">
        <v>1378</v>
      </c>
      <c r="AF2260">
        <v>0.64</v>
      </c>
      <c r="AG2260">
        <v>0</v>
      </c>
      <c r="AH2260">
        <v>0</v>
      </c>
      <c r="AI2260" s="4">
        <v>40107</v>
      </c>
    </row>
    <row r="2261" spans="1:35">
      <c r="A2261">
        <v>2260</v>
      </c>
      <c r="B2261" t="str">
        <f>"002125"</f>
        <v>002125</v>
      </c>
      <c r="C2261" t="s">
        <v>11008</v>
      </c>
      <c r="D2261" s="4">
        <v>43190</v>
      </c>
      <c r="E2261" t="s">
        <v>1789</v>
      </c>
      <c r="F2261" t="s">
        <v>507</v>
      </c>
      <c r="G2261">
        <v>9529</v>
      </c>
      <c r="H2261">
        <v>0.03</v>
      </c>
      <c r="I2261">
        <v>3.22</v>
      </c>
      <c r="J2261">
        <v>0.93</v>
      </c>
      <c r="K2261" t="s">
        <v>1264</v>
      </c>
      <c r="L2261">
        <v>35.53</v>
      </c>
      <c r="M2261" t="s">
        <v>4444</v>
      </c>
      <c r="N2261" t="s">
        <v>1650</v>
      </c>
      <c r="O2261" t="s">
        <v>11009</v>
      </c>
      <c r="P2261" t="s">
        <v>11010</v>
      </c>
      <c r="Q2261">
        <v>96.07</v>
      </c>
      <c r="R2261" t="s">
        <v>11011</v>
      </c>
      <c r="S2261">
        <v>0.17</v>
      </c>
      <c r="T2261">
        <v>25.67</v>
      </c>
      <c r="U2261" t="s">
        <v>426</v>
      </c>
      <c r="V2261" t="s">
        <v>2032</v>
      </c>
      <c r="W2261" t="s">
        <v>101</v>
      </c>
      <c r="X2261">
        <v>0.93</v>
      </c>
      <c r="Y2261" t="s">
        <v>1367</v>
      </c>
      <c r="Z2261" t="s">
        <v>613</v>
      </c>
      <c r="AA2261" t="s">
        <v>2608</v>
      </c>
      <c r="AB2261">
        <v>2.19</v>
      </c>
      <c r="AC2261" t="s">
        <v>323</v>
      </c>
      <c r="AD2261">
        <v>40.770000000000003</v>
      </c>
      <c r="AE2261" t="s">
        <v>2510</v>
      </c>
      <c r="AF2261">
        <v>2</v>
      </c>
      <c r="AG2261">
        <v>0</v>
      </c>
      <c r="AH2261">
        <v>0</v>
      </c>
      <c r="AI2261" s="4">
        <v>39175</v>
      </c>
    </row>
    <row r="2262" spans="1:35">
      <c r="A2262">
        <v>2261</v>
      </c>
      <c r="B2262" t="str">
        <f>"002017"</f>
        <v>002017</v>
      </c>
      <c r="C2262" t="s">
        <v>11012</v>
      </c>
      <c r="D2262" s="4">
        <v>43190</v>
      </c>
      <c r="E2262" t="s">
        <v>1789</v>
      </c>
      <c r="F2262" t="s">
        <v>1594</v>
      </c>
      <c r="G2262">
        <v>7911</v>
      </c>
      <c r="H2262">
        <v>0.02</v>
      </c>
      <c r="I2262">
        <v>2.69</v>
      </c>
      <c r="J2262">
        <v>0.93</v>
      </c>
      <c r="K2262" t="s">
        <v>3674</v>
      </c>
      <c r="L2262">
        <v>-14.1</v>
      </c>
      <c r="M2262" t="s">
        <v>11013</v>
      </c>
      <c r="N2262" t="s">
        <v>11014</v>
      </c>
      <c r="O2262" t="s">
        <v>7064</v>
      </c>
      <c r="P2262" t="s">
        <v>7531</v>
      </c>
      <c r="Q2262">
        <v>-8.89</v>
      </c>
      <c r="R2262" t="s">
        <v>1964</v>
      </c>
      <c r="S2262">
        <v>0.89</v>
      </c>
      <c r="T2262">
        <v>27.77</v>
      </c>
      <c r="U2262" t="s">
        <v>1792</v>
      </c>
      <c r="V2262" t="s">
        <v>250</v>
      </c>
      <c r="W2262" t="s">
        <v>1417</v>
      </c>
      <c r="X2262">
        <v>0.93</v>
      </c>
      <c r="Y2262" t="s">
        <v>1330</v>
      </c>
      <c r="Z2262" t="s">
        <v>2392</v>
      </c>
      <c r="AA2262" t="s">
        <v>3531</v>
      </c>
      <c r="AB2262">
        <v>2.2200000000000002</v>
      </c>
      <c r="AC2262" t="s">
        <v>2870</v>
      </c>
      <c r="AD2262">
        <v>60.42</v>
      </c>
      <c r="AE2262" t="s">
        <v>1011</v>
      </c>
      <c r="AF2262">
        <v>0.61</v>
      </c>
      <c r="AG2262">
        <v>0</v>
      </c>
      <c r="AH2262">
        <v>0</v>
      </c>
      <c r="AI2262" s="4">
        <v>38181</v>
      </c>
    </row>
    <row r="2263" spans="1:35">
      <c r="A2263">
        <v>2262</v>
      </c>
      <c r="B2263" t="str">
        <f>"000590"</f>
        <v>000590</v>
      </c>
      <c r="C2263" t="s">
        <v>11015</v>
      </c>
      <c r="D2263" s="4">
        <v>43190</v>
      </c>
      <c r="E2263" t="s">
        <v>668</v>
      </c>
      <c r="F2263" t="s">
        <v>1435</v>
      </c>
      <c r="G2263" t="s">
        <v>3761</v>
      </c>
      <c r="H2263">
        <v>0.02</v>
      </c>
      <c r="I2263">
        <v>2.46</v>
      </c>
      <c r="J2263">
        <v>0.93</v>
      </c>
      <c r="K2263" t="s">
        <v>4556</v>
      </c>
      <c r="L2263">
        <v>-17.13</v>
      </c>
      <c r="M2263" t="s">
        <v>1501</v>
      </c>
      <c r="N2263" t="s">
        <v>3722</v>
      </c>
      <c r="O2263" t="s">
        <v>11016</v>
      </c>
      <c r="P2263" t="s">
        <v>11017</v>
      </c>
      <c r="Q2263">
        <v>-49.03</v>
      </c>
      <c r="R2263" t="s">
        <v>11018</v>
      </c>
      <c r="S2263">
        <v>-0.56999999999999995</v>
      </c>
      <c r="T2263">
        <v>48.15</v>
      </c>
      <c r="U2263" t="s">
        <v>4041</v>
      </c>
      <c r="V2263" t="s">
        <v>2036</v>
      </c>
      <c r="W2263" t="s">
        <v>2031</v>
      </c>
      <c r="X2263">
        <v>0.93</v>
      </c>
      <c r="Y2263" t="s">
        <v>134</v>
      </c>
      <c r="Z2263" t="s">
        <v>1376</v>
      </c>
      <c r="AA2263" t="s">
        <v>322</v>
      </c>
      <c r="AB2263">
        <v>4.21</v>
      </c>
      <c r="AC2263" t="s">
        <v>107</v>
      </c>
      <c r="AD2263">
        <v>69.66</v>
      </c>
      <c r="AE2263" t="s">
        <v>142</v>
      </c>
      <c r="AF2263">
        <v>1.84</v>
      </c>
      <c r="AG2263">
        <v>0</v>
      </c>
      <c r="AH2263">
        <v>0</v>
      </c>
      <c r="AI2263" s="4">
        <v>35083</v>
      </c>
    </row>
    <row r="2264" spans="1:35">
      <c r="A2264">
        <v>2263</v>
      </c>
      <c r="B2264" t="str">
        <f>"603661"</f>
        <v>603661</v>
      </c>
      <c r="C2264" t="s">
        <v>11019</v>
      </c>
      <c r="D2264" s="4">
        <v>43190</v>
      </c>
      <c r="E2264" t="s">
        <v>2307</v>
      </c>
      <c r="F2264" t="s">
        <v>534</v>
      </c>
      <c r="G2264">
        <v>1163</v>
      </c>
      <c r="H2264">
        <v>0.2</v>
      </c>
      <c r="I2264">
        <v>21.1</v>
      </c>
      <c r="J2264">
        <v>0.92</v>
      </c>
      <c r="K2264" t="s">
        <v>4962</v>
      </c>
      <c r="L2264">
        <v>6.25</v>
      </c>
      <c r="M2264" t="s">
        <v>6915</v>
      </c>
      <c r="N2264" t="s">
        <v>6962</v>
      </c>
      <c r="O2264" t="s">
        <v>10252</v>
      </c>
      <c r="P2264" t="s">
        <v>5016</v>
      </c>
      <c r="Q2264">
        <v>-62.77</v>
      </c>
      <c r="R2264" t="s">
        <v>2456</v>
      </c>
      <c r="S2264">
        <v>6.06</v>
      </c>
      <c r="T2264">
        <v>18.7</v>
      </c>
      <c r="U2264" t="s">
        <v>451</v>
      </c>
      <c r="V2264" t="s">
        <v>251</v>
      </c>
      <c r="W2264" t="s">
        <v>325</v>
      </c>
      <c r="X2264">
        <v>0.92</v>
      </c>
      <c r="Y2264" t="s">
        <v>479</v>
      </c>
      <c r="Z2264" t="s">
        <v>1378</v>
      </c>
      <c r="AA2264" t="s">
        <v>11020</v>
      </c>
      <c r="AB2264">
        <v>1.88</v>
      </c>
      <c r="AC2264" t="s">
        <v>1875</v>
      </c>
      <c r="AD2264">
        <v>84.07</v>
      </c>
      <c r="AE2264" t="s">
        <v>1214</v>
      </c>
      <c r="AF2264">
        <v>13.54</v>
      </c>
      <c r="AG2264">
        <v>0</v>
      </c>
      <c r="AH2264">
        <v>0</v>
      </c>
      <c r="AI2264" s="4">
        <v>43060</v>
      </c>
    </row>
    <row r="2265" spans="1:35">
      <c r="A2265">
        <v>2264</v>
      </c>
      <c r="B2265" t="str">
        <f>"603330"</f>
        <v>603330</v>
      </c>
      <c r="C2265" t="s">
        <v>11021</v>
      </c>
      <c r="D2265" s="4">
        <v>43190</v>
      </c>
      <c r="E2265" t="s">
        <v>4561</v>
      </c>
      <c r="F2265" t="s">
        <v>11022</v>
      </c>
      <c r="G2265">
        <v>2514</v>
      </c>
      <c r="H2265">
        <v>0.09</v>
      </c>
      <c r="I2265">
        <v>10.19</v>
      </c>
      <c r="J2265">
        <v>0.92</v>
      </c>
      <c r="K2265" t="s">
        <v>86</v>
      </c>
      <c r="L2265">
        <v>39.67</v>
      </c>
      <c r="M2265" t="s">
        <v>163</v>
      </c>
      <c r="N2265" t="s">
        <v>7643</v>
      </c>
      <c r="O2265" t="s">
        <v>11023</v>
      </c>
      <c r="P2265" t="s">
        <v>7572</v>
      </c>
      <c r="Q2265">
        <v>30.05</v>
      </c>
      <c r="R2265" t="s">
        <v>84</v>
      </c>
      <c r="S2265">
        <v>2.36</v>
      </c>
      <c r="T2265">
        <v>26.56</v>
      </c>
      <c r="U2265" t="s">
        <v>1722</v>
      </c>
      <c r="V2265" t="s">
        <v>1706</v>
      </c>
      <c r="W2265" t="s">
        <v>863</v>
      </c>
      <c r="X2265">
        <v>0.92</v>
      </c>
      <c r="Y2265" t="s">
        <v>986</v>
      </c>
      <c r="Z2265" t="s">
        <v>1597</v>
      </c>
      <c r="AA2265" t="s">
        <v>5228</v>
      </c>
      <c r="AB2265">
        <v>2.73</v>
      </c>
      <c r="AC2265" t="s">
        <v>2674</v>
      </c>
      <c r="AD2265">
        <v>71.77</v>
      </c>
      <c r="AE2265" t="s">
        <v>184</v>
      </c>
      <c r="AF2265">
        <v>6.51</v>
      </c>
      <c r="AG2265">
        <v>0</v>
      </c>
      <c r="AH2265">
        <v>0</v>
      </c>
      <c r="AI2265" s="4">
        <v>42779</v>
      </c>
    </row>
    <row r="2266" spans="1:35">
      <c r="A2266">
        <v>2265</v>
      </c>
      <c r="B2266" t="str">
        <f>"600819"</f>
        <v>600819</v>
      </c>
      <c r="C2266" t="s">
        <v>11024</v>
      </c>
      <c r="D2266" s="4">
        <v>43190</v>
      </c>
      <c r="E2266" t="s">
        <v>2134</v>
      </c>
      <c r="F2266" t="s">
        <v>3632</v>
      </c>
      <c r="G2266">
        <v>0</v>
      </c>
      <c r="H2266">
        <v>0.03</v>
      </c>
      <c r="I2266">
        <v>3.25</v>
      </c>
      <c r="J2266">
        <v>0.92</v>
      </c>
      <c r="K2266" t="s">
        <v>2035</v>
      </c>
      <c r="L2266">
        <v>16.07</v>
      </c>
      <c r="M2266" t="s">
        <v>11025</v>
      </c>
      <c r="N2266" t="s">
        <v>11026</v>
      </c>
      <c r="O2266" t="s">
        <v>11027</v>
      </c>
      <c r="P2266" t="s">
        <v>9310</v>
      </c>
      <c r="Q2266">
        <v>344.15</v>
      </c>
      <c r="R2266" t="s">
        <v>542</v>
      </c>
      <c r="S2266">
        <v>0.53</v>
      </c>
      <c r="T2266">
        <v>16.62</v>
      </c>
      <c r="U2266" t="s">
        <v>3065</v>
      </c>
      <c r="V2266" t="s">
        <v>356</v>
      </c>
      <c r="W2266" t="s">
        <v>4558</v>
      </c>
      <c r="X2266">
        <v>0.92</v>
      </c>
      <c r="Y2266" t="s">
        <v>1225</v>
      </c>
      <c r="Z2266" t="s">
        <v>1386</v>
      </c>
      <c r="AA2266" t="s">
        <v>3193</v>
      </c>
      <c r="AB2266">
        <v>1.2</v>
      </c>
      <c r="AC2266" t="s">
        <v>1161</v>
      </c>
      <c r="AD2266">
        <v>42.48</v>
      </c>
      <c r="AE2266" t="s">
        <v>835</v>
      </c>
      <c r="AF2266">
        <v>1.21</v>
      </c>
      <c r="AG2266" t="s">
        <v>2769</v>
      </c>
      <c r="AH2266">
        <v>0</v>
      </c>
      <c r="AI2266" s="4">
        <v>34362</v>
      </c>
    </row>
    <row r="2267" spans="1:35">
      <c r="A2267">
        <v>2266</v>
      </c>
      <c r="B2267" t="str">
        <f>"600223"</f>
        <v>600223</v>
      </c>
      <c r="C2267" t="s">
        <v>11028</v>
      </c>
      <c r="D2267" s="4">
        <v>43190</v>
      </c>
      <c r="E2267" t="s">
        <v>895</v>
      </c>
      <c r="F2267" t="s">
        <v>895</v>
      </c>
      <c r="G2267" t="s">
        <v>4047</v>
      </c>
      <c r="H2267">
        <v>0.02</v>
      </c>
      <c r="I2267">
        <v>2.35</v>
      </c>
      <c r="J2267">
        <v>0.92</v>
      </c>
      <c r="K2267" t="s">
        <v>871</v>
      </c>
      <c r="L2267">
        <v>1.1599999999999999</v>
      </c>
      <c r="M2267" t="s">
        <v>4520</v>
      </c>
      <c r="N2267" t="s">
        <v>11029</v>
      </c>
      <c r="O2267" t="s">
        <v>11030</v>
      </c>
      <c r="P2267" t="s">
        <v>11031</v>
      </c>
      <c r="Q2267">
        <v>10.67</v>
      </c>
      <c r="R2267" t="s">
        <v>5864</v>
      </c>
      <c r="S2267">
        <v>0.95</v>
      </c>
      <c r="T2267">
        <v>20.16</v>
      </c>
      <c r="U2267" t="s">
        <v>3498</v>
      </c>
      <c r="V2267" t="s">
        <v>11032</v>
      </c>
      <c r="W2267" t="s">
        <v>48</v>
      </c>
      <c r="X2267">
        <v>0.92</v>
      </c>
      <c r="Y2267" t="s">
        <v>11033</v>
      </c>
      <c r="Z2267" t="s">
        <v>8424</v>
      </c>
      <c r="AA2267" t="s">
        <v>783</v>
      </c>
      <c r="AB2267">
        <v>1.3</v>
      </c>
      <c r="AC2267" t="s">
        <v>244</v>
      </c>
      <c r="AD2267">
        <v>5.28</v>
      </c>
      <c r="AE2267" t="s">
        <v>2132</v>
      </c>
      <c r="AF2267">
        <v>0.3</v>
      </c>
      <c r="AG2267">
        <v>0</v>
      </c>
      <c r="AH2267">
        <v>0</v>
      </c>
      <c r="AI2267" s="4">
        <v>36538</v>
      </c>
    </row>
    <row r="2268" spans="1:35">
      <c r="A2268">
        <v>2267</v>
      </c>
      <c r="B2268" t="str">
        <f>"002673"</f>
        <v>002673</v>
      </c>
      <c r="C2268" t="s">
        <v>11034</v>
      </c>
      <c r="D2268" s="4">
        <v>43190</v>
      </c>
      <c r="E2268" t="s">
        <v>1174</v>
      </c>
      <c r="F2268" t="s">
        <v>1174</v>
      </c>
      <c r="G2268" t="s">
        <v>630</v>
      </c>
      <c r="H2268">
        <v>0.05</v>
      </c>
      <c r="I2268">
        <v>5.04</v>
      </c>
      <c r="J2268">
        <v>0.92</v>
      </c>
      <c r="K2268" t="s">
        <v>1935</v>
      </c>
      <c r="L2268">
        <v>-15.07</v>
      </c>
      <c r="M2268" t="s">
        <v>37</v>
      </c>
      <c r="N2268" t="s">
        <v>286</v>
      </c>
      <c r="O2268" t="s">
        <v>935</v>
      </c>
      <c r="P2268" t="s">
        <v>319</v>
      </c>
      <c r="Q2268">
        <v>-10.71</v>
      </c>
      <c r="R2268" t="s">
        <v>159</v>
      </c>
      <c r="S2268">
        <v>0.6</v>
      </c>
      <c r="T2268">
        <v>0</v>
      </c>
      <c r="U2268" t="s">
        <v>6738</v>
      </c>
      <c r="V2268">
        <v>0</v>
      </c>
      <c r="W2268" t="s">
        <v>293</v>
      </c>
      <c r="X2268">
        <v>0.92</v>
      </c>
      <c r="Y2268" t="s">
        <v>3981</v>
      </c>
      <c r="Z2268">
        <v>0</v>
      </c>
      <c r="AA2268">
        <v>0</v>
      </c>
      <c r="AB2268">
        <v>1.37</v>
      </c>
      <c r="AC2268" t="s">
        <v>2271</v>
      </c>
      <c r="AD2268">
        <v>33.590000000000003</v>
      </c>
      <c r="AE2268" t="s">
        <v>11035</v>
      </c>
      <c r="AF2268">
        <v>2.71</v>
      </c>
      <c r="AG2268">
        <v>0</v>
      </c>
      <c r="AH2268">
        <v>0</v>
      </c>
      <c r="AI2268" s="4">
        <v>41032</v>
      </c>
    </row>
    <row r="2269" spans="1:35">
      <c r="A2269">
        <v>2268</v>
      </c>
      <c r="B2269" t="str">
        <f>"002298"</f>
        <v>002298</v>
      </c>
      <c r="C2269" t="s">
        <v>11036</v>
      </c>
      <c r="D2269" s="4">
        <v>43190</v>
      </c>
      <c r="E2269" t="s">
        <v>5195</v>
      </c>
      <c r="F2269" t="s">
        <v>735</v>
      </c>
      <c r="G2269">
        <v>9724</v>
      </c>
      <c r="H2269">
        <v>0.06</v>
      </c>
      <c r="I2269">
        <v>6.17</v>
      </c>
      <c r="J2269">
        <v>0.92</v>
      </c>
      <c r="K2269" t="s">
        <v>545</v>
      </c>
      <c r="L2269">
        <v>29.67</v>
      </c>
      <c r="M2269" t="s">
        <v>11037</v>
      </c>
      <c r="N2269" t="s">
        <v>11038</v>
      </c>
      <c r="O2269" t="s">
        <v>11039</v>
      </c>
      <c r="P2269" t="s">
        <v>10443</v>
      </c>
      <c r="Q2269">
        <v>74.459999999999994</v>
      </c>
      <c r="R2269" t="s">
        <v>475</v>
      </c>
      <c r="S2269">
        <v>0.98</v>
      </c>
      <c r="T2269">
        <v>28.52</v>
      </c>
      <c r="U2269" t="s">
        <v>2534</v>
      </c>
      <c r="V2269" t="s">
        <v>230</v>
      </c>
      <c r="W2269" t="s">
        <v>2851</v>
      </c>
      <c r="X2269">
        <v>0.92</v>
      </c>
      <c r="Y2269" t="s">
        <v>775</v>
      </c>
      <c r="Z2269" t="s">
        <v>161</v>
      </c>
      <c r="AA2269" t="s">
        <v>824</v>
      </c>
      <c r="AB2269">
        <v>1.1000000000000001</v>
      </c>
      <c r="AC2269" t="s">
        <v>528</v>
      </c>
      <c r="AD2269">
        <v>69.19</v>
      </c>
      <c r="AE2269" t="s">
        <v>589</v>
      </c>
      <c r="AF2269">
        <v>4.12</v>
      </c>
      <c r="AG2269">
        <v>0</v>
      </c>
      <c r="AH2269">
        <v>0</v>
      </c>
      <c r="AI2269" s="4">
        <v>40085</v>
      </c>
    </row>
    <row r="2270" spans="1:35">
      <c r="A2270">
        <v>2269</v>
      </c>
      <c r="B2270" t="str">
        <f>"002113"</f>
        <v>002113</v>
      </c>
      <c r="C2270" t="s">
        <v>11040</v>
      </c>
      <c r="D2270" s="4">
        <v>43190</v>
      </c>
      <c r="E2270" t="s">
        <v>391</v>
      </c>
      <c r="F2270" t="s">
        <v>1013</v>
      </c>
      <c r="G2270">
        <v>7449</v>
      </c>
      <c r="H2270">
        <v>0.02</v>
      </c>
      <c r="I2270">
        <v>1.76</v>
      </c>
      <c r="J2270">
        <v>0.92</v>
      </c>
      <c r="K2270" t="s">
        <v>863</v>
      </c>
      <c r="L2270">
        <v>263.02</v>
      </c>
      <c r="M2270" t="s">
        <v>4192</v>
      </c>
      <c r="N2270" t="s">
        <v>11041</v>
      </c>
      <c r="O2270" t="s">
        <v>9215</v>
      </c>
      <c r="P2270" t="s">
        <v>11042</v>
      </c>
      <c r="Q2270">
        <v>369.14</v>
      </c>
      <c r="R2270" t="s">
        <v>11018</v>
      </c>
      <c r="S2270">
        <v>-0.09</v>
      </c>
      <c r="T2270">
        <v>51.77</v>
      </c>
      <c r="U2270" t="s">
        <v>236</v>
      </c>
      <c r="V2270" t="s">
        <v>1082</v>
      </c>
      <c r="W2270" t="s">
        <v>11043</v>
      </c>
      <c r="X2270">
        <v>0.92</v>
      </c>
      <c r="Y2270" t="s">
        <v>5842</v>
      </c>
      <c r="Z2270" t="s">
        <v>769</v>
      </c>
      <c r="AA2270" t="s">
        <v>5437</v>
      </c>
      <c r="AB2270">
        <v>3.29</v>
      </c>
      <c r="AC2270" t="s">
        <v>158</v>
      </c>
      <c r="AD2270">
        <v>83.59</v>
      </c>
      <c r="AE2270" t="s">
        <v>187</v>
      </c>
      <c r="AF2270">
        <v>0.81</v>
      </c>
      <c r="AG2270">
        <v>0</v>
      </c>
      <c r="AH2270">
        <v>0</v>
      </c>
      <c r="AI2270" s="4">
        <v>39121</v>
      </c>
    </row>
    <row r="2271" spans="1:35">
      <c r="A2271">
        <v>2270</v>
      </c>
      <c r="B2271" t="str">
        <f>"000301"</f>
        <v>000301</v>
      </c>
      <c r="C2271" t="s">
        <v>11044</v>
      </c>
      <c r="D2271" s="4">
        <v>43190</v>
      </c>
      <c r="E2271" t="s">
        <v>982</v>
      </c>
      <c r="F2271" t="s">
        <v>982</v>
      </c>
      <c r="G2271" t="s">
        <v>2258</v>
      </c>
      <c r="H2271">
        <v>0.03</v>
      </c>
      <c r="I2271">
        <v>2.87</v>
      </c>
      <c r="J2271">
        <v>0.92</v>
      </c>
      <c r="K2271" t="s">
        <v>618</v>
      </c>
      <c r="L2271">
        <v>-8.31</v>
      </c>
      <c r="M2271" t="s">
        <v>11045</v>
      </c>
      <c r="N2271" t="s">
        <v>11046</v>
      </c>
      <c r="O2271" t="s">
        <v>11047</v>
      </c>
      <c r="P2271" t="s">
        <v>9219</v>
      </c>
      <c r="Q2271">
        <v>764.22</v>
      </c>
      <c r="R2271" t="s">
        <v>176</v>
      </c>
      <c r="S2271">
        <v>1.03</v>
      </c>
      <c r="T2271">
        <v>30.32</v>
      </c>
      <c r="U2271" t="s">
        <v>3770</v>
      </c>
      <c r="V2271" t="s">
        <v>754</v>
      </c>
      <c r="W2271" t="s">
        <v>1324</v>
      </c>
      <c r="X2271">
        <v>0.92</v>
      </c>
      <c r="Y2271" t="s">
        <v>2783</v>
      </c>
      <c r="Z2271" t="s">
        <v>314</v>
      </c>
      <c r="AA2271" t="s">
        <v>750</v>
      </c>
      <c r="AB2271">
        <v>2.4700000000000002</v>
      </c>
      <c r="AC2271" t="s">
        <v>940</v>
      </c>
      <c r="AD2271">
        <v>82.77</v>
      </c>
      <c r="AE2271" t="s">
        <v>1714</v>
      </c>
      <c r="AF2271">
        <v>0.53</v>
      </c>
      <c r="AG2271">
        <v>0</v>
      </c>
      <c r="AH2271">
        <v>0</v>
      </c>
      <c r="AI2271" s="4">
        <v>36675</v>
      </c>
    </row>
    <row r="2272" spans="1:35">
      <c r="A2272">
        <v>2271</v>
      </c>
      <c r="B2272" t="str">
        <f>"603031"</f>
        <v>603031</v>
      </c>
      <c r="C2272" t="s">
        <v>11048</v>
      </c>
      <c r="D2272" s="4">
        <v>43190</v>
      </c>
      <c r="E2272" t="s">
        <v>355</v>
      </c>
      <c r="F2272" t="s">
        <v>11049</v>
      </c>
      <c r="G2272">
        <v>3632</v>
      </c>
      <c r="H2272">
        <v>0.05</v>
      </c>
      <c r="I2272">
        <v>5.39</v>
      </c>
      <c r="J2272">
        <v>0.91</v>
      </c>
      <c r="K2272" t="s">
        <v>943</v>
      </c>
      <c r="L2272">
        <v>10.98</v>
      </c>
      <c r="M2272" t="s">
        <v>8301</v>
      </c>
      <c r="N2272">
        <v>0</v>
      </c>
      <c r="O2272" t="s">
        <v>8301</v>
      </c>
      <c r="P2272" t="s">
        <v>7572</v>
      </c>
      <c r="Q2272">
        <v>-28.58</v>
      </c>
      <c r="R2272" t="s">
        <v>478</v>
      </c>
      <c r="S2272">
        <v>2.41</v>
      </c>
      <c r="T2272">
        <v>18.8</v>
      </c>
      <c r="U2272" t="s">
        <v>80</v>
      </c>
      <c r="V2272" t="s">
        <v>1611</v>
      </c>
      <c r="W2272" t="s">
        <v>872</v>
      </c>
      <c r="X2272">
        <v>0.91</v>
      </c>
      <c r="Y2272" t="s">
        <v>297</v>
      </c>
      <c r="Z2272" t="s">
        <v>4952</v>
      </c>
      <c r="AA2272" t="s">
        <v>6828</v>
      </c>
      <c r="AB2272">
        <v>2.29</v>
      </c>
      <c r="AC2272" t="s">
        <v>1330</v>
      </c>
      <c r="AD2272">
        <v>41.83</v>
      </c>
      <c r="AE2272" t="s">
        <v>203</v>
      </c>
      <c r="AF2272">
        <v>1.9</v>
      </c>
      <c r="AG2272">
        <v>0</v>
      </c>
      <c r="AH2272">
        <v>0</v>
      </c>
      <c r="AI2272" s="4">
        <v>42604</v>
      </c>
    </row>
    <row r="2273" spans="1:35">
      <c r="A2273">
        <v>2272</v>
      </c>
      <c r="B2273" t="str">
        <f>"600728"</f>
        <v>600728</v>
      </c>
      <c r="C2273" t="s">
        <v>11050</v>
      </c>
      <c r="D2273" s="4">
        <v>43190</v>
      </c>
      <c r="E2273" t="s">
        <v>1062</v>
      </c>
      <c r="F2273" t="s">
        <v>176</v>
      </c>
      <c r="G2273" t="s">
        <v>6659</v>
      </c>
      <c r="H2273">
        <v>0.02</v>
      </c>
      <c r="I2273">
        <v>1.97</v>
      </c>
      <c r="J2273">
        <v>0.91</v>
      </c>
      <c r="K2273" t="s">
        <v>2089</v>
      </c>
      <c r="L2273">
        <v>8.33</v>
      </c>
      <c r="M2273" t="s">
        <v>1737</v>
      </c>
      <c r="N2273" t="s">
        <v>4949</v>
      </c>
      <c r="O2273" t="s">
        <v>5159</v>
      </c>
      <c r="P2273" t="s">
        <v>3891</v>
      </c>
      <c r="Q2273">
        <v>128.38</v>
      </c>
      <c r="R2273" t="s">
        <v>337</v>
      </c>
      <c r="S2273">
        <v>7.0000000000000007E-2</v>
      </c>
      <c r="T2273">
        <v>14.83</v>
      </c>
      <c r="U2273" t="s">
        <v>8005</v>
      </c>
      <c r="V2273" t="s">
        <v>740</v>
      </c>
      <c r="W2273" t="s">
        <v>11051</v>
      </c>
      <c r="X2273">
        <v>0.91</v>
      </c>
      <c r="Y2273" t="s">
        <v>370</v>
      </c>
      <c r="Z2273" t="s">
        <v>2542</v>
      </c>
      <c r="AA2273" t="s">
        <v>3659</v>
      </c>
      <c r="AB2273">
        <v>3.49</v>
      </c>
      <c r="AC2273" t="s">
        <v>249</v>
      </c>
      <c r="AD2273">
        <v>55.04</v>
      </c>
      <c r="AE2273" t="s">
        <v>161</v>
      </c>
      <c r="AF2273">
        <v>0.89</v>
      </c>
      <c r="AG2273">
        <v>0</v>
      </c>
      <c r="AH2273">
        <v>0</v>
      </c>
      <c r="AI2273" s="4">
        <v>35262</v>
      </c>
    </row>
    <row r="2274" spans="1:35">
      <c r="A2274">
        <v>2273</v>
      </c>
      <c r="B2274" t="str">
        <f>"600468"</f>
        <v>600468</v>
      </c>
      <c r="C2274" t="s">
        <v>11052</v>
      </c>
      <c r="D2274" s="4">
        <v>43190</v>
      </c>
      <c r="E2274" t="s">
        <v>1644</v>
      </c>
      <c r="F2274" t="s">
        <v>2908</v>
      </c>
      <c r="G2274" t="s">
        <v>5638</v>
      </c>
      <c r="H2274">
        <v>0.02</v>
      </c>
      <c r="I2274">
        <v>2.2200000000000002</v>
      </c>
      <c r="J2274">
        <v>0.91</v>
      </c>
      <c r="K2274" t="s">
        <v>121</v>
      </c>
      <c r="L2274">
        <v>17.14</v>
      </c>
      <c r="M2274" t="s">
        <v>5357</v>
      </c>
      <c r="N2274" t="s">
        <v>5450</v>
      </c>
      <c r="O2274" t="s">
        <v>9918</v>
      </c>
      <c r="P2274" t="s">
        <v>1683</v>
      </c>
      <c r="Q2274">
        <v>1.86</v>
      </c>
      <c r="R2274" t="s">
        <v>985</v>
      </c>
      <c r="S2274">
        <v>0.25</v>
      </c>
      <c r="T2274">
        <v>19.8</v>
      </c>
      <c r="U2274" t="s">
        <v>1700</v>
      </c>
      <c r="V2274" t="s">
        <v>275</v>
      </c>
      <c r="W2274" t="s">
        <v>3482</v>
      </c>
      <c r="X2274">
        <v>0.91</v>
      </c>
      <c r="Y2274" t="s">
        <v>909</v>
      </c>
      <c r="Z2274" t="s">
        <v>776</v>
      </c>
      <c r="AA2274" t="s">
        <v>8245</v>
      </c>
      <c r="AB2274">
        <v>2.4700000000000002</v>
      </c>
      <c r="AC2274" t="s">
        <v>1101</v>
      </c>
      <c r="AD2274">
        <v>65.62</v>
      </c>
      <c r="AE2274" t="s">
        <v>632</v>
      </c>
      <c r="AF2274">
        <v>0.93</v>
      </c>
      <c r="AG2274">
        <v>0</v>
      </c>
      <c r="AH2274">
        <v>0</v>
      </c>
      <c r="AI2274" s="4">
        <v>37057</v>
      </c>
    </row>
    <row r="2275" spans="1:35">
      <c r="A2275">
        <v>2274</v>
      </c>
      <c r="B2275" t="str">
        <f>"600219"</f>
        <v>600219</v>
      </c>
      <c r="C2275" t="s">
        <v>11053</v>
      </c>
      <c r="D2275" s="4">
        <v>43190</v>
      </c>
      <c r="E2275" t="s">
        <v>9103</v>
      </c>
      <c r="F2275" t="s">
        <v>6205</v>
      </c>
      <c r="G2275" t="s">
        <v>2738</v>
      </c>
      <c r="H2275">
        <v>0.03</v>
      </c>
      <c r="I2275">
        <v>3.5</v>
      </c>
      <c r="J2275">
        <v>0.91</v>
      </c>
      <c r="K2275" t="s">
        <v>1660</v>
      </c>
      <c r="L2275">
        <v>31.63</v>
      </c>
      <c r="M2275" t="s">
        <v>1040</v>
      </c>
      <c r="N2275" t="s">
        <v>2434</v>
      </c>
      <c r="O2275" t="s">
        <v>662</v>
      </c>
      <c r="P2275" t="s">
        <v>2132</v>
      </c>
      <c r="Q2275">
        <v>3.81</v>
      </c>
      <c r="R2275" t="s">
        <v>557</v>
      </c>
      <c r="S2275">
        <v>0.82</v>
      </c>
      <c r="T2275">
        <v>19.149999999999999</v>
      </c>
      <c r="U2275" t="s">
        <v>11054</v>
      </c>
      <c r="V2275" t="s">
        <v>788</v>
      </c>
      <c r="W2275" t="s">
        <v>4700</v>
      </c>
      <c r="X2275">
        <v>0.91</v>
      </c>
      <c r="Y2275" t="s">
        <v>558</v>
      </c>
      <c r="Z2275" t="s">
        <v>3262</v>
      </c>
      <c r="AA2275" t="s">
        <v>1698</v>
      </c>
      <c r="AB2275">
        <v>0.8</v>
      </c>
      <c r="AC2275" t="s">
        <v>560</v>
      </c>
      <c r="AD2275">
        <v>71.63</v>
      </c>
      <c r="AE2275" t="s">
        <v>1453</v>
      </c>
      <c r="AF2275">
        <v>1.59</v>
      </c>
      <c r="AG2275">
        <v>0</v>
      </c>
      <c r="AH2275">
        <v>0</v>
      </c>
      <c r="AI2275" s="4">
        <v>36517</v>
      </c>
    </row>
    <row r="2276" spans="1:35">
      <c r="A2276">
        <v>2275</v>
      </c>
      <c r="B2276" t="str">
        <f>"300539"</f>
        <v>300539</v>
      </c>
      <c r="C2276" t="s">
        <v>11055</v>
      </c>
      <c r="D2276" s="4">
        <v>43190</v>
      </c>
      <c r="E2276" t="s">
        <v>193</v>
      </c>
      <c r="F2276" t="s">
        <v>5923</v>
      </c>
      <c r="G2276">
        <v>4998</v>
      </c>
      <c r="H2276">
        <v>0.02</v>
      </c>
      <c r="I2276">
        <v>1.79</v>
      </c>
      <c r="J2276">
        <v>0.91</v>
      </c>
      <c r="K2276" t="s">
        <v>804</v>
      </c>
      <c r="L2276">
        <v>10.56</v>
      </c>
      <c r="M2276" t="s">
        <v>11056</v>
      </c>
      <c r="N2276">
        <v>0</v>
      </c>
      <c r="O2276" t="s">
        <v>11056</v>
      </c>
      <c r="P2276" t="s">
        <v>2970</v>
      </c>
      <c r="Q2276">
        <v>-65.87</v>
      </c>
      <c r="R2276" t="s">
        <v>1724</v>
      </c>
      <c r="S2276">
        <v>0.66</v>
      </c>
      <c r="T2276">
        <v>22.74</v>
      </c>
      <c r="U2276" t="s">
        <v>1867</v>
      </c>
      <c r="V2276" t="s">
        <v>143</v>
      </c>
      <c r="W2276" t="s">
        <v>66</v>
      </c>
      <c r="X2276">
        <v>0.91</v>
      </c>
      <c r="Y2276" t="s">
        <v>499</v>
      </c>
      <c r="Z2276" t="s">
        <v>681</v>
      </c>
      <c r="AA2276" t="s">
        <v>11057</v>
      </c>
      <c r="AB2276">
        <v>4.72</v>
      </c>
      <c r="AC2276" t="s">
        <v>3259</v>
      </c>
      <c r="AD2276">
        <v>52.9</v>
      </c>
      <c r="AE2276" t="s">
        <v>10876</v>
      </c>
      <c r="AF2276">
        <v>0.06</v>
      </c>
      <c r="AG2276">
        <v>0</v>
      </c>
      <c r="AH2276">
        <v>0</v>
      </c>
      <c r="AI2276" s="4">
        <v>42612</v>
      </c>
    </row>
    <row r="2277" spans="1:35">
      <c r="A2277">
        <v>2276</v>
      </c>
      <c r="B2277" t="str">
        <f>"300117"</f>
        <v>300117</v>
      </c>
      <c r="C2277" t="s">
        <v>11058</v>
      </c>
      <c r="D2277" s="4">
        <v>43190</v>
      </c>
      <c r="E2277" t="s">
        <v>889</v>
      </c>
      <c r="F2277" t="s">
        <v>2569</v>
      </c>
      <c r="G2277" t="s">
        <v>5615</v>
      </c>
      <c r="H2277">
        <v>0.02</v>
      </c>
      <c r="I2277">
        <v>2.0699999999999998</v>
      </c>
      <c r="J2277">
        <v>0.91</v>
      </c>
      <c r="K2277" t="s">
        <v>1565</v>
      </c>
      <c r="L2277">
        <v>54.06</v>
      </c>
      <c r="M2277" t="s">
        <v>8469</v>
      </c>
      <c r="N2277">
        <v>0</v>
      </c>
      <c r="O2277" t="s">
        <v>5493</v>
      </c>
      <c r="P2277" t="s">
        <v>10505</v>
      </c>
      <c r="Q2277">
        <v>23.57</v>
      </c>
      <c r="R2277" t="s">
        <v>106</v>
      </c>
      <c r="S2277">
        <v>0.79</v>
      </c>
      <c r="T2277">
        <v>15.31</v>
      </c>
      <c r="U2277" t="s">
        <v>3701</v>
      </c>
      <c r="V2277" t="s">
        <v>573</v>
      </c>
      <c r="W2277" t="s">
        <v>4962</v>
      </c>
      <c r="X2277">
        <v>0.91</v>
      </c>
      <c r="Y2277" t="s">
        <v>1669</v>
      </c>
      <c r="Z2277" t="s">
        <v>1211</v>
      </c>
      <c r="AA2277" t="s">
        <v>1346</v>
      </c>
      <c r="AB2277">
        <v>1.77</v>
      </c>
      <c r="AC2277" t="s">
        <v>141</v>
      </c>
      <c r="AD2277">
        <v>25.5</v>
      </c>
      <c r="AE2277" t="s">
        <v>3111</v>
      </c>
      <c r="AF2277">
        <v>0.21</v>
      </c>
      <c r="AG2277">
        <v>0</v>
      </c>
      <c r="AH2277">
        <v>0</v>
      </c>
      <c r="AI2277" s="4">
        <v>40423</v>
      </c>
    </row>
    <row r="2278" spans="1:35">
      <c r="A2278">
        <v>2277</v>
      </c>
      <c r="B2278" t="str">
        <f>"002692"</f>
        <v>002692</v>
      </c>
      <c r="C2278" t="s">
        <v>11059</v>
      </c>
      <c r="D2278" s="4">
        <v>43190</v>
      </c>
      <c r="E2278" t="s">
        <v>2061</v>
      </c>
      <c r="F2278" t="s">
        <v>1502</v>
      </c>
      <c r="G2278" t="s">
        <v>11060</v>
      </c>
      <c r="H2278">
        <v>0.02</v>
      </c>
      <c r="I2278">
        <v>2.1</v>
      </c>
      <c r="J2278">
        <v>0.91</v>
      </c>
      <c r="K2278" t="s">
        <v>2304</v>
      </c>
      <c r="L2278">
        <v>16.46</v>
      </c>
      <c r="M2278" t="s">
        <v>8619</v>
      </c>
      <c r="N2278">
        <v>494</v>
      </c>
      <c r="O2278" t="s">
        <v>7720</v>
      </c>
      <c r="P2278" t="s">
        <v>11061</v>
      </c>
      <c r="Q2278">
        <v>-10.39</v>
      </c>
      <c r="R2278" t="s">
        <v>1685</v>
      </c>
      <c r="S2278">
        <v>0.78</v>
      </c>
      <c r="T2278">
        <v>17.82</v>
      </c>
      <c r="U2278" t="s">
        <v>2339</v>
      </c>
      <c r="V2278" t="s">
        <v>2542</v>
      </c>
      <c r="W2278" t="s">
        <v>4613</v>
      </c>
      <c r="X2278">
        <v>0.91</v>
      </c>
      <c r="Y2278" t="s">
        <v>1190</v>
      </c>
      <c r="Z2278" t="s">
        <v>1190</v>
      </c>
      <c r="AA2278" t="s">
        <v>11062</v>
      </c>
      <c r="AB2278">
        <v>2.33</v>
      </c>
      <c r="AC2278" t="s">
        <v>547</v>
      </c>
      <c r="AD2278">
        <v>47.51</v>
      </c>
      <c r="AE2278" t="s">
        <v>609</v>
      </c>
      <c r="AF2278">
        <v>0.21</v>
      </c>
      <c r="AG2278">
        <v>0</v>
      </c>
      <c r="AH2278">
        <v>0</v>
      </c>
      <c r="AI2278" s="4">
        <v>41129</v>
      </c>
    </row>
    <row r="2279" spans="1:35">
      <c r="A2279">
        <v>2278</v>
      </c>
      <c r="B2279" t="str">
        <f>"002492"</f>
        <v>002492</v>
      </c>
      <c r="C2279" t="s">
        <v>11063</v>
      </c>
      <c r="D2279" s="4">
        <v>43190</v>
      </c>
      <c r="E2279" t="s">
        <v>338</v>
      </c>
      <c r="F2279" t="s">
        <v>133</v>
      </c>
      <c r="G2279" t="s">
        <v>4495</v>
      </c>
      <c r="H2279">
        <v>0.03</v>
      </c>
      <c r="I2279">
        <v>2.96</v>
      </c>
      <c r="J2279">
        <v>0.91</v>
      </c>
      <c r="K2279" t="s">
        <v>11064</v>
      </c>
      <c r="L2279">
        <v>6.87</v>
      </c>
      <c r="M2279" t="s">
        <v>11065</v>
      </c>
      <c r="N2279" t="s">
        <v>11066</v>
      </c>
      <c r="O2279" t="s">
        <v>8351</v>
      </c>
      <c r="P2279" t="s">
        <v>6253</v>
      </c>
      <c r="Q2279">
        <v>-4.4000000000000004</v>
      </c>
      <c r="R2279" t="s">
        <v>1378</v>
      </c>
      <c r="S2279">
        <v>0.81</v>
      </c>
      <c r="T2279">
        <v>39.979999999999997</v>
      </c>
      <c r="U2279" t="s">
        <v>833</v>
      </c>
      <c r="V2279" t="s">
        <v>1563</v>
      </c>
      <c r="W2279" t="s">
        <v>1979</v>
      </c>
      <c r="X2279">
        <v>0.91</v>
      </c>
      <c r="Y2279" t="s">
        <v>1791</v>
      </c>
      <c r="Z2279" t="s">
        <v>1624</v>
      </c>
      <c r="AA2279" t="s">
        <v>71</v>
      </c>
      <c r="AB2279">
        <v>2.25</v>
      </c>
      <c r="AC2279" t="s">
        <v>982</v>
      </c>
      <c r="AD2279">
        <v>79.260000000000005</v>
      </c>
      <c r="AE2279" t="s">
        <v>324</v>
      </c>
      <c r="AF2279">
        <v>1.04</v>
      </c>
      <c r="AG2279">
        <v>0</v>
      </c>
      <c r="AH2279">
        <v>0</v>
      </c>
      <c r="AI2279" s="4">
        <v>40484</v>
      </c>
    </row>
    <row r="2280" spans="1:35">
      <c r="A2280">
        <v>2279</v>
      </c>
      <c r="B2280" t="str">
        <f>"002427"</f>
        <v>002427</v>
      </c>
      <c r="C2280" t="s">
        <v>11067</v>
      </c>
      <c r="D2280" s="4">
        <v>43190</v>
      </c>
      <c r="E2280" t="s">
        <v>133</v>
      </c>
      <c r="F2280" t="s">
        <v>479</v>
      </c>
      <c r="G2280" t="s">
        <v>1577</v>
      </c>
      <c r="H2280">
        <v>0.04</v>
      </c>
      <c r="I2280">
        <v>4.57</v>
      </c>
      <c r="J2280">
        <v>0.91</v>
      </c>
      <c r="K2280" t="s">
        <v>3643</v>
      </c>
      <c r="L2280">
        <v>-0.56000000000000005</v>
      </c>
      <c r="M2280" t="s">
        <v>9885</v>
      </c>
      <c r="N2280" t="s">
        <v>11068</v>
      </c>
      <c r="O2280" t="s">
        <v>8779</v>
      </c>
      <c r="P2280" t="s">
        <v>11069</v>
      </c>
      <c r="Q2280">
        <v>-60.3</v>
      </c>
      <c r="R2280" t="s">
        <v>2149</v>
      </c>
      <c r="S2280">
        <v>1.84</v>
      </c>
      <c r="T2280">
        <v>24.87</v>
      </c>
      <c r="U2280" t="s">
        <v>2640</v>
      </c>
      <c r="V2280" t="s">
        <v>2642</v>
      </c>
      <c r="W2280" t="s">
        <v>187</v>
      </c>
      <c r="X2280">
        <v>0.91</v>
      </c>
      <c r="Y2280" t="s">
        <v>3982</v>
      </c>
      <c r="Z2280" t="s">
        <v>2917</v>
      </c>
      <c r="AA2280" t="s">
        <v>80</v>
      </c>
      <c r="AB2280">
        <v>1.48</v>
      </c>
      <c r="AC2280" t="s">
        <v>754</v>
      </c>
      <c r="AD2280">
        <v>23.49</v>
      </c>
      <c r="AE2280" t="s">
        <v>456</v>
      </c>
      <c r="AF2280">
        <v>1.49</v>
      </c>
      <c r="AG2280">
        <v>0</v>
      </c>
      <c r="AH2280">
        <v>0</v>
      </c>
      <c r="AI2280" s="4">
        <v>40337</v>
      </c>
    </row>
    <row r="2281" spans="1:35">
      <c r="A2281">
        <v>2280</v>
      </c>
      <c r="B2281" t="str">
        <f>"002011"</f>
        <v>002011</v>
      </c>
      <c r="C2281" t="s">
        <v>11070</v>
      </c>
      <c r="D2281" s="4">
        <v>43190</v>
      </c>
      <c r="E2281" t="s">
        <v>3745</v>
      </c>
      <c r="F2281" t="s">
        <v>5930</v>
      </c>
      <c r="G2281" t="s">
        <v>3064</v>
      </c>
      <c r="H2281">
        <v>0.04</v>
      </c>
      <c r="I2281">
        <v>4.8099999999999996</v>
      </c>
      <c r="J2281">
        <v>0.91</v>
      </c>
      <c r="K2281" t="s">
        <v>565</v>
      </c>
      <c r="L2281">
        <v>31.99</v>
      </c>
      <c r="M2281" t="s">
        <v>5756</v>
      </c>
      <c r="N2281" t="s">
        <v>11071</v>
      </c>
      <c r="O2281" t="s">
        <v>5416</v>
      </c>
      <c r="P2281" t="s">
        <v>3582</v>
      </c>
      <c r="Q2281">
        <v>3.52</v>
      </c>
      <c r="R2281" t="s">
        <v>405</v>
      </c>
      <c r="S2281">
        <v>1.34</v>
      </c>
      <c r="T2281">
        <v>14.83</v>
      </c>
      <c r="U2281" t="s">
        <v>463</v>
      </c>
      <c r="V2281" t="s">
        <v>400</v>
      </c>
      <c r="W2281" t="s">
        <v>1052</v>
      </c>
      <c r="X2281">
        <v>0.91</v>
      </c>
      <c r="Y2281" t="s">
        <v>2706</v>
      </c>
      <c r="Z2281" t="s">
        <v>5695</v>
      </c>
      <c r="AA2281" t="s">
        <v>80</v>
      </c>
      <c r="AB2281">
        <v>1.33</v>
      </c>
      <c r="AC2281" t="s">
        <v>3016</v>
      </c>
      <c r="AD2281">
        <v>32.659999999999997</v>
      </c>
      <c r="AE2281" t="s">
        <v>1693</v>
      </c>
      <c r="AF2281">
        <v>2.31</v>
      </c>
      <c r="AG2281">
        <v>0</v>
      </c>
      <c r="AH2281">
        <v>0</v>
      </c>
      <c r="AI2281" s="4">
        <v>38173</v>
      </c>
    </row>
    <row r="2282" spans="1:35">
      <c r="A2282">
        <v>2281</v>
      </c>
      <c r="B2282" t="str">
        <f>"300189"</f>
        <v>300189</v>
      </c>
      <c r="C2282" t="s">
        <v>11072</v>
      </c>
      <c r="D2282" s="4">
        <v>43190</v>
      </c>
      <c r="E2282" t="s">
        <v>1496</v>
      </c>
      <c r="F2282" t="s">
        <v>1780</v>
      </c>
      <c r="G2282" t="s">
        <v>2506</v>
      </c>
      <c r="H2282">
        <v>0.01</v>
      </c>
      <c r="I2282">
        <v>1.39</v>
      </c>
      <c r="J2282">
        <v>0.91</v>
      </c>
      <c r="K2282" t="s">
        <v>6146</v>
      </c>
      <c r="L2282">
        <v>-86.23</v>
      </c>
      <c r="M2282" t="s">
        <v>11073</v>
      </c>
      <c r="N2282" t="s">
        <v>11074</v>
      </c>
      <c r="O2282" t="s">
        <v>11073</v>
      </c>
      <c r="P2282" t="s">
        <v>11075</v>
      </c>
      <c r="Q2282">
        <v>148.63</v>
      </c>
      <c r="R2282" t="s">
        <v>197</v>
      </c>
      <c r="S2282">
        <v>0.1</v>
      </c>
      <c r="T2282">
        <v>28.64</v>
      </c>
      <c r="U2282" t="s">
        <v>1294</v>
      </c>
      <c r="V2282" t="s">
        <v>547</v>
      </c>
      <c r="W2282" t="s">
        <v>2185</v>
      </c>
      <c r="X2282">
        <v>0.91</v>
      </c>
      <c r="Y2282" t="s">
        <v>3027</v>
      </c>
      <c r="Z2282" t="s">
        <v>2041</v>
      </c>
      <c r="AA2282" t="s">
        <v>11076</v>
      </c>
      <c r="AB2282">
        <v>2.62</v>
      </c>
      <c r="AC2282" t="s">
        <v>162</v>
      </c>
      <c r="AD2282">
        <v>57.46</v>
      </c>
      <c r="AE2282" t="s">
        <v>478</v>
      </c>
      <c r="AF2282">
        <v>0.28000000000000003</v>
      </c>
      <c r="AG2282">
        <v>0</v>
      </c>
      <c r="AH2282">
        <v>0</v>
      </c>
      <c r="AI2282" s="4">
        <v>40618</v>
      </c>
    </row>
    <row r="2283" spans="1:35">
      <c r="A2283">
        <v>2282</v>
      </c>
      <c r="B2283" t="str">
        <f>"601179"</f>
        <v>601179</v>
      </c>
      <c r="C2283" t="s">
        <v>11077</v>
      </c>
      <c r="D2283" s="4">
        <v>43190</v>
      </c>
      <c r="E2283" t="s">
        <v>2860</v>
      </c>
      <c r="F2283" t="s">
        <v>2860</v>
      </c>
      <c r="G2283" t="s">
        <v>11078</v>
      </c>
      <c r="H2283">
        <v>0.03</v>
      </c>
      <c r="I2283">
        <v>3.76</v>
      </c>
      <c r="J2283">
        <v>0.9</v>
      </c>
      <c r="K2283" t="s">
        <v>1687</v>
      </c>
      <c r="L2283">
        <v>-2.91</v>
      </c>
      <c r="M2283" t="s">
        <v>1264</v>
      </c>
      <c r="N2283" t="s">
        <v>9853</v>
      </c>
      <c r="O2283" t="s">
        <v>148</v>
      </c>
      <c r="P2283" t="s">
        <v>284</v>
      </c>
      <c r="Q2283">
        <v>-42.35</v>
      </c>
      <c r="R2283" t="s">
        <v>826</v>
      </c>
      <c r="S2283">
        <v>0.41</v>
      </c>
      <c r="T2283">
        <v>30.18</v>
      </c>
      <c r="U2283" t="s">
        <v>4274</v>
      </c>
      <c r="V2283" t="s">
        <v>1099</v>
      </c>
      <c r="W2283" t="s">
        <v>3749</v>
      </c>
      <c r="X2283">
        <v>0.9</v>
      </c>
      <c r="Y2283" t="s">
        <v>815</v>
      </c>
      <c r="Z2283" t="s">
        <v>716</v>
      </c>
      <c r="AA2283" t="s">
        <v>1367</v>
      </c>
      <c r="AB2283">
        <v>0.92</v>
      </c>
      <c r="AC2283" t="s">
        <v>462</v>
      </c>
      <c r="AD2283">
        <v>60.28</v>
      </c>
      <c r="AE2283" t="s">
        <v>590</v>
      </c>
      <c r="AF2283">
        <v>2.2599999999999998</v>
      </c>
      <c r="AG2283">
        <v>0</v>
      </c>
      <c r="AH2283">
        <v>0</v>
      </c>
      <c r="AI2283" s="4">
        <v>40206</v>
      </c>
    </row>
    <row r="2284" spans="1:35">
      <c r="A2284">
        <v>2283</v>
      </c>
      <c r="B2284" t="str">
        <f>"603996"</f>
        <v>603996</v>
      </c>
      <c r="C2284" t="s">
        <v>11079</v>
      </c>
      <c r="D2284" s="4">
        <v>43190</v>
      </c>
      <c r="E2284" t="s">
        <v>120</v>
      </c>
      <c r="F2284" t="s">
        <v>197</v>
      </c>
      <c r="G2284">
        <v>4848</v>
      </c>
      <c r="H2284">
        <v>0.04</v>
      </c>
      <c r="I2284">
        <v>4.9800000000000004</v>
      </c>
      <c r="J2284">
        <v>0.9</v>
      </c>
      <c r="K2284" t="s">
        <v>79</v>
      </c>
      <c r="L2284">
        <v>143.66</v>
      </c>
      <c r="M2284" t="s">
        <v>2369</v>
      </c>
      <c r="N2284">
        <v>0</v>
      </c>
      <c r="O2284" t="s">
        <v>6791</v>
      </c>
      <c r="P2284" t="s">
        <v>5762</v>
      </c>
      <c r="Q2284">
        <v>135.06</v>
      </c>
      <c r="R2284" t="s">
        <v>872</v>
      </c>
      <c r="S2284">
        <v>1.86</v>
      </c>
      <c r="T2284">
        <v>7.19</v>
      </c>
      <c r="U2284" t="s">
        <v>2043</v>
      </c>
      <c r="V2284" t="s">
        <v>3016</v>
      </c>
      <c r="W2284" t="s">
        <v>1483</v>
      </c>
      <c r="X2284">
        <v>0.9</v>
      </c>
      <c r="Y2284" t="s">
        <v>816</v>
      </c>
      <c r="Z2284" t="s">
        <v>816</v>
      </c>
      <c r="AA2284">
        <v>0</v>
      </c>
      <c r="AB2284">
        <v>2.91</v>
      </c>
      <c r="AC2284" t="s">
        <v>547</v>
      </c>
      <c r="AD2284">
        <v>29.91</v>
      </c>
      <c r="AE2284" t="s">
        <v>633</v>
      </c>
      <c r="AF2284">
        <v>1.86</v>
      </c>
      <c r="AG2284">
        <v>0</v>
      </c>
      <c r="AH2284">
        <v>0</v>
      </c>
      <c r="AI2284" s="4">
        <v>42360</v>
      </c>
    </row>
    <row r="2285" spans="1:35">
      <c r="A2285">
        <v>2284</v>
      </c>
      <c r="B2285" t="str">
        <f>"603038"</f>
        <v>603038</v>
      </c>
      <c r="C2285" t="s">
        <v>11080</v>
      </c>
      <c r="D2285" s="4">
        <v>43190</v>
      </c>
      <c r="E2285" t="s">
        <v>11081</v>
      </c>
      <c r="F2285" t="s">
        <v>11082</v>
      </c>
      <c r="G2285">
        <v>3444</v>
      </c>
      <c r="H2285">
        <v>0.09</v>
      </c>
      <c r="I2285">
        <v>9.89</v>
      </c>
      <c r="J2285">
        <v>0.9</v>
      </c>
      <c r="K2285" t="s">
        <v>2360</v>
      </c>
      <c r="L2285">
        <v>15.5</v>
      </c>
      <c r="M2285" t="s">
        <v>3043</v>
      </c>
      <c r="N2285" t="s">
        <v>6187</v>
      </c>
      <c r="O2285" t="s">
        <v>3043</v>
      </c>
      <c r="P2285" t="s">
        <v>6208</v>
      </c>
      <c r="Q2285">
        <v>10.68</v>
      </c>
      <c r="R2285" t="s">
        <v>944</v>
      </c>
      <c r="S2285">
        <v>5.27</v>
      </c>
      <c r="T2285">
        <v>27.52</v>
      </c>
      <c r="U2285" t="s">
        <v>147</v>
      </c>
      <c r="V2285" t="s">
        <v>5080</v>
      </c>
      <c r="W2285" t="s">
        <v>1180</v>
      </c>
      <c r="X2285">
        <v>0.9</v>
      </c>
      <c r="Y2285" t="s">
        <v>1457</v>
      </c>
      <c r="Z2285" t="s">
        <v>993</v>
      </c>
      <c r="AA2285" t="s">
        <v>3541</v>
      </c>
      <c r="AB2285">
        <v>2.09</v>
      </c>
      <c r="AC2285" t="s">
        <v>513</v>
      </c>
      <c r="AD2285">
        <v>84.64</v>
      </c>
      <c r="AE2285" t="s">
        <v>597</v>
      </c>
      <c r="AF2285">
        <v>3.41</v>
      </c>
      <c r="AG2285">
        <v>0</v>
      </c>
      <c r="AH2285">
        <v>0</v>
      </c>
      <c r="AI2285" s="4">
        <v>42751</v>
      </c>
    </row>
    <row r="2286" spans="1:35">
      <c r="A2286">
        <v>2285</v>
      </c>
      <c r="B2286" t="str">
        <f>"601919"</f>
        <v>601919</v>
      </c>
      <c r="C2286" t="s">
        <v>11083</v>
      </c>
      <c r="D2286" s="4">
        <v>43190</v>
      </c>
      <c r="E2286" t="s">
        <v>716</v>
      </c>
      <c r="F2286" t="s">
        <v>813</v>
      </c>
      <c r="G2286">
        <v>0</v>
      </c>
      <c r="H2286">
        <v>0.02</v>
      </c>
      <c r="I2286">
        <v>1.97</v>
      </c>
      <c r="J2286">
        <v>0.9</v>
      </c>
      <c r="K2286" t="s">
        <v>2799</v>
      </c>
      <c r="L2286">
        <v>9.06</v>
      </c>
      <c r="M2286" t="s">
        <v>417</v>
      </c>
      <c r="N2286" t="s">
        <v>1706</v>
      </c>
      <c r="O2286" t="s">
        <v>504</v>
      </c>
      <c r="P2286" t="s">
        <v>1288</v>
      </c>
      <c r="Q2286">
        <v>-33.04</v>
      </c>
      <c r="R2286" t="s">
        <v>11084</v>
      </c>
      <c r="S2286">
        <v>-1.6</v>
      </c>
      <c r="T2286">
        <v>7.89</v>
      </c>
      <c r="U2286" t="s">
        <v>11085</v>
      </c>
      <c r="V2286" t="s">
        <v>3981</v>
      </c>
      <c r="W2286" t="s">
        <v>11086</v>
      </c>
      <c r="X2286">
        <v>0.9</v>
      </c>
      <c r="Y2286" t="s">
        <v>11087</v>
      </c>
      <c r="Z2286" t="s">
        <v>11088</v>
      </c>
      <c r="AA2286" t="s">
        <v>3445</v>
      </c>
      <c r="AB2286">
        <v>2.81</v>
      </c>
      <c r="AC2286" t="s">
        <v>1495</v>
      </c>
      <c r="AD2286">
        <v>15.6</v>
      </c>
      <c r="AE2286" t="s">
        <v>435</v>
      </c>
      <c r="AF2286">
        <v>2.71</v>
      </c>
      <c r="AG2286">
        <v>0</v>
      </c>
      <c r="AH2286" t="s">
        <v>1504</v>
      </c>
      <c r="AI2286" s="4">
        <v>39259</v>
      </c>
    </row>
    <row r="2287" spans="1:35">
      <c r="A2287">
        <v>2286</v>
      </c>
      <c r="B2287" t="str">
        <f>"600973"</f>
        <v>600973</v>
      </c>
      <c r="C2287" t="s">
        <v>11089</v>
      </c>
      <c r="D2287" s="4">
        <v>43190</v>
      </c>
      <c r="E2287" t="s">
        <v>982</v>
      </c>
      <c r="F2287" t="s">
        <v>2593</v>
      </c>
      <c r="G2287" t="s">
        <v>1080</v>
      </c>
      <c r="H2287">
        <v>0.03</v>
      </c>
      <c r="I2287">
        <v>2.88</v>
      </c>
      <c r="J2287">
        <v>0.9</v>
      </c>
      <c r="K2287" t="s">
        <v>2243</v>
      </c>
      <c r="L2287">
        <v>96.66</v>
      </c>
      <c r="M2287" t="s">
        <v>11090</v>
      </c>
      <c r="N2287">
        <v>0</v>
      </c>
      <c r="O2287" t="s">
        <v>11091</v>
      </c>
      <c r="P2287" t="s">
        <v>11092</v>
      </c>
      <c r="Q2287">
        <v>8.7899999999999991</v>
      </c>
      <c r="R2287" t="s">
        <v>919</v>
      </c>
      <c r="S2287">
        <v>0.83</v>
      </c>
      <c r="T2287">
        <v>4.46</v>
      </c>
      <c r="U2287" t="s">
        <v>3446</v>
      </c>
      <c r="V2287" t="s">
        <v>410</v>
      </c>
      <c r="W2287" t="s">
        <v>238</v>
      </c>
      <c r="X2287">
        <v>0.9</v>
      </c>
      <c r="Y2287" t="s">
        <v>932</v>
      </c>
      <c r="Z2287" t="s">
        <v>1465</v>
      </c>
      <c r="AA2287" t="s">
        <v>2587</v>
      </c>
      <c r="AB2287">
        <v>1.26</v>
      </c>
      <c r="AC2287" t="s">
        <v>431</v>
      </c>
      <c r="AD2287">
        <v>20.96</v>
      </c>
      <c r="AE2287" t="s">
        <v>548</v>
      </c>
      <c r="AF2287">
        <v>1.01</v>
      </c>
      <c r="AG2287">
        <v>0</v>
      </c>
      <c r="AH2287">
        <v>0</v>
      </c>
      <c r="AI2287" s="4">
        <v>38201</v>
      </c>
    </row>
    <row r="2288" spans="1:35">
      <c r="A2288">
        <v>2287</v>
      </c>
      <c r="B2288" t="str">
        <f>"300534"</f>
        <v>300534</v>
      </c>
      <c r="C2288" t="s">
        <v>11093</v>
      </c>
      <c r="D2288" s="4">
        <v>43190</v>
      </c>
      <c r="E2288" t="s">
        <v>1791</v>
      </c>
      <c r="F2288" t="s">
        <v>37</v>
      </c>
      <c r="G2288">
        <v>7273</v>
      </c>
      <c r="H2288">
        <v>0.02</v>
      </c>
      <c r="I2288">
        <v>2.36</v>
      </c>
      <c r="J2288">
        <v>0.9</v>
      </c>
      <c r="K2288" t="s">
        <v>4775</v>
      </c>
      <c r="L2288">
        <v>0.04</v>
      </c>
      <c r="M2288" t="s">
        <v>11094</v>
      </c>
      <c r="N2288">
        <v>0</v>
      </c>
      <c r="O2288" t="s">
        <v>11094</v>
      </c>
      <c r="P2288" t="s">
        <v>11095</v>
      </c>
      <c r="Q2288">
        <v>-16.12</v>
      </c>
      <c r="R2288" t="s">
        <v>382</v>
      </c>
      <c r="S2288">
        <v>0.51</v>
      </c>
      <c r="T2288">
        <v>38.229999999999997</v>
      </c>
      <c r="U2288" t="s">
        <v>1041</v>
      </c>
      <c r="V2288" t="s">
        <v>1977</v>
      </c>
      <c r="W2288" t="s">
        <v>1359</v>
      </c>
      <c r="X2288">
        <v>0.9</v>
      </c>
      <c r="Y2288" t="s">
        <v>11096</v>
      </c>
      <c r="Z2288" t="s">
        <v>11097</v>
      </c>
      <c r="AA2288" t="s">
        <v>4845</v>
      </c>
      <c r="AB2288">
        <v>3.2</v>
      </c>
      <c r="AC2288" t="s">
        <v>615</v>
      </c>
      <c r="AD2288">
        <v>91.25</v>
      </c>
      <c r="AE2288" t="s">
        <v>4614</v>
      </c>
      <c r="AF2288">
        <v>0.76</v>
      </c>
      <c r="AG2288">
        <v>0</v>
      </c>
      <c r="AH2288">
        <v>0</v>
      </c>
      <c r="AI2288" s="4">
        <v>42626</v>
      </c>
    </row>
    <row r="2289" spans="1:35">
      <c r="A2289">
        <v>2288</v>
      </c>
      <c r="B2289" t="str">
        <f>"300158"</f>
        <v>300158</v>
      </c>
      <c r="C2289" t="s">
        <v>11098</v>
      </c>
      <c r="D2289" s="4">
        <v>43190</v>
      </c>
      <c r="E2289" t="s">
        <v>919</v>
      </c>
      <c r="F2289" t="s">
        <v>179</v>
      </c>
      <c r="G2289" t="s">
        <v>4988</v>
      </c>
      <c r="H2289">
        <v>0.05</v>
      </c>
      <c r="I2289">
        <v>5.36</v>
      </c>
      <c r="J2289">
        <v>0.9</v>
      </c>
      <c r="K2289" t="s">
        <v>3769</v>
      </c>
      <c r="L2289">
        <v>7.6</v>
      </c>
      <c r="M2289" t="s">
        <v>11099</v>
      </c>
      <c r="N2289" t="s">
        <v>11100</v>
      </c>
      <c r="O2289" t="s">
        <v>6707</v>
      </c>
      <c r="P2289" t="s">
        <v>9221</v>
      </c>
      <c r="Q2289">
        <v>-11.83</v>
      </c>
      <c r="R2289" t="s">
        <v>487</v>
      </c>
      <c r="S2289">
        <v>0.64</v>
      </c>
      <c r="T2289">
        <v>64.41</v>
      </c>
      <c r="U2289" t="s">
        <v>2493</v>
      </c>
      <c r="V2289" t="s">
        <v>273</v>
      </c>
      <c r="W2289" t="s">
        <v>1496</v>
      </c>
      <c r="X2289">
        <v>0.9</v>
      </c>
      <c r="Y2289" t="s">
        <v>1101</v>
      </c>
      <c r="Z2289" t="s">
        <v>759</v>
      </c>
      <c r="AA2289" t="s">
        <v>1578</v>
      </c>
      <c r="AB2289">
        <v>0.92</v>
      </c>
      <c r="AC2289" t="s">
        <v>4015</v>
      </c>
      <c r="AD2289">
        <v>75.180000000000007</v>
      </c>
      <c r="AE2289" t="s">
        <v>524</v>
      </c>
      <c r="AF2289">
        <v>3.65</v>
      </c>
      <c r="AG2289">
        <v>0</v>
      </c>
      <c r="AH2289">
        <v>0</v>
      </c>
      <c r="AI2289" s="4">
        <v>40550</v>
      </c>
    </row>
    <row r="2290" spans="1:35">
      <c r="A2290">
        <v>2289</v>
      </c>
      <c r="B2290" t="str">
        <f>"002361"</f>
        <v>002361</v>
      </c>
      <c r="C2290" t="s">
        <v>11101</v>
      </c>
      <c r="D2290" s="4">
        <v>43190</v>
      </c>
      <c r="E2290" t="s">
        <v>102</v>
      </c>
      <c r="F2290" t="s">
        <v>1216</v>
      </c>
      <c r="G2290" t="s">
        <v>5650</v>
      </c>
      <c r="H2290">
        <v>0.02</v>
      </c>
      <c r="I2290">
        <v>2.21</v>
      </c>
      <c r="J2290">
        <v>0.9</v>
      </c>
      <c r="K2290" t="s">
        <v>1918</v>
      </c>
      <c r="L2290">
        <v>3.79</v>
      </c>
      <c r="M2290" t="s">
        <v>4481</v>
      </c>
      <c r="N2290" t="s">
        <v>11102</v>
      </c>
      <c r="O2290" t="s">
        <v>8417</v>
      </c>
      <c r="P2290" t="s">
        <v>8618</v>
      </c>
      <c r="Q2290">
        <v>-23.68</v>
      </c>
      <c r="R2290" t="s">
        <v>68</v>
      </c>
      <c r="S2290">
        <v>0.56999999999999995</v>
      </c>
      <c r="T2290">
        <v>15.98</v>
      </c>
      <c r="U2290" t="s">
        <v>1488</v>
      </c>
      <c r="V2290" t="s">
        <v>2568</v>
      </c>
      <c r="W2290" t="s">
        <v>2953</v>
      </c>
      <c r="X2290">
        <v>0.9</v>
      </c>
      <c r="Y2290" t="s">
        <v>1214</v>
      </c>
      <c r="Z2290" t="s">
        <v>101</v>
      </c>
      <c r="AA2290" t="s">
        <v>6493</v>
      </c>
      <c r="AB2290">
        <v>1.77</v>
      </c>
      <c r="AC2290" t="s">
        <v>275</v>
      </c>
      <c r="AD2290">
        <v>58.58</v>
      </c>
      <c r="AE2290" t="s">
        <v>347</v>
      </c>
      <c r="AF2290">
        <v>0.56000000000000005</v>
      </c>
      <c r="AG2290">
        <v>0</v>
      </c>
      <c r="AH2290">
        <v>0</v>
      </c>
      <c r="AI2290" s="4">
        <v>40240</v>
      </c>
    </row>
    <row r="2291" spans="1:35">
      <c r="A2291">
        <v>2290</v>
      </c>
      <c r="B2291" t="str">
        <f>"002288"</f>
        <v>002288</v>
      </c>
      <c r="C2291" t="s">
        <v>11103</v>
      </c>
      <c r="D2291" s="4">
        <v>43190</v>
      </c>
      <c r="E2291" t="s">
        <v>62</v>
      </c>
      <c r="F2291" t="s">
        <v>539</v>
      </c>
      <c r="G2291">
        <v>9479</v>
      </c>
      <c r="H2291">
        <v>0.02</v>
      </c>
      <c r="I2291">
        <v>1.85</v>
      </c>
      <c r="J2291">
        <v>0.9</v>
      </c>
      <c r="K2291" t="s">
        <v>1621</v>
      </c>
      <c r="L2291">
        <v>5.39</v>
      </c>
      <c r="M2291" t="s">
        <v>3519</v>
      </c>
      <c r="N2291">
        <v>0</v>
      </c>
      <c r="O2291" t="s">
        <v>1497</v>
      </c>
      <c r="P2291" t="s">
        <v>11009</v>
      </c>
      <c r="Q2291">
        <v>38.14</v>
      </c>
      <c r="R2291" t="s">
        <v>935</v>
      </c>
      <c r="S2291">
        <v>0.24</v>
      </c>
      <c r="T2291">
        <v>16.21</v>
      </c>
      <c r="U2291" t="s">
        <v>685</v>
      </c>
      <c r="V2291" t="s">
        <v>1082</v>
      </c>
      <c r="W2291" t="s">
        <v>3859</v>
      </c>
      <c r="X2291">
        <v>0.9</v>
      </c>
      <c r="Y2291" t="s">
        <v>835</v>
      </c>
      <c r="Z2291" t="s">
        <v>895</v>
      </c>
      <c r="AA2291" t="s">
        <v>2115</v>
      </c>
      <c r="AB2291">
        <v>2.5299999999999998</v>
      </c>
      <c r="AC2291" t="s">
        <v>304</v>
      </c>
      <c r="AD2291">
        <v>60.39</v>
      </c>
      <c r="AE2291" t="s">
        <v>2413</v>
      </c>
      <c r="AF2291">
        <v>0.59</v>
      </c>
      <c r="AG2291">
        <v>0</v>
      </c>
      <c r="AH2291">
        <v>0</v>
      </c>
      <c r="AI2291" s="4">
        <v>40059</v>
      </c>
    </row>
    <row r="2292" spans="1:35">
      <c r="A2292">
        <v>2291</v>
      </c>
      <c r="B2292" t="str">
        <f>"000709"</f>
        <v>000709</v>
      </c>
      <c r="C2292" t="s">
        <v>11104</v>
      </c>
      <c r="D2292" s="4">
        <v>43190</v>
      </c>
      <c r="E2292" t="s">
        <v>900</v>
      </c>
      <c r="F2292" t="s">
        <v>900</v>
      </c>
      <c r="G2292" t="s">
        <v>5183</v>
      </c>
      <c r="H2292">
        <v>0.04</v>
      </c>
      <c r="I2292">
        <v>4.3499999999999996</v>
      </c>
      <c r="J2292">
        <v>0.9</v>
      </c>
      <c r="K2292" t="s">
        <v>3500</v>
      </c>
      <c r="L2292">
        <v>-11.6</v>
      </c>
      <c r="M2292" t="s">
        <v>592</v>
      </c>
      <c r="N2292" t="s">
        <v>3470</v>
      </c>
      <c r="O2292" t="s">
        <v>1438</v>
      </c>
      <c r="P2292" t="s">
        <v>2751</v>
      </c>
      <c r="Q2292">
        <v>-42.57</v>
      </c>
      <c r="R2292" t="s">
        <v>232</v>
      </c>
      <c r="S2292">
        <v>0.95</v>
      </c>
      <c r="T2292">
        <v>11.53</v>
      </c>
      <c r="U2292" t="s">
        <v>11105</v>
      </c>
      <c r="V2292" t="s">
        <v>2345</v>
      </c>
      <c r="W2292" t="s">
        <v>11106</v>
      </c>
      <c r="X2292">
        <v>0.9</v>
      </c>
      <c r="Y2292" t="s">
        <v>11107</v>
      </c>
      <c r="Z2292" t="s">
        <v>11108</v>
      </c>
      <c r="AA2292" t="s">
        <v>2357</v>
      </c>
      <c r="AB2292">
        <v>0.68</v>
      </c>
      <c r="AC2292" t="s">
        <v>3561</v>
      </c>
      <c r="AD2292">
        <v>24.03</v>
      </c>
      <c r="AE2292" t="s">
        <v>4912</v>
      </c>
      <c r="AF2292">
        <v>2.19</v>
      </c>
      <c r="AG2292">
        <v>0</v>
      </c>
      <c r="AH2292">
        <v>0</v>
      </c>
      <c r="AI2292" s="4">
        <v>35536</v>
      </c>
    </row>
    <row r="2293" spans="1:35">
      <c r="A2293">
        <v>2292</v>
      </c>
      <c r="B2293" t="str">
        <f>"000632"</f>
        <v>000632</v>
      </c>
      <c r="C2293" t="s">
        <v>11109</v>
      </c>
      <c r="D2293" s="4">
        <v>43190</v>
      </c>
      <c r="E2293" t="s">
        <v>381</v>
      </c>
      <c r="F2293" t="s">
        <v>1659</v>
      </c>
      <c r="G2293" t="s">
        <v>1763</v>
      </c>
      <c r="H2293">
        <v>0.02</v>
      </c>
      <c r="I2293">
        <v>2.75</v>
      </c>
      <c r="J2293">
        <v>0.9</v>
      </c>
      <c r="K2293" t="s">
        <v>584</v>
      </c>
      <c r="L2293">
        <v>92.35</v>
      </c>
      <c r="M2293" t="s">
        <v>11110</v>
      </c>
      <c r="N2293" t="s">
        <v>11111</v>
      </c>
      <c r="O2293" t="s">
        <v>658</v>
      </c>
      <c r="P2293" t="s">
        <v>6861</v>
      </c>
      <c r="Q2293">
        <v>280.52</v>
      </c>
      <c r="R2293" t="s">
        <v>1457</v>
      </c>
      <c r="S2293">
        <v>0.37</v>
      </c>
      <c r="T2293">
        <v>12.93</v>
      </c>
      <c r="U2293" t="s">
        <v>5659</v>
      </c>
      <c r="V2293" t="s">
        <v>783</v>
      </c>
      <c r="W2293" t="s">
        <v>540</v>
      </c>
      <c r="X2293">
        <v>0.9</v>
      </c>
      <c r="Y2293" t="s">
        <v>2923</v>
      </c>
      <c r="Z2293" t="s">
        <v>588</v>
      </c>
      <c r="AA2293" t="s">
        <v>304</v>
      </c>
      <c r="AB2293">
        <v>2.21</v>
      </c>
      <c r="AC2293" t="s">
        <v>926</v>
      </c>
      <c r="AD2293">
        <v>17.91</v>
      </c>
      <c r="AE2293">
        <v>0</v>
      </c>
      <c r="AF2293">
        <v>0</v>
      </c>
      <c r="AG2293">
        <v>0</v>
      </c>
      <c r="AH2293">
        <v>0</v>
      </c>
      <c r="AI2293" s="4">
        <v>35390</v>
      </c>
    </row>
    <row r="2294" spans="1:35">
      <c r="A2294">
        <v>2293</v>
      </c>
      <c r="B2294" t="str">
        <f>"000088"</f>
        <v>000088</v>
      </c>
      <c r="C2294" t="s">
        <v>11112</v>
      </c>
      <c r="D2294" s="4">
        <v>43190</v>
      </c>
      <c r="E2294" t="s">
        <v>2328</v>
      </c>
      <c r="F2294" t="s">
        <v>2328</v>
      </c>
      <c r="G2294" t="s">
        <v>3965</v>
      </c>
      <c r="H2294">
        <v>0.03</v>
      </c>
      <c r="I2294">
        <v>3.25</v>
      </c>
      <c r="J2294">
        <v>0.9</v>
      </c>
      <c r="K2294" t="s">
        <v>11113</v>
      </c>
      <c r="L2294">
        <v>13.95</v>
      </c>
      <c r="M2294" t="s">
        <v>11114</v>
      </c>
      <c r="N2294" t="s">
        <v>11115</v>
      </c>
      <c r="O2294" t="s">
        <v>11116</v>
      </c>
      <c r="P2294" t="s">
        <v>11117</v>
      </c>
      <c r="Q2294">
        <v>-28.86</v>
      </c>
      <c r="R2294" t="s">
        <v>450</v>
      </c>
      <c r="S2294">
        <v>1.43</v>
      </c>
      <c r="T2294">
        <v>48.28</v>
      </c>
      <c r="U2294" t="s">
        <v>4913</v>
      </c>
      <c r="V2294" t="s">
        <v>323</v>
      </c>
      <c r="W2294" t="s">
        <v>2255</v>
      </c>
      <c r="X2294">
        <v>0.9</v>
      </c>
      <c r="Y2294" t="s">
        <v>578</v>
      </c>
      <c r="Z2294" t="s">
        <v>501</v>
      </c>
      <c r="AA2294" t="s">
        <v>308</v>
      </c>
      <c r="AB2294">
        <v>1.98</v>
      </c>
      <c r="AC2294" t="s">
        <v>1418</v>
      </c>
      <c r="AD2294">
        <v>67.11</v>
      </c>
      <c r="AE2294" t="s">
        <v>327</v>
      </c>
      <c r="AF2294">
        <v>0.41</v>
      </c>
      <c r="AG2294">
        <v>0</v>
      </c>
      <c r="AH2294">
        <v>0</v>
      </c>
      <c r="AI2294" s="4">
        <v>35639</v>
      </c>
    </row>
    <row r="2295" spans="1:35">
      <c r="A2295">
        <v>2294</v>
      </c>
      <c r="B2295" t="str">
        <f>"603318"</f>
        <v>603318</v>
      </c>
      <c r="C2295" t="s">
        <v>11118</v>
      </c>
      <c r="D2295" s="4">
        <v>43190</v>
      </c>
      <c r="E2295" t="s">
        <v>800</v>
      </c>
      <c r="F2295" t="s">
        <v>265</v>
      </c>
      <c r="G2295">
        <v>6075</v>
      </c>
      <c r="H2295">
        <v>0.02</v>
      </c>
      <c r="I2295">
        <v>2.54</v>
      </c>
      <c r="J2295">
        <v>0.89</v>
      </c>
      <c r="K2295" t="s">
        <v>552</v>
      </c>
      <c r="L2295">
        <v>137.07</v>
      </c>
      <c r="M2295" t="s">
        <v>6484</v>
      </c>
      <c r="N2295" t="s">
        <v>11119</v>
      </c>
      <c r="O2295" t="s">
        <v>3041</v>
      </c>
      <c r="P2295" t="s">
        <v>8066</v>
      </c>
      <c r="Q2295">
        <v>277.86</v>
      </c>
      <c r="R2295" t="s">
        <v>11120</v>
      </c>
      <c r="S2295">
        <v>0.21</v>
      </c>
      <c r="T2295">
        <v>26.84</v>
      </c>
      <c r="U2295" t="s">
        <v>754</v>
      </c>
      <c r="V2295" t="s">
        <v>407</v>
      </c>
      <c r="W2295" t="s">
        <v>975</v>
      </c>
      <c r="X2295">
        <v>0.89</v>
      </c>
      <c r="Y2295" t="s">
        <v>1041</v>
      </c>
      <c r="Z2295" t="s">
        <v>424</v>
      </c>
      <c r="AA2295" t="s">
        <v>93</v>
      </c>
      <c r="AB2295">
        <v>4.8499999999999996</v>
      </c>
      <c r="AC2295" t="s">
        <v>978</v>
      </c>
      <c r="AD2295">
        <v>56.69</v>
      </c>
      <c r="AE2295" t="s">
        <v>4427</v>
      </c>
      <c r="AF2295">
        <v>1.29</v>
      </c>
      <c r="AG2295">
        <v>0</v>
      </c>
      <c r="AH2295">
        <v>0</v>
      </c>
      <c r="AI2295" s="4">
        <v>42118</v>
      </c>
    </row>
    <row r="2296" spans="1:35">
      <c r="A2296">
        <v>2295</v>
      </c>
      <c r="B2296" t="str">
        <f>"601999"</f>
        <v>601999</v>
      </c>
      <c r="C2296" t="s">
        <v>11121</v>
      </c>
      <c r="D2296" s="4">
        <v>43190</v>
      </c>
      <c r="E2296" t="s">
        <v>4176</v>
      </c>
      <c r="F2296" t="s">
        <v>4176</v>
      </c>
      <c r="G2296" t="s">
        <v>1763</v>
      </c>
      <c r="H2296">
        <v>0.03</v>
      </c>
      <c r="I2296">
        <v>3.77</v>
      </c>
      <c r="J2296">
        <v>0.89</v>
      </c>
      <c r="K2296" t="s">
        <v>1799</v>
      </c>
      <c r="L2296">
        <v>15.34</v>
      </c>
      <c r="M2296" t="s">
        <v>6315</v>
      </c>
      <c r="N2296" t="s">
        <v>4381</v>
      </c>
      <c r="O2296" t="s">
        <v>10309</v>
      </c>
      <c r="P2296" t="s">
        <v>11122</v>
      </c>
      <c r="Q2296">
        <v>14.33</v>
      </c>
      <c r="R2296" t="s">
        <v>4790</v>
      </c>
      <c r="S2296">
        <v>1.54</v>
      </c>
      <c r="T2296">
        <v>23.85</v>
      </c>
      <c r="U2296" t="s">
        <v>1127</v>
      </c>
      <c r="V2296" t="s">
        <v>576</v>
      </c>
      <c r="W2296" t="s">
        <v>150</v>
      </c>
      <c r="X2296">
        <v>0.89</v>
      </c>
      <c r="Y2296" t="s">
        <v>1307</v>
      </c>
      <c r="Z2296" t="s">
        <v>164</v>
      </c>
      <c r="AA2296" t="s">
        <v>3170</v>
      </c>
      <c r="AB2296">
        <v>1.41</v>
      </c>
      <c r="AC2296" t="s">
        <v>877</v>
      </c>
      <c r="AD2296">
        <v>61.11</v>
      </c>
      <c r="AE2296" t="s">
        <v>1565</v>
      </c>
      <c r="AF2296">
        <v>0.95</v>
      </c>
      <c r="AG2296">
        <v>0</v>
      </c>
      <c r="AH2296">
        <v>0</v>
      </c>
      <c r="AI2296" s="4">
        <v>39437</v>
      </c>
    </row>
    <row r="2297" spans="1:35">
      <c r="A2297">
        <v>2296</v>
      </c>
      <c r="B2297" t="str">
        <f>"300691"</f>
        <v>300691</v>
      </c>
      <c r="C2297" t="s">
        <v>11123</v>
      </c>
      <c r="D2297" s="4">
        <v>43190</v>
      </c>
      <c r="E2297" t="s">
        <v>4536</v>
      </c>
      <c r="F2297" t="s">
        <v>9877</v>
      </c>
      <c r="G2297">
        <v>1950</v>
      </c>
      <c r="H2297">
        <v>0.08</v>
      </c>
      <c r="I2297">
        <v>9.9600000000000009</v>
      </c>
      <c r="J2297">
        <v>0.89</v>
      </c>
      <c r="K2297" t="s">
        <v>1264</v>
      </c>
      <c r="L2297">
        <v>34.89</v>
      </c>
      <c r="M2297" t="s">
        <v>9622</v>
      </c>
      <c r="N2297" t="s">
        <v>11124</v>
      </c>
      <c r="O2297" t="s">
        <v>4486</v>
      </c>
      <c r="P2297" t="s">
        <v>10296</v>
      </c>
      <c r="Q2297">
        <v>32.74</v>
      </c>
      <c r="R2297" t="s">
        <v>1264</v>
      </c>
      <c r="S2297">
        <v>2.27</v>
      </c>
      <c r="T2297">
        <v>22.42</v>
      </c>
      <c r="U2297" t="s">
        <v>625</v>
      </c>
      <c r="V2297" t="s">
        <v>2134</v>
      </c>
      <c r="W2297" t="s">
        <v>200</v>
      </c>
      <c r="X2297">
        <v>0.89</v>
      </c>
      <c r="Y2297" t="s">
        <v>89</v>
      </c>
      <c r="Z2297" t="s">
        <v>2551</v>
      </c>
      <c r="AA2297" t="s">
        <v>9767</v>
      </c>
      <c r="AB2297">
        <v>5.09</v>
      </c>
      <c r="AC2297" t="s">
        <v>7960</v>
      </c>
      <c r="AD2297">
        <v>72.849999999999994</v>
      </c>
      <c r="AE2297" t="s">
        <v>1121</v>
      </c>
      <c r="AF2297">
        <v>6.44</v>
      </c>
      <c r="AG2297">
        <v>0</v>
      </c>
      <c r="AH2297">
        <v>0</v>
      </c>
      <c r="AI2297" s="4">
        <v>42958</v>
      </c>
    </row>
    <row r="2298" spans="1:35">
      <c r="A2298">
        <v>2297</v>
      </c>
      <c r="B2298" t="str">
        <f>"300667"</f>
        <v>300667</v>
      </c>
      <c r="C2298" t="s">
        <v>11125</v>
      </c>
      <c r="D2298" s="4">
        <v>43190</v>
      </c>
      <c r="E2298" t="s">
        <v>4230</v>
      </c>
      <c r="F2298" t="s">
        <v>9172</v>
      </c>
      <c r="G2298">
        <v>2013</v>
      </c>
      <c r="H2298">
        <v>0.05</v>
      </c>
      <c r="I2298">
        <v>5.33</v>
      </c>
      <c r="J2298">
        <v>0.89</v>
      </c>
      <c r="K2298" t="s">
        <v>11126</v>
      </c>
      <c r="L2298">
        <v>9.5</v>
      </c>
      <c r="M2298" t="s">
        <v>9430</v>
      </c>
      <c r="N2298" t="s">
        <v>4492</v>
      </c>
      <c r="O2298" t="s">
        <v>2877</v>
      </c>
      <c r="P2298" t="s">
        <v>11127</v>
      </c>
      <c r="Q2298">
        <v>14.47</v>
      </c>
      <c r="R2298" t="s">
        <v>1038</v>
      </c>
      <c r="S2298">
        <v>1.9</v>
      </c>
      <c r="T2298">
        <v>53.58</v>
      </c>
      <c r="U2298" t="s">
        <v>1059</v>
      </c>
      <c r="V2298" t="s">
        <v>1934</v>
      </c>
      <c r="W2298" t="s">
        <v>11128</v>
      </c>
      <c r="X2298">
        <v>0.89</v>
      </c>
      <c r="Y2298" t="s">
        <v>11129</v>
      </c>
      <c r="Z2298" t="s">
        <v>11129</v>
      </c>
      <c r="AA2298">
        <v>0</v>
      </c>
      <c r="AB2298">
        <v>7.93</v>
      </c>
      <c r="AC2298" t="s">
        <v>2029</v>
      </c>
      <c r="AD2298">
        <v>80.760000000000005</v>
      </c>
      <c r="AE2298" t="s">
        <v>1203</v>
      </c>
      <c r="AF2298">
        <v>2.35</v>
      </c>
      <c r="AG2298">
        <v>0</v>
      </c>
      <c r="AH2298">
        <v>0</v>
      </c>
      <c r="AI2298" s="4">
        <v>42905</v>
      </c>
    </row>
    <row r="2299" spans="1:35">
      <c r="A2299">
        <v>2298</v>
      </c>
      <c r="B2299" t="str">
        <f>"300254"</f>
        <v>300254</v>
      </c>
      <c r="C2299" t="s">
        <v>11130</v>
      </c>
      <c r="D2299" s="4">
        <v>43190</v>
      </c>
      <c r="E2299" t="s">
        <v>415</v>
      </c>
      <c r="F2299" t="s">
        <v>610</v>
      </c>
      <c r="G2299" t="s">
        <v>4216</v>
      </c>
      <c r="H2299">
        <v>0.04</v>
      </c>
      <c r="I2299">
        <v>3.97</v>
      </c>
      <c r="J2299">
        <v>0.89</v>
      </c>
      <c r="K2299" t="s">
        <v>798</v>
      </c>
      <c r="L2299">
        <v>45.99</v>
      </c>
      <c r="M2299" t="s">
        <v>6979</v>
      </c>
      <c r="N2299" t="s">
        <v>11131</v>
      </c>
      <c r="O2299" t="s">
        <v>11132</v>
      </c>
      <c r="P2299" t="s">
        <v>163</v>
      </c>
      <c r="Q2299">
        <v>14.45</v>
      </c>
      <c r="R2299" t="s">
        <v>1203</v>
      </c>
      <c r="S2299">
        <v>0.77</v>
      </c>
      <c r="T2299">
        <v>73.03</v>
      </c>
      <c r="U2299" t="s">
        <v>141</v>
      </c>
      <c r="V2299" t="s">
        <v>2490</v>
      </c>
      <c r="W2299" t="s">
        <v>470</v>
      </c>
      <c r="X2299">
        <v>0.89</v>
      </c>
      <c r="Y2299" t="s">
        <v>2789</v>
      </c>
      <c r="Z2299" t="s">
        <v>623</v>
      </c>
      <c r="AA2299" t="s">
        <v>11133</v>
      </c>
      <c r="AB2299">
        <v>2.2000000000000002</v>
      </c>
      <c r="AC2299" t="s">
        <v>3083</v>
      </c>
      <c r="AD2299">
        <v>55.9</v>
      </c>
      <c r="AE2299" t="s">
        <v>1563</v>
      </c>
      <c r="AF2299">
        <v>2.13</v>
      </c>
      <c r="AG2299">
        <v>0</v>
      </c>
      <c r="AH2299">
        <v>0</v>
      </c>
      <c r="AI2299" s="4">
        <v>40774</v>
      </c>
    </row>
    <row r="2300" spans="1:35">
      <c r="A2300">
        <v>2299</v>
      </c>
      <c r="B2300" t="str">
        <f>"002605"</f>
        <v>002605</v>
      </c>
      <c r="C2300" t="s">
        <v>11134</v>
      </c>
      <c r="D2300" s="4">
        <v>43190</v>
      </c>
      <c r="E2300" t="s">
        <v>2915</v>
      </c>
      <c r="F2300" t="s">
        <v>122</v>
      </c>
      <c r="G2300">
        <v>9631</v>
      </c>
      <c r="H2300">
        <v>0.04</v>
      </c>
      <c r="I2300">
        <v>4.0599999999999996</v>
      </c>
      <c r="J2300">
        <v>0.89</v>
      </c>
      <c r="K2300" t="s">
        <v>209</v>
      </c>
      <c r="L2300">
        <v>-32.409999999999997</v>
      </c>
      <c r="M2300" t="s">
        <v>11135</v>
      </c>
      <c r="N2300" t="s">
        <v>1736</v>
      </c>
      <c r="O2300" t="s">
        <v>11135</v>
      </c>
      <c r="P2300" t="s">
        <v>9764</v>
      </c>
      <c r="Q2300">
        <v>-43.64</v>
      </c>
      <c r="R2300" t="s">
        <v>181</v>
      </c>
      <c r="S2300">
        <v>1.47</v>
      </c>
      <c r="T2300">
        <v>23.87</v>
      </c>
      <c r="U2300" t="s">
        <v>159</v>
      </c>
      <c r="V2300" t="s">
        <v>62</v>
      </c>
      <c r="W2300" t="s">
        <v>255</v>
      </c>
      <c r="X2300">
        <v>0.89</v>
      </c>
      <c r="Y2300" t="s">
        <v>1209</v>
      </c>
      <c r="Z2300" t="s">
        <v>1209</v>
      </c>
      <c r="AA2300">
        <v>0</v>
      </c>
      <c r="AB2300">
        <v>2.1800000000000002</v>
      </c>
      <c r="AC2300" t="s">
        <v>50</v>
      </c>
      <c r="AD2300">
        <v>77.06</v>
      </c>
      <c r="AE2300" t="s">
        <v>695</v>
      </c>
      <c r="AF2300">
        <v>1.41</v>
      </c>
      <c r="AG2300">
        <v>0</v>
      </c>
      <c r="AH2300">
        <v>0</v>
      </c>
      <c r="AI2300" s="4">
        <v>40760</v>
      </c>
    </row>
    <row r="2301" spans="1:35">
      <c r="A2301">
        <v>2300</v>
      </c>
      <c r="B2301" t="str">
        <f>"002363"</f>
        <v>002363</v>
      </c>
      <c r="C2301" t="s">
        <v>11136</v>
      </c>
      <c r="D2301" s="4">
        <v>43190</v>
      </c>
      <c r="E2301" t="s">
        <v>104</v>
      </c>
      <c r="F2301" t="s">
        <v>501</v>
      </c>
      <c r="G2301" t="s">
        <v>4245</v>
      </c>
      <c r="H2301">
        <v>0.05</v>
      </c>
      <c r="I2301">
        <v>5.41</v>
      </c>
      <c r="J2301">
        <v>0.89</v>
      </c>
      <c r="K2301" t="s">
        <v>157</v>
      </c>
      <c r="L2301">
        <v>-1.04</v>
      </c>
      <c r="M2301" t="s">
        <v>11137</v>
      </c>
      <c r="N2301" t="s">
        <v>6297</v>
      </c>
      <c r="O2301" t="s">
        <v>2382</v>
      </c>
      <c r="P2301" t="s">
        <v>3688</v>
      </c>
      <c r="Q2301">
        <v>-19.27</v>
      </c>
      <c r="R2301" t="s">
        <v>3027</v>
      </c>
      <c r="S2301">
        <v>0.99</v>
      </c>
      <c r="T2301">
        <v>17.36</v>
      </c>
      <c r="U2301" t="s">
        <v>1396</v>
      </c>
      <c r="V2301" t="s">
        <v>119</v>
      </c>
      <c r="W2301" t="s">
        <v>1094</v>
      </c>
      <c r="X2301">
        <v>0.89</v>
      </c>
      <c r="Y2301" t="s">
        <v>2383</v>
      </c>
      <c r="Z2301" t="s">
        <v>1946</v>
      </c>
      <c r="AA2301" t="s">
        <v>11138</v>
      </c>
      <c r="AB2301">
        <v>1.04</v>
      </c>
      <c r="AC2301" t="s">
        <v>565</v>
      </c>
      <c r="AD2301">
        <v>69.28</v>
      </c>
      <c r="AE2301" t="s">
        <v>176</v>
      </c>
      <c r="AF2301">
        <v>3.31</v>
      </c>
      <c r="AG2301">
        <v>0</v>
      </c>
      <c r="AH2301">
        <v>0</v>
      </c>
      <c r="AI2301" s="4">
        <v>40242</v>
      </c>
    </row>
    <row r="2302" spans="1:35">
      <c r="A2302">
        <v>2301</v>
      </c>
      <c r="B2302" t="str">
        <f>"002308"</f>
        <v>002308</v>
      </c>
      <c r="C2302" t="s">
        <v>11139</v>
      </c>
      <c r="D2302" s="4">
        <v>43190</v>
      </c>
      <c r="E2302" t="s">
        <v>1198</v>
      </c>
      <c r="F2302" t="s">
        <v>2035</v>
      </c>
      <c r="G2302" t="s">
        <v>3585</v>
      </c>
      <c r="H2302">
        <v>0.03</v>
      </c>
      <c r="I2302">
        <v>3.81</v>
      </c>
      <c r="J2302">
        <v>0.89</v>
      </c>
      <c r="K2302" t="s">
        <v>1287</v>
      </c>
      <c r="L2302">
        <v>20.02</v>
      </c>
      <c r="M2302" t="s">
        <v>3714</v>
      </c>
      <c r="N2302" t="s">
        <v>3751</v>
      </c>
      <c r="O2302" t="s">
        <v>7035</v>
      </c>
      <c r="P2302" t="s">
        <v>1684</v>
      </c>
      <c r="Q2302">
        <v>15.21</v>
      </c>
      <c r="R2302" t="s">
        <v>5928</v>
      </c>
      <c r="S2302">
        <v>1.07</v>
      </c>
      <c r="T2302">
        <v>54.58</v>
      </c>
      <c r="U2302" t="s">
        <v>1291</v>
      </c>
      <c r="V2302" t="s">
        <v>510</v>
      </c>
      <c r="W2302" t="s">
        <v>623</v>
      </c>
      <c r="X2302">
        <v>0.89</v>
      </c>
      <c r="Y2302" t="s">
        <v>1979</v>
      </c>
      <c r="Z2302" t="s">
        <v>1695</v>
      </c>
      <c r="AA2302" t="s">
        <v>145</v>
      </c>
      <c r="AB2302">
        <v>2.17</v>
      </c>
      <c r="AC2302" t="s">
        <v>312</v>
      </c>
      <c r="AD2302">
        <v>81.3</v>
      </c>
      <c r="AE2302" t="s">
        <v>855</v>
      </c>
      <c r="AF2302">
        <v>1.64</v>
      </c>
      <c r="AG2302">
        <v>0</v>
      </c>
      <c r="AH2302">
        <v>0</v>
      </c>
      <c r="AI2302" s="4">
        <v>40144</v>
      </c>
    </row>
    <row r="2303" spans="1:35">
      <c r="A2303">
        <v>2302</v>
      </c>
      <c r="B2303" t="str">
        <f>"002292"</f>
        <v>002292</v>
      </c>
      <c r="C2303" t="s">
        <v>11140</v>
      </c>
      <c r="D2303" s="4">
        <v>43190</v>
      </c>
      <c r="E2303" t="s">
        <v>350</v>
      </c>
      <c r="F2303" t="s">
        <v>1608</v>
      </c>
      <c r="G2303">
        <v>8810</v>
      </c>
      <c r="H2303">
        <v>0.03</v>
      </c>
      <c r="I2303">
        <v>4.0199999999999996</v>
      </c>
      <c r="J2303">
        <v>0.89</v>
      </c>
      <c r="K2303" t="s">
        <v>2913</v>
      </c>
      <c r="L2303">
        <v>-16.329999999999998</v>
      </c>
      <c r="M2303" t="s">
        <v>11141</v>
      </c>
      <c r="N2303" t="s">
        <v>11142</v>
      </c>
      <c r="O2303" t="s">
        <v>11143</v>
      </c>
      <c r="P2303" t="s">
        <v>11039</v>
      </c>
      <c r="Q2303">
        <v>1.62</v>
      </c>
      <c r="R2303" t="s">
        <v>510</v>
      </c>
      <c r="S2303">
        <v>1.36</v>
      </c>
      <c r="T2303">
        <v>51.07</v>
      </c>
      <c r="U2303" t="s">
        <v>1952</v>
      </c>
      <c r="V2303" t="s">
        <v>1031</v>
      </c>
      <c r="W2303" t="s">
        <v>824</v>
      </c>
      <c r="X2303">
        <v>0.89</v>
      </c>
      <c r="Y2303" t="s">
        <v>2136</v>
      </c>
      <c r="Z2303" t="s">
        <v>2700</v>
      </c>
      <c r="AA2303" t="s">
        <v>2563</v>
      </c>
      <c r="AB2303">
        <v>2.42</v>
      </c>
      <c r="AC2303" t="s">
        <v>1395</v>
      </c>
      <c r="AD2303">
        <v>58.35</v>
      </c>
      <c r="AE2303" t="s">
        <v>159</v>
      </c>
      <c r="AF2303">
        <v>1.54</v>
      </c>
      <c r="AG2303">
        <v>0</v>
      </c>
      <c r="AH2303">
        <v>0</v>
      </c>
      <c r="AI2303" s="4">
        <v>40066</v>
      </c>
    </row>
    <row r="2304" spans="1:35">
      <c r="A2304">
        <v>2303</v>
      </c>
      <c r="B2304" t="str">
        <f>"000996"</f>
        <v>000996</v>
      </c>
      <c r="C2304" t="s">
        <v>11144</v>
      </c>
      <c r="D2304" s="4">
        <v>43190</v>
      </c>
      <c r="E2304" t="s">
        <v>1594</v>
      </c>
      <c r="F2304" t="s">
        <v>1594</v>
      </c>
      <c r="G2304">
        <v>6999</v>
      </c>
      <c r="H2304">
        <v>0.01</v>
      </c>
      <c r="I2304">
        <v>1.55</v>
      </c>
      <c r="J2304">
        <v>0.89</v>
      </c>
      <c r="K2304" t="s">
        <v>8321</v>
      </c>
      <c r="L2304">
        <v>-23.55</v>
      </c>
      <c r="M2304" t="s">
        <v>8477</v>
      </c>
      <c r="N2304" t="s">
        <v>11145</v>
      </c>
      <c r="O2304" t="s">
        <v>5979</v>
      </c>
      <c r="P2304" t="s">
        <v>11146</v>
      </c>
      <c r="Q2304">
        <v>-6.26</v>
      </c>
      <c r="R2304" t="s">
        <v>355</v>
      </c>
      <c r="S2304">
        <v>0.32</v>
      </c>
      <c r="T2304">
        <v>14.62</v>
      </c>
      <c r="U2304" t="s">
        <v>1168</v>
      </c>
      <c r="V2304" t="s">
        <v>200</v>
      </c>
      <c r="W2304" t="s">
        <v>11147</v>
      </c>
      <c r="X2304">
        <v>0.89</v>
      </c>
      <c r="Y2304" t="s">
        <v>1906</v>
      </c>
      <c r="Z2304" t="s">
        <v>4382</v>
      </c>
      <c r="AA2304" t="s">
        <v>11148</v>
      </c>
      <c r="AB2304">
        <v>6.93</v>
      </c>
      <c r="AC2304" t="s">
        <v>2111</v>
      </c>
      <c r="AD2304">
        <v>88.66</v>
      </c>
      <c r="AE2304" t="s">
        <v>5221</v>
      </c>
      <c r="AF2304">
        <v>0.12</v>
      </c>
      <c r="AG2304">
        <v>0</v>
      </c>
      <c r="AH2304">
        <v>0</v>
      </c>
      <c r="AI2304" s="4">
        <v>36725</v>
      </c>
    </row>
    <row r="2305" spans="1:35">
      <c r="A2305">
        <v>2304</v>
      </c>
      <c r="B2305" t="str">
        <f>"000812"</f>
        <v>000812</v>
      </c>
      <c r="C2305" t="s">
        <v>11149</v>
      </c>
      <c r="D2305" s="4">
        <v>43190</v>
      </c>
      <c r="E2305" t="s">
        <v>1204</v>
      </c>
      <c r="F2305" t="s">
        <v>1521</v>
      </c>
      <c r="G2305" t="s">
        <v>2449</v>
      </c>
      <c r="H2305">
        <v>0.02</v>
      </c>
      <c r="I2305">
        <v>1.76</v>
      </c>
      <c r="J2305">
        <v>0.89</v>
      </c>
      <c r="K2305" t="s">
        <v>608</v>
      </c>
      <c r="L2305">
        <v>5.16</v>
      </c>
      <c r="M2305" t="s">
        <v>11150</v>
      </c>
      <c r="N2305">
        <v>0</v>
      </c>
      <c r="O2305" t="s">
        <v>8797</v>
      </c>
      <c r="P2305" t="s">
        <v>5828</v>
      </c>
      <c r="Q2305">
        <v>87.42</v>
      </c>
      <c r="R2305" t="s">
        <v>1578</v>
      </c>
      <c r="S2305">
        <v>0.42</v>
      </c>
      <c r="T2305">
        <v>36.22</v>
      </c>
      <c r="U2305" t="s">
        <v>565</v>
      </c>
      <c r="V2305" t="s">
        <v>3312</v>
      </c>
      <c r="W2305" t="s">
        <v>871</v>
      </c>
      <c r="X2305">
        <v>0.89</v>
      </c>
      <c r="Y2305" t="s">
        <v>7297</v>
      </c>
      <c r="Z2305" t="s">
        <v>3859</v>
      </c>
      <c r="AA2305" t="s">
        <v>1627</v>
      </c>
      <c r="AB2305">
        <v>1.71</v>
      </c>
      <c r="AC2305" t="s">
        <v>971</v>
      </c>
      <c r="AD2305">
        <v>60.75</v>
      </c>
      <c r="AE2305" t="s">
        <v>133</v>
      </c>
      <c r="AF2305">
        <v>0.25</v>
      </c>
      <c r="AG2305">
        <v>0</v>
      </c>
      <c r="AH2305">
        <v>0</v>
      </c>
      <c r="AI2305" s="4">
        <v>35969</v>
      </c>
    </row>
    <row r="2306" spans="1:35">
      <c r="A2306">
        <v>2305</v>
      </c>
      <c r="B2306" t="str">
        <f>"600939"</f>
        <v>600939</v>
      </c>
      <c r="C2306" t="s">
        <v>11151</v>
      </c>
      <c r="D2306" s="4">
        <v>43190</v>
      </c>
      <c r="E2306" t="s">
        <v>1455</v>
      </c>
      <c r="F2306" t="s">
        <v>623</v>
      </c>
      <c r="G2306">
        <v>6873</v>
      </c>
      <c r="H2306">
        <v>0.03</v>
      </c>
      <c r="I2306">
        <v>3.41</v>
      </c>
      <c r="J2306">
        <v>0.88</v>
      </c>
      <c r="K2306" t="s">
        <v>716</v>
      </c>
      <c r="L2306">
        <v>0.81</v>
      </c>
      <c r="M2306" t="s">
        <v>11152</v>
      </c>
      <c r="N2306" t="s">
        <v>11153</v>
      </c>
      <c r="O2306" t="s">
        <v>11154</v>
      </c>
      <c r="P2306" t="s">
        <v>11155</v>
      </c>
      <c r="Q2306">
        <v>19.78</v>
      </c>
      <c r="R2306" t="s">
        <v>275</v>
      </c>
      <c r="S2306">
        <v>1.07</v>
      </c>
      <c r="T2306">
        <v>5.13</v>
      </c>
      <c r="U2306" t="s">
        <v>11156</v>
      </c>
      <c r="V2306" t="s">
        <v>11157</v>
      </c>
      <c r="W2306" t="s">
        <v>350</v>
      </c>
      <c r="X2306">
        <v>0.88</v>
      </c>
      <c r="Y2306" t="s">
        <v>5443</v>
      </c>
      <c r="Z2306" t="s">
        <v>11158</v>
      </c>
      <c r="AA2306" t="s">
        <v>4513</v>
      </c>
      <c r="AB2306">
        <v>1.42</v>
      </c>
      <c r="AC2306" t="s">
        <v>1469</v>
      </c>
      <c r="AD2306">
        <v>10.41</v>
      </c>
      <c r="AE2306" t="s">
        <v>699</v>
      </c>
      <c r="AF2306">
        <v>0.59</v>
      </c>
      <c r="AG2306">
        <v>0</v>
      </c>
      <c r="AH2306">
        <v>0</v>
      </c>
      <c r="AI2306" s="4">
        <v>42787</v>
      </c>
    </row>
    <row r="2307" spans="1:35">
      <c r="A2307">
        <v>2306</v>
      </c>
      <c r="B2307" t="str">
        <f>"600433"</f>
        <v>600433</v>
      </c>
      <c r="C2307" t="s">
        <v>11159</v>
      </c>
      <c r="D2307" s="4">
        <v>43190</v>
      </c>
      <c r="E2307" t="s">
        <v>1082</v>
      </c>
      <c r="F2307" t="s">
        <v>1082</v>
      </c>
      <c r="G2307" t="s">
        <v>2511</v>
      </c>
      <c r="H2307">
        <v>0.02</v>
      </c>
      <c r="I2307">
        <v>2</v>
      </c>
      <c r="J2307">
        <v>0.88</v>
      </c>
      <c r="K2307" t="s">
        <v>701</v>
      </c>
      <c r="L2307">
        <v>30.36</v>
      </c>
      <c r="M2307" t="s">
        <v>11160</v>
      </c>
      <c r="N2307" t="s">
        <v>11161</v>
      </c>
      <c r="O2307" t="s">
        <v>11162</v>
      </c>
      <c r="P2307" t="s">
        <v>8335</v>
      </c>
      <c r="Q2307">
        <v>37.81</v>
      </c>
      <c r="R2307" t="s">
        <v>1358</v>
      </c>
      <c r="S2307">
        <v>0.38</v>
      </c>
      <c r="T2307">
        <v>20.350000000000001</v>
      </c>
      <c r="U2307" t="s">
        <v>2642</v>
      </c>
      <c r="V2307" t="s">
        <v>855</v>
      </c>
      <c r="W2307" t="s">
        <v>1390</v>
      </c>
      <c r="X2307">
        <v>0.88</v>
      </c>
      <c r="Y2307" t="s">
        <v>847</v>
      </c>
      <c r="Z2307" t="s">
        <v>847</v>
      </c>
      <c r="AA2307" t="s">
        <v>11163</v>
      </c>
      <c r="AB2307">
        <v>2.0499999999999998</v>
      </c>
      <c r="AC2307" t="s">
        <v>402</v>
      </c>
      <c r="AD2307">
        <v>61.42</v>
      </c>
      <c r="AE2307" t="s">
        <v>1993</v>
      </c>
      <c r="AF2307">
        <v>0.55000000000000004</v>
      </c>
      <c r="AG2307">
        <v>0</v>
      </c>
      <c r="AH2307">
        <v>0</v>
      </c>
      <c r="AI2307" s="4">
        <v>37791</v>
      </c>
    </row>
    <row r="2308" spans="1:35">
      <c r="A2308">
        <v>2307</v>
      </c>
      <c r="B2308" t="str">
        <f>"002755"</f>
        <v>002755</v>
      </c>
      <c r="C2308" t="s">
        <v>11164</v>
      </c>
      <c r="D2308" s="4">
        <v>43190</v>
      </c>
      <c r="E2308" t="s">
        <v>1457</v>
      </c>
      <c r="F2308" t="s">
        <v>1457</v>
      </c>
      <c r="G2308">
        <v>2452</v>
      </c>
      <c r="H2308">
        <v>0.03</v>
      </c>
      <c r="I2308">
        <v>3.02</v>
      </c>
      <c r="J2308">
        <v>0.88</v>
      </c>
      <c r="K2308" t="s">
        <v>4662</v>
      </c>
      <c r="L2308">
        <v>93.04</v>
      </c>
      <c r="M2308" t="s">
        <v>11165</v>
      </c>
      <c r="N2308">
        <v>0</v>
      </c>
      <c r="O2308" t="s">
        <v>11165</v>
      </c>
      <c r="P2308" t="s">
        <v>10190</v>
      </c>
      <c r="Q2308">
        <v>215.64</v>
      </c>
      <c r="R2308" t="s">
        <v>1905</v>
      </c>
      <c r="S2308">
        <v>1.44</v>
      </c>
      <c r="T2308">
        <v>33.99</v>
      </c>
      <c r="U2308" t="s">
        <v>1561</v>
      </c>
      <c r="V2308" t="s">
        <v>259</v>
      </c>
      <c r="W2308" t="s">
        <v>11166</v>
      </c>
      <c r="X2308">
        <v>0.88</v>
      </c>
      <c r="Y2308" t="s">
        <v>1905</v>
      </c>
      <c r="Z2308" t="s">
        <v>2142</v>
      </c>
      <c r="AA2308" t="s">
        <v>11167</v>
      </c>
      <c r="AB2308">
        <v>3.25</v>
      </c>
      <c r="AC2308" t="s">
        <v>1037</v>
      </c>
      <c r="AD2308">
        <v>62.84</v>
      </c>
      <c r="AE2308" t="s">
        <v>1974</v>
      </c>
      <c r="AF2308">
        <v>0.4</v>
      </c>
      <c r="AG2308">
        <v>0</v>
      </c>
      <c r="AH2308">
        <v>0</v>
      </c>
      <c r="AI2308" s="4">
        <v>42139</v>
      </c>
    </row>
    <row r="2309" spans="1:35">
      <c r="A2309">
        <v>2308</v>
      </c>
      <c r="B2309" t="str">
        <f>"002489"</f>
        <v>002489</v>
      </c>
      <c r="C2309" t="s">
        <v>11168</v>
      </c>
      <c r="D2309" s="4">
        <v>43190</v>
      </c>
      <c r="E2309" t="s">
        <v>789</v>
      </c>
      <c r="F2309" t="s">
        <v>187</v>
      </c>
      <c r="G2309" t="s">
        <v>4294</v>
      </c>
      <c r="H2309">
        <v>0.01</v>
      </c>
      <c r="I2309">
        <v>1.48</v>
      </c>
      <c r="J2309">
        <v>0.88</v>
      </c>
      <c r="K2309" t="s">
        <v>298</v>
      </c>
      <c r="L2309">
        <v>-10.07</v>
      </c>
      <c r="M2309" t="s">
        <v>11169</v>
      </c>
      <c r="N2309" t="s">
        <v>6682</v>
      </c>
      <c r="O2309" t="s">
        <v>11170</v>
      </c>
      <c r="P2309" t="s">
        <v>7873</v>
      </c>
      <c r="Q2309">
        <v>-88.34</v>
      </c>
      <c r="R2309" t="s">
        <v>2094</v>
      </c>
      <c r="S2309">
        <v>0.26</v>
      </c>
      <c r="T2309">
        <v>22.1</v>
      </c>
      <c r="U2309" t="s">
        <v>526</v>
      </c>
      <c r="V2309" t="s">
        <v>952</v>
      </c>
      <c r="W2309" t="s">
        <v>1033</v>
      </c>
      <c r="X2309">
        <v>0.88</v>
      </c>
      <c r="Y2309" t="s">
        <v>1032</v>
      </c>
      <c r="Z2309" t="s">
        <v>461</v>
      </c>
      <c r="AA2309" t="s">
        <v>895</v>
      </c>
      <c r="AB2309">
        <v>2.5099999999999998</v>
      </c>
      <c r="AC2309" t="s">
        <v>1396</v>
      </c>
      <c r="AD2309">
        <v>42.27</v>
      </c>
      <c r="AE2309" t="s">
        <v>81</v>
      </c>
      <c r="AF2309">
        <v>0.12</v>
      </c>
      <c r="AG2309">
        <v>0</v>
      </c>
      <c r="AH2309">
        <v>0</v>
      </c>
      <c r="AI2309" s="4">
        <v>40472</v>
      </c>
    </row>
    <row r="2310" spans="1:35">
      <c r="A2310">
        <v>2309</v>
      </c>
      <c r="B2310" t="str">
        <f>"002488"</f>
        <v>002488</v>
      </c>
      <c r="C2310" t="s">
        <v>11171</v>
      </c>
      <c r="D2310" s="4">
        <v>43190</v>
      </c>
      <c r="E2310" t="s">
        <v>2089</v>
      </c>
      <c r="F2310" t="s">
        <v>2255</v>
      </c>
      <c r="G2310">
        <v>8672</v>
      </c>
      <c r="H2310">
        <v>0.05</v>
      </c>
      <c r="I2310">
        <v>6.17</v>
      </c>
      <c r="J2310">
        <v>0.88</v>
      </c>
      <c r="K2310" t="s">
        <v>3587</v>
      </c>
      <c r="L2310">
        <v>-4.79</v>
      </c>
      <c r="M2310" t="s">
        <v>11172</v>
      </c>
      <c r="N2310" t="s">
        <v>5090</v>
      </c>
      <c r="O2310" t="s">
        <v>8995</v>
      </c>
      <c r="P2310" t="s">
        <v>11173</v>
      </c>
      <c r="Q2310">
        <v>229.14</v>
      </c>
      <c r="R2310" t="s">
        <v>11174</v>
      </c>
      <c r="S2310">
        <v>0.1</v>
      </c>
      <c r="T2310">
        <v>18.7</v>
      </c>
      <c r="U2310" t="s">
        <v>1060</v>
      </c>
      <c r="V2310" t="s">
        <v>2267</v>
      </c>
      <c r="W2310" t="s">
        <v>699</v>
      </c>
      <c r="X2310">
        <v>0.88</v>
      </c>
      <c r="Y2310" t="s">
        <v>1161</v>
      </c>
      <c r="Z2310" t="s">
        <v>1308</v>
      </c>
      <c r="AA2310" t="s">
        <v>2224</v>
      </c>
      <c r="AB2310">
        <v>1.9</v>
      </c>
      <c r="AC2310" t="s">
        <v>2642</v>
      </c>
      <c r="AD2310">
        <v>57.56</v>
      </c>
      <c r="AE2310" t="s">
        <v>3073</v>
      </c>
      <c r="AF2310">
        <v>4.97</v>
      </c>
      <c r="AG2310">
        <v>0</v>
      </c>
      <c r="AH2310">
        <v>0</v>
      </c>
      <c r="AI2310" s="4">
        <v>40472</v>
      </c>
    </row>
    <row r="2311" spans="1:35">
      <c r="A2311">
        <v>2310</v>
      </c>
      <c r="B2311" t="str">
        <f>"600879"</f>
        <v>600879</v>
      </c>
      <c r="C2311" t="s">
        <v>11175</v>
      </c>
      <c r="D2311" s="4">
        <v>43190</v>
      </c>
      <c r="E2311" t="s">
        <v>1675</v>
      </c>
      <c r="F2311" t="s">
        <v>1213</v>
      </c>
      <c r="G2311" t="s">
        <v>606</v>
      </c>
      <c r="H2311">
        <v>0.04</v>
      </c>
      <c r="I2311">
        <v>4.2300000000000004</v>
      </c>
      <c r="J2311">
        <v>0.87</v>
      </c>
      <c r="K2311" t="s">
        <v>2100</v>
      </c>
      <c r="L2311">
        <v>9.5299999999999994</v>
      </c>
      <c r="M2311" t="s">
        <v>1038</v>
      </c>
      <c r="N2311" t="s">
        <v>11176</v>
      </c>
      <c r="O2311" t="s">
        <v>2306</v>
      </c>
      <c r="P2311" t="s">
        <v>11177</v>
      </c>
      <c r="Q2311">
        <v>10.18</v>
      </c>
      <c r="R2311" t="s">
        <v>2667</v>
      </c>
      <c r="S2311">
        <v>1.39</v>
      </c>
      <c r="T2311">
        <v>16.170000000000002</v>
      </c>
      <c r="U2311" t="s">
        <v>2078</v>
      </c>
      <c r="V2311" t="s">
        <v>1750</v>
      </c>
      <c r="W2311" t="s">
        <v>3160</v>
      </c>
      <c r="X2311">
        <v>0.87</v>
      </c>
      <c r="Y2311" t="s">
        <v>399</v>
      </c>
      <c r="Z2311" t="s">
        <v>3449</v>
      </c>
      <c r="AA2311" t="s">
        <v>2295</v>
      </c>
      <c r="AB2311">
        <v>1.5</v>
      </c>
      <c r="AC2311" t="s">
        <v>689</v>
      </c>
      <c r="AD2311">
        <v>48.26</v>
      </c>
      <c r="AE2311" t="s">
        <v>2092</v>
      </c>
      <c r="AF2311">
        <v>1.76</v>
      </c>
      <c r="AG2311">
        <v>0</v>
      </c>
      <c r="AH2311">
        <v>0</v>
      </c>
      <c r="AI2311" s="4">
        <v>35018</v>
      </c>
    </row>
    <row r="2312" spans="1:35">
      <c r="A2312">
        <v>2311</v>
      </c>
      <c r="B2312" t="str">
        <f>"603888"</f>
        <v>603888</v>
      </c>
      <c r="C2312" t="s">
        <v>11178</v>
      </c>
      <c r="D2312" s="4">
        <v>43190</v>
      </c>
      <c r="E2312" t="s">
        <v>2681</v>
      </c>
      <c r="F2312" t="s">
        <v>603</v>
      </c>
      <c r="G2312">
        <v>5306</v>
      </c>
      <c r="H2312">
        <v>0.05</v>
      </c>
      <c r="I2312">
        <v>5.07</v>
      </c>
      <c r="J2312">
        <v>0.87</v>
      </c>
      <c r="K2312" t="s">
        <v>203</v>
      </c>
      <c r="L2312">
        <v>18.690000000000001</v>
      </c>
      <c r="M2312" t="s">
        <v>8951</v>
      </c>
      <c r="N2312" t="s">
        <v>11179</v>
      </c>
      <c r="O2312" t="s">
        <v>6026</v>
      </c>
      <c r="P2312" t="s">
        <v>10515</v>
      </c>
      <c r="Q2312">
        <v>13.29</v>
      </c>
      <c r="R2312" t="s">
        <v>2681</v>
      </c>
      <c r="S2312">
        <v>0.8</v>
      </c>
      <c r="T2312">
        <v>42.21</v>
      </c>
      <c r="U2312" t="s">
        <v>1397</v>
      </c>
      <c r="V2312" t="s">
        <v>1675</v>
      </c>
      <c r="W2312" t="s">
        <v>1202</v>
      </c>
      <c r="X2312">
        <v>0.87</v>
      </c>
      <c r="Y2312" t="s">
        <v>1341</v>
      </c>
      <c r="Z2312" t="s">
        <v>1578</v>
      </c>
      <c r="AA2312" t="s">
        <v>1037</v>
      </c>
      <c r="AB2312">
        <v>3.38</v>
      </c>
      <c r="AC2312" t="s">
        <v>725</v>
      </c>
      <c r="AD2312">
        <v>75.239999999999995</v>
      </c>
      <c r="AE2312" t="s">
        <v>1367</v>
      </c>
      <c r="AF2312">
        <v>3.05</v>
      </c>
      <c r="AG2312">
        <v>0</v>
      </c>
      <c r="AH2312">
        <v>0</v>
      </c>
      <c r="AI2312" s="4">
        <v>42671</v>
      </c>
    </row>
    <row r="2313" spans="1:35">
      <c r="A2313">
        <v>2312</v>
      </c>
      <c r="B2313" t="str">
        <f>"603859"</f>
        <v>603859</v>
      </c>
      <c r="C2313" t="s">
        <v>11180</v>
      </c>
      <c r="D2313" s="4">
        <v>43190</v>
      </c>
      <c r="E2313" t="s">
        <v>256</v>
      </c>
      <c r="F2313" t="s">
        <v>9683</v>
      </c>
      <c r="G2313">
        <v>3771</v>
      </c>
      <c r="H2313">
        <v>0.05</v>
      </c>
      <c r="I2313">
        <v>5.84</v>
      </c>
      <c r="J2313">
        <v>0.87</v>
      </c>
      <c r="K2313" t="s">
        <v>7094</v>
      </c>
      <c r="L2313">
        <v>644.12</v>
      </c>
      <c r="M2313" t="s">
        <v>10865</v>
      </c>
      <c r="N2313" t="s">
        <v>11181</v>
      </c>
      <c r="O2313" t="s">
        <v>11182</v>
      </c>
      <c r="P2313" t="s">
        <v>11183</v>
      </c>
      <c r="Q2313">
        <v>162.80000000000001</v>
      </c>
      <c r="R2313" t="s">
        <v>531</v>
      </c>
      <c r="S2313">
        <v>2.08</v>
      </c>
      <c r="T2313">
        <v>45.48</v>
      </c>
      <c r="U2313" t="s">
        <v>605</v>
      </c>
      <c r="V2313" t="s">
        <v>491</v>
      </c>
      <c r="W2313" t="s">
        <v>6455</v>
      </c>
      <c r="X2313">
        <v>0.87</v>
      </c>
      <c r="Y2313" t="s">
        <v>1475</v>
      </c>
      <c r="Z2313" t="s">
        <v>11184</v>
      </c>
      <c r="AA2313" t="s">
        <v>2294</v>
      </c>
      <c r="AB2313">
        <v>2.85</v>
      </c>
      <c r="AC2313" t="s">
        <v>563</v>
      </c>
      <c r="AD2313">
        <v>81.59</v>
      </c>
      <c r="AE2313" t="s">
        <v>1067</v>
      </c>
      <c r="AF2313">
        <v>2.5</v>
      </c>
      <c r="AG2313">
        <v>0</v>
      </c>
      <c r="AH2313">
        <v>0</v>
      </c>
      <c r="AI2313" s="4">
        <v>42664</v>
      </c>
    </row>
    <row r="2314" spans="1:35">
      <c r="A2314">
        <v>2313</v>
      </c>
      <c r="B2314" t="str">
        <f>"603090"</f>
        <v>603090</v>
      </c>
      <c r="C2314" t="s">
        <v>11185</v>
      </c>
      <c r="D2314" s="4">
        <v>43190</v>
      </c>
      <c r="E2314" t="s">
        <v>2307</v>
      </c>
      <c r="F2314" t="s">
        <v>11186</v>
      </c>
      <c r="G2314">
        <v>3090</v>
      </c>
      <c r="H2314">
        <v>0.04</v>
      </c>
      <c r="I2314">
        <v>4.62</v>
      </c>
      <c r="J2314">
        <v>0.87</v>
      </c>
      <c r="K2314" t="s">
        <v>11187</v>
      </c>
      <c r="L2314">
        <v>45.96</v>
      </c>
      <c r="M2314" t="s">
        <v>11188</v>
      </c>
      <c r="N2314" t="s">
        <v>11189</v>
      </c>
      <c r="O2314" t="s">
        <v>7229</v>
      </c>
      <c r="P2314" t="s">
        <v>11190</v>
      </c>
      <c r="Q2314">
        <v>-38.93</v>
      </c>
      <c r="R2314" t="s">
        <v>280</v>
      </c>
      <c r="S2314">
        <v>1.2</v>
      </c>
      <c r="T2314">
        <v>25.93</v>
      </c>
      <c r="U2314" t="s">
        <v>541</v>
      </c>
      <c r="V2314" t="s">
        <v>1791</v>
      </c>
      <c r="W2314" t="s">
        <v>355</v>
      </c>
      <c r="X2314">
        <v>0.87</v>
      </c>
      <c r="Y2314" t="s">
        <v>198</v>
      </c>
      <c r="Z2314" t="s">
        <v>11191</v>
      </c>
      <c r="AA2314" t="s">
        <v>6076</v>
      </c>
      <c r="AB2314">
        <v>3.19</v>
      </c>
      <c r="AC2314" t="s">
        <v>2112</v>
      </c>
      <c r="AD2314">
        <v>80.5</v>
      </c>
      <c r="AE2314" t="s">
        <v>262</v>
      </c>
      <c r="AF2314">
        <v>2.2200000000000002</v>
      </c>
      <c r="AG2314">
        <v>0</v>
      </c>
      <c r="AH2314">
        <v>0</v>
      </c>
      <c r="AI2314" s="4">
        <v>42613</v>
      </c>
    </row>
    <row r="2315" spans="1:35">
      <c r="A2315">
        <v>2314</v>
      </c>
      <c r="B2315" t="str">
        <f>"600798"</f>
        <v>600798</v>
      </c>
      <c r="C2315" t="s">
        <v>11192</v>
      </c>
      <c r="D2315" s="4">
        <v>43190</v>
      </c>
      <c r="E2315" t="s">
        <v>978</v>
      </c>
      <c r="F2315" t="s">
        <v>978</v>
      </c>
      <c r="G2315" t="s">
        <v>2305</v>
      </c>
      <c r="H2315">
        <v>0.02</v>
      </c>
      <c r="I2315">
        <v>2.72</v>
      </c>
      <c r="J2315">
        <v>0.87</v>
      </c>
      <c r="K2315" t="s">
        <v>545</v>
      </c>
      <c r="L2315">
        <v>28.79</v>
      </c>
      <c r="M2315" t="s">
        <v>11193</v>
      </c>
      <c r="N2315" t="s">
        <v>11194</v>
      </c>
      <c r="O2315" t="s">
        <v>5399</v>
      </c>
      <c r="P2315" t="s">
        <v>9534</v>
      </c>
      <c r="Q2315">
        <v>5.87</v>
      </c>
      <c r="R2315" t="s">
        <v>806</v>
      </c>
      <c r="S2315">
        <v>0.36</v>
      </c>
      <c r="T2315">
        <v>19.670000000000002</v>
      </c>
      <c r="U2315" t="s">
        <v>2868</v>
      </c>
      <c r="V2315" t="s">
        <v>5842</v>
      </c>
      <c r="W2315" t="s">
        <v>2753</v>
      </c>
      <c r="X2315">
        <v>0.87</v>
      </c>
      <c r="Y2315" t="s">
        <v>1329</v>
      </c>
      <c r="Z2315" t="s">
        <v>776</v>
      </c>
      <c r="AA2315" t="s">
        <v>1920</v>
      </c>
      <c r="AB2315">
        <v>1.39</v>
      </c>
      <c r="AC2315" t="s">
        <v>2941</v>
      </c>
      <c r="AD2315">
        <v>45.63</v>
      </c>
      <c r="AE2315" t="s">
        <v>192</v>
      </c>
      <c r="AF2315">
        <v>1.1299999999999999</v>
      </c>
      <c r="AG2315">
        <v>0</v>
      </c>
      <c r="AH2315">
        <v>0</v>
      </c>
      <c r="AI2315" s="4">
        <v>35543</v>
      </c>
    </row>
    <row r="2316" spans="1:35">
      <c r="A2316">
        <v>2315</v>
      </c>
      <c r="B2316" t="str">
        <f>"600624"</f>
        <v>600624</v>
      </c>
      <c r="C2316" t="s">
        <v>11195</v>
      </c>
      <c r="D2316" s="4">
        <v>43190</v>
      </c>
      <c r="E2316" t="s">
        <v>2394</v>
      </c>
      <c r="F2316" t="s">
        <v>2394</v>
      </c>
      <c r="G2316">
        <v>9840</v>
      </c>
      <c r="H2316">
        <v>0.01</v>
      </c>
      <c r="I2316">
        <v>1.65</v>
      </c>
      <c r="J2316">
        <v>0.87</v>
      </c>
      <c r="K2316" t="s">
        <v>1210</v>
      </c>
      <c r="L2316">
        <v>36.96</v>
      </c>
      <c r="M2316" t="s">
        <v>11196</v>
      </c>
      <c r="N2316" t="s">
        <v>11197</v>
      </c>
      <c r="O2316" t="s">
        <v>8587</v>
      </c>
      <c r="P2316" t="s">
        <v>5935</v>
      </c>
      <c r="Q2316">
        <v>4.8899999999999997</v>
      </c>
      <c r="R2316" t="s">
        <v>2387</v>
      </c>
      <c r="S2316">
        <v>0.38</v>
      </c>
      <c r="T2316">
        <v>51.37</v>
      </c>
      <c r="U2316" t="s">
        <v>1516</v>
      </c>
      <c r="V2316" t="s">
        <v>759</v>
      </c>
      <c r="W2316" t="s">
        <v>139</v>
      </c>
      <c r="X2316">
        <v>0.87</v>
      </c>
      <c r="Y2316" t="s">
        <v>164</v>
      </c>
      <c r="Z2316" t="s">
        <v>919</v>
      </c>
      <c r="AA2316" t="s">
        <v>1364</v>
      </c>
      <c r="AB2316">
        <v>3.03</v>
      </c>
      <c r="AC2316" t="s">
        <v>835</v>
      </c>
      <c r="AD2316">
        <v>45.88</v>
      </c>
      <c r="AE2316" t="s">
        <v>1855</v>
      </c>
      <c r="AF2316">
        <v>0.25</v>
      </c>
      <c r="AG2316">
        <v>0</v>
      </c>
      <c r="AH2316">
        <v>0</v>
      </c>
      <c r="AI2316" s="4">
        <v>33974</v>
      </c>
    </row>
    <row r="2317" spans="1:35">
      <c r="A2317">
        <v>2316</v>
      </c>
      <c r="B2317" t="str">
        <f>"600356"</f>
        <v>600356</v>
      </c>
      <c r="C2317" t="s">
        <v>11198</v>
      </c>
      <c r="D2317" s="4">
        <v>43190</v>
      </c>
      <c r="E2317" t="s">
        <v>1621</v>
      </c>
      <c r="F2317" t="s">
        <v>1621</v>
      </c>
      <c r="G2317" t="s">
        <v>1340</v>
      </c>
      <c r="H2317">
        <v>0.06</v>
      </c>
      <c r="I2317">
        <v>7</v>
      </c>
      <c r="J2317">
        <v>0.87</v>
      </c>
      <c r="K2317" t="s">
        <v>2665</v>
      </c>
      <c r="L2317">
        <v>7.78</v>
      </c>
      <c r="M2317" t="s">
        <v>5723</v>
      </c>
      <c r="N2317">
        <v>0</v>
      </c>
      <c r="O2317" t="s">
        <v>5094</v>
      </c>
      <c r="P2317" t="s">
        <v>7948</v>
      </c>
      <c r="Q2317">
        <v>-33.69</v>
      </c>
      <c r="R2317" t="s">
        <v>259</v>
      </c>
      <c r="S2317">
        <v>2.33</v>
      </c>
      <c r="T2317">
        <v>24.42</v>
      </c>
      <c r="U2317" t="s">
        <v>1386</v>
      </c>
      <c r="V2317" t="s">
        <v>161</v>
      </c>
      <c r="W2317" t="s">
        <v>7297</v>
      </c>
      <c r="X2317">
        <v>0.87</v>
      </c>
      <c r="Y2317" t="s">
        <v>1058</v>
      </c>
      <c r="Z2317" t="s">
        <v>2429</v>
      </c>
      <c r="AA2317" t="s">
        <v>8569</v>
      </c>
      <c r="AB2317">
        <v>0.88</v>
      </c>
      <c r="AC2317" t="s">
        <v>159</v>
      </c>
      <c r="AD2317">
        <v>77.16</v>
      </c>
      <c r="AE2317" t="s">
        <v>2383</v>
      </c>
      <c r="AF2317">
        <v>3.1</v>
      </c>
      <c r="AG2317">
        <v>0</v>
      </c>
      <c r="AH2317">
        <v>0</v>
      </c>
      <c r="AI2317" s="4">
        <v>37000</v>
      </c>
    </row>
    <row r="2318" spans="1:35">
      <c r="A2318">
        <v>2317</v>
      </c>
      <c r="B2318" t="str">
        <f>"600039"</f>
        <v>600039</v>
      </c>
      <c r="C2318" t="s">
        <v>11199</v>
      </c>
      <c r="D2318" s="4">
        <v>43190</v>
      </c>
      <c r="E2318" t="s">
        <v>940</v>
      </c>
      <c r="F2318" t="s">
        <v>386</v>
      </c>
      <c r="G2318" t="s">
        <v>2312</v>
      </c>
      <c r="H2318">
        <v>0.03</v>
      </c>
      <c r="I2318">
        <v>3.63</v>
      </c>
      <c r="J2318">
        <v>0.87</v>
      </c>
      <c r="K2318" t="s">
        <v>1022</v>
      </c>
      <c r="L2318">
        <v>18.96</v>
      </c>
      <c r="M2318" t="s">
        <v>326</v>
      </c>
      <c r="N2318" t="s">
        <v>11200</v>
      </c>
      <c r="O2318" t="s">
        <v>1016</v>
      </c>
      <c r="P2318" t="s">
        <v>1627</v>
      </c>
      <c r="Q2318">
        <v>25.6</v>
      </c>
      <c r="R2318" t="s">
        <v>742</v>
      </c>
      <c r="S2318">
        <v>1.53</v>
      </c>
      <c r="T2318">
        <v>11.06</v>
      </c>
      <c r="U2318" t="s">
        <v>3317</v>
      </c>
      <c r="V2318" t="s">
        <v>4724</v>
      </c>
      <c r="W2318" t="s">
        <v>826</v>
      </c>
      <c r="X2318">
        <v>0.87</v>
      </c>
      <c r="Y2318" t="s">
        <v>7011</v>
      </c>
      <c r="Z2318" t="s">
        <v>2350</v>
      </c>
      <c r="AA2318" t="s">
        <v>3685</v>
      </c>
      <c r="AB2318">
        <v>0.82</v>
      </c>
      <c r="AC2318" t="s">
        <v>1784</v>
      </c>
      <c r="AD2318">
        <v>18.93</v>
      </c>
      <c r="AE2318" t="s">
        <v>864</v>
      </c>
      <c r="AF2318">
        <v>0.83</v>
      </c>
      <c r="AG2318">
        <v>0</v>
      </c>
      <c r="AH2318">
        <v>0</v>
      </c>
      <c r="AI2318" s="4">
        <v>37705</v>
      </c>
    </row>
    <row r="2319" spans="1:35">
      <c r="A2319">
        <v>2318</v>
      </c>
      <c r="B2319" t="str">
        <f>"300346"</f>
        <v>300346</v>
      </c>
      <c r="C2319" t="s">
        <v>11201</v>
      </c>
      <c r="D2319" s="4">
        <v>43190</v>
      </c>
      <c r="E2319" t="s">
        <v>2774</v>
      </c>
      <c r="F2319" t="s">
        <v>916</v>
      </c>
      <c r="G2319" t="s">
        <v>1122</v>
      </c>
      <c r="H2319">
        <v>0.04</v>
      </c>
      <c r="I2319">
        <v>4.4000000000000004</v>
      </c>
      <c r="J2319">
        <v>0.87</v>
      </c>
      <c r="K2319" t="s">
        <v>3170</v>
      </c>
      <c r="L2319">
        <v>139.38</v>
      </c>
      <c r="M2319" t="s">
        <v>11202</v>
      </c>
      <c r="N2319" t="s">
        <v>6117</v>
      </c>
      <c r="O2319" t="s">
        <v>10839</v>
      </c>
      <c r="P2319" t="s">
        <v>2899</v>
      </c>
      <c r="Q2319">
        <v>321.19</v>
      </c>
      <c r="R2319" t="s">
        <v>1383</v>
      </c>
      <c r="S2319">
        <v>1.23</v>
      </c>
      <c r="T2319">
        <v>48.85</v>
      </c>
      <c r="U2319" t="s">
        <v>350</v>
      </c>
      <c r="V2319" t="s">
        <v>2414</v>
      </c>
      <c r="W2319" t="s">
        <v>1364</v>
      </c>
      <c r="X2319">
        <v>0.87</v>
      </c>
      <c r="Y2319" t="s">
        <v>71</v>
      </c>
      <c r="Z2319" t="s">
        <v>10568</v>
      </c>
      <c r="AA2319" t="s">
        <v>8531</v>
      </c>
      <c r="AB2319">
        <v>2.78</v>
      </c>
      <c r="AC2319" t="s">
        <v>982</v>
      </c>
      <c r="AD2319">
        <v>90.15</v>
      </c>
      <c r="AE2319" t="s">
        <v>2110</v>
      </c>
      <c r="AF2319">
        <v>2</v>
      </c>
      <c r="AG2319">
        <v>0</v>
      </c>
      <c r="AH2319">
        <v>0</v>
      </c>
      <c r="AI2319" s="4">
        <v>41128</v>
      </c>
    </row>
    <row r="2320" spans="1:35">
      <c r="A2320">
        <v>2319</v>
      </c>
      <c r="B2320" t="str">
        <f>"300005"</f>
        <v>300005</v>
      </c>
      <c r="C2320" t="s">
        <v>11203</v>
      </c>
      <c r="D2320" s="4">
        <v>43190</v>
      </c>
      <c r="E2320" t="s">
        <v>1587</v>
      </c>
      <c r="F2320" t="s">
        <v>1730</v>
      </c>
      <c r="G2320" t="s">
        <v>6078</v>
      </c>
      <c r="H2320">
        <v>0.02</v>
      </c>
      <c r="I2320">
        <v>2.88</v>
      </c>
      <c r="J2320">
        <v>0.87</v>
      </c>
      <c r="K2320" t="s">
        <v>1768</v>
      </c>
      <c r="L2320">
        <v>-29.49</v>
      </c>
      <c r="M2320" t="s">
        <v>11204</v>
      </c>
      <c r="N2320" t="s">
        <v>11205</v>
      </c>
      <c r="O2320" t="s">
        <v>5308</v>
      </c>
      <c r="P2320" t="s">
        <v>5013</v>
      </c>
      <c r="Q2320">
        <v>-55.82</v>
      </c>
      <c r="R2320" t="s">
        <v>1166</v>
      </c>
      <c r="S2320">
        <v>0.61</v>
      </c>
      <c r="T2320">
        <v>27.27</v>
      </c>
      <c r="U2320" t="s">
        <v>2700</v>
      </c>
      <c r="V2320" t="s">
        <v>706</v>
      </c>
      <c r="W2320" t="s">
        <v>219</v>
      </c>
      <c r="X2320">
        <v>0.87</v>
      </c>
      <c r="Y2320" t="s">
        <v>2517</v>
      </c>
      <c r="Z2320" t="s">
        <v>2996</v>
      </c>
      <c r="AA2320" t="s">
        <v>10225</v>
      </c>
      <c r="AB2320">
        <v>1.43</v>
      </c>
      <c r="AC2320" t="s">
        <v>710</v>
      </c>
      <c r="AD2320">
        <v>78.66</v>
      </c>
      <c r="AE2320" t="s">
        <v>3752</v>
      </c>
      <c r="AF2320">
        <v>1.0900000000000001</v>
      </c>
      <c r="AG2320">
        <v>0</v>
      </c>
      <c r="AH2320">
        <v>0</v>
      </c>
      <c r="AI2320" s="4">
        <v>40116</v>
      </c>
    </row>
    <row r="2321" spans="1:35">
      <c r="A2321">
        <v>2320</v>
      </c>
      <c r="B2321" t="str">
        <f>"002730"</f>
        <v>002730</v>
      </c>
      <c r="C2321" t="s">
        <v>11206</v>
      </c>
      <c r="D2321" s="4">
        <v>43190</v>
      </c>
      <c r="E2321" t="s">
        <v>1797</v>
      </c>
      <c r="F2321" t="s">
        <v>286</v>
      </c>
      <c r="G2321" t="s">
        <v>70</v>
      </c>
      <c r="H2321">
        <v>0.02</v>
      </c>
      <c r="I2321">
        <v>2.8</v>
      </c>
      <c r="J2321">
        <v>0.87</v>
      </c>
      <c r="K2321" t="s">
        <v>2034</v>
      </c>
      <c r="L2321">
        <v>29.58</v>
      </c>
      <c r="M2321" t="s">
        <v>5197</v>
      </c>
      <c r="N2321" t="s">
        <v>4410</v>
      </c>
      <c r="O2321" t="s">
        <v>9622</v>
      </c>
      <c r="P2321" t="s">
        <v>3216</v>
      </c>
      <c r="Q2321">
        <v>60.64</v>
      </c>
      <c r="R2321" t="s">
        <v>1028</v>
      </c>
      <c r="S2321">
        <v>1.1100000000000001</v>
      </c>
      <c r="T2321">
        <v>30.62</v>
      </c>
      <c r="U2321" t="s">
        <v>848</v>
      </c>
      <c r="V2321" t="s">
        <v>2959</v>
      </c>
      <c r="W2321" t="s">
        <v>3535</v>
      </c>
      <c r="X2321">
        <v>0.87</v>
      </c>
      <c r="Y2321" t="s">
        <v>2063</v>
      </c>
      <c r="Z2321" t="s">
        <v>1058</v>
      </c>
      <c r="AA2321" t="s">
        <v>10499</v>
      </c>
      <c r="AB2321">
        <v>2.98</v>
      </c>
      <c r="AC2321" t="s">
        <v>3494</v>
      </c>
      <c r="AD2321">
        <v>57.7</v>
      </c>
      <c r="AE2321" t="s">
        <v>345</v>
      </c>
      <c r="AF2321">
        <v>0.55000000000000004</v>
      </c>
      <c r="AG2321">
        <v>0</v>
      </c>
      <c r="AH2321">
        <v>0</v>
      </c>
      <c r="AI2321" s="4">
        <v>41921</v>
      </c>
    </row>
    <row r="2322" spans="1:35">
      <c r="A2322">
        <v>2321</v>
      </c>
      <c r="B2322" t="str">
        <f>"002708"</f>
        <v>002708</v>
      </c>
      <c r="C2322" t="s">
        <v>11207</v>
      </c>
      <c r="D2322" s="4">
        <v>43190</v>
      </c>
      <c r="E2322" t="s">
        <v>2686</v>
      </c>
      <c r="F2322" t="s">
        <v>94</v>
      </c>
      <c r="G2322">
        <v>8043</v>
      </c>
      <c r="H2322">
        <v>0.03</v>
      </c>
      <c r="I2322">
        <v>3.25</v>
      </c>
      <c r="J2322">
        <v>0.87</v>
      </c>
      <c r="K2322" t="s">
        <v>218</v>
      </c>
      <c r="L2322">
        <v>2.5099999999999998</v>
      </c>
      <c r="M2322" t="s">
        <v>11208</v>
      </c>
      <c r="N2322">
        <v>0</v>
      </c>
      <c r="O2322" t="s">
        <v>7328</v>
      </c>
      <c r="P2322" t="s">
        <v>11209</v>
      </c>
      <c r="Q2322">
        <v>-18.34</v>
      </c>
      <c r="R2322" t="s">
        <v>1977</v>
      </c>
      <c r="S2322">
        <v>0.57999999999999996</v>
      </c>
      <c r="T2322">
        <v>21.89</v>
      </c>
      <c r="U2322" t="s">
        <v>244</v>
      </c>
      <c r="V2322" t="s">
        <v>354</v>
      </c>
      <c r="W2322" t="s">
        <v>62</v>
      </c>
      <c r="X2322">
        <v>0.87</v>
      </c>
      <c r="Y2322" t="s">
        <v>1415</v>
      </c>
      <c r="Z2322" t="s">
        <v>568</v>
      </c>
      <c r="AA2322" t="s">
        <v>485</v>
      </c>
      <c r="AB2322">
        <v>1.5</v>
      </c>
      <c r="AC2322" t="s">
        <v>908</v>
      </c>
      <c r="AD2322">
        <v>64.709999999999994</v>
      </c>
      <c r="AE2322" t="s">
        <v>1590</v>
      </c>
      <c r="AF2322">
        <v>1.6</v>
      </c>
      <c r="AG2322">
        <v>0</v>
      </c>
      <c r="AH2322">
        <v>0</v>
      </c>
      <c r="AI2322" s="4">
        <v>41660</v>
      </c>
    </row>
    <row r="2323" spans="1:35">
      <c r="A2323">
        <v>2322</v>
      </c>
      <c r="B2323" t="str">
        <f>"002681"</f>
        <v>002681</v>
      </c>
      <c r="C2323" t="s">
        <v>11210</v>
      </c>
      <c r="D2323" s="4">
        <v>43190</v>
      </c>
      <c r="E2323" t="s">
        <v>141</v>
      </c>
      <c r="F2323" t="s">
        <v>456</v>
      </c>
      <c r="G2323" t="s">
        <v>1639</v>
      </c>
      <c r="H2323">
        <v>0.04</v>
      </c>
      <c r="I2323">
        <v>4.21</v>
      </c>
      <c r="J2323">
        <v>0.87</v>
      </c>
      <c r="K2323" t="s">
        <v>448</v>
      </c>
      <c r="L2323">
        <v>79.8</v>
      </c>
      <c r="M2323" t="s">
        <v>11211</v>
      </c>
      <c r="N2323" t="s">
        <v>11212</v>
      </c>
      <c r="O2323" t="s">
        <v>4022</v>
      </c>
      <c r="P2323" t="s">
        <v>11004</v>
      </c>
      <c r="Q2323">
        <v>20.51</v>
      </c>
      <c r="R2323" t="s">
        <v>1384</v>
      </c>
      <c r="S2323">
        <v>0.95</v>
      </c>
      <c r="T2323">
        <v>22.28</v>
      </c>
      <c r="U2323" t="s">
        <v>2354</v>
      </c>
      <c r="V2323" t="s">
        <v>1252</v>
      </c>
      <c r="W2323" t="s">
        <v>919</v>
      </c>
      <c r="X2323">
        <v>0.87</v>
      </c>
      <c r="Y2323" t="s">
        <v>244</v>
      </c>
      <c r="Z2323" t="s">
        <v>847</v>
      </c>
      <c r="AA2323" t="s">
        <v>3632</v>
      </c>
      <c r="AB2323">
        <v>2.11</v>
      </c>
      <c r="AC2323" t="s">
        <v>6291</v>
      </c>
      <c r="AD2323">
        <v>72.56</v>
      </c>
      <c r="AE2323" t="s">
        <v>2238</v>
      </c>
      <c r="AF2323">
        <v>2.2200000000000002</v>
      </c>
      <c r="AG2323">
        <v>0</v>
      </c>
      <c r="AH2323">
        <v>0</v>
      </c>
      <c r="AI2323" s="4">
        <v>41065</v>
      </c>
    </row>
    <row r="2324" spans="1:35">
      <c r="A2324">
        <v>2323</v>
      </c>
      <c r="B2324" t="str">
        <f>"002586"</f>
        <v>002586</v>
      </c>
      <c r="C2324" t="s">
        <v>11213</v>
      </c>
      <c r="D2324" s="4">
        <v>43190</v>
      </c>
      <c r="E2324" t="s">
        <v>354</v>
      </c>
      <c r="F2324" t="s">
        <v>1493</v>
      </c>
      <c r="G2324" t="s">
        <v>6544</v>
      </c>
      <c r="H2324">
        <v>0.03</v>
      </c>
      <c r="I2324">
        <v>4.49</v>
      </c>
      <c r="J2324">
        <v>0.87</v>
      </c>
      <c r="K2324" t="s">
        <v>5203</v>
      </c>
      <c r="L2324">
        <v>103.61</v>
      </c>
      <c r="M2324" t="s">
        <v>5967</v>
      </c>
      <c r="N2324" t="s">
        <v>8177</v>
      </c>
      <c r="O2324" t="s">
        <v>11214</v>
      </c>
      <c r="P2324" t="s">
        <v>11215</v>
      </c>
      <c r="Q2324">
        <v>3058.33</v>
      </c>
      <c r="R2324" t="s">
        <v>105</v>
      </c>
      <c r="S2324">
        <v>0.47</v>
      </c>
      <c r="T2324">
        <v>9.6199999999999992</v>
      </c>
      <c r="U2324" t="s">
        <v>3536</v>
      </c>
      <c r="V2324" t="s">
        <v>3653</v>
      </c>
      <c r="W2324" t="s">
        <v>1366</v>
      </c>
      <c r="X2324">
        <v>0.87</v>
      </c>
      <c r="Y2324" t="s">
        <v>1742</v>
      </c>
      <c r="Z2324" t="s">
        <v>236</v>
      </c>
      <c r="AA2324" t="s">
        <v>805</v>
      </c>
      <c r="AB2324">
        <v>1.65</v>
      </c>
      <c r="AC2324" t="s">
        <v>1032</v>
      </c>
      <c r="AD2324">
        <v>51.28</v>
      </c>
      <c r="AE2324" t="s">
        <v>774</v>
      </c>
      <c r="AF2324">
        <v>3</v>
      </c>
      <c r="AG2324">
        <v>0</v>
      </c>
      <c r="AH2324">
        <v>0</v>
      </c>
      <c r="AI2324" s="4">
        <v>40696</v>
      </c>
    </row>
    <row r="2325" spans="1:35">
      <c r="A2325">
        <v>2324</v>
      </c>
      <c r="B2325" t="str">
        <f>"002585"</f>
        <v>002585</v>
      </c>
      <c r="C2325" t="s">
        <v>11216</v>
      </c>
      <c r="D2325" s="4">
        <v>43190</v>
      </c>
      <c r="E2325" t="s">
        <v>613</v>
      </c>
      <c r="F2325" t="s">
        <v>1722</v>
      </c>
      <c r="G2325" t="s">
        <v>5386</v>
      </c>
      <c r="H2325">
        <v>0.06</v>
      </c>
      <c r="I2325">
        <v>6.45</v>
      </c>
      <c r="J2325">
        <v>0.87</v>
      </c>
      <c r="K2325" t="s">
        <v>3544</v>
      </c>
      <c r="L2325">
        <v>24.54</v>
      </c>
      <c r="M2325" t="s">
        <v>4035</v>
      </c>
      <c r="N2325">
        <v>0</v>
      </c>
      <c r="O2325" t="s">
        <v>11217</v>
      </c>
      <c r="P2325" t="s">
        <v>11218</v>
      </c>
      <c r="Q2325">
        <v>50.26</v>
      </c>
      <c r="R2325" t="s">
        <v>721</v>
      </c>
      <c r="S2325">
        <v>0.85</v>
      </c>
      <c r="T2325">
        <v>17.440000000000001</v>
      </c>
      <c r="U2325" t="s">
        <v>5856</v>
      </c>
      <c r="V2325" t="s">
        <v>8225</v>
      </c>
      <c r="W2325" t="s">
        <v>706</v>
      </c>
      <c r="X2325">
        <v>0.87</v>
      </c>
      <c r="Y2325" t="s">
        <v>867</v>
      </c>
      <c r="Z2325" t="s">
        <v>6154</v>
      </c>
      <c r="AA2325" t="s">
        <v>3193</v>
      </c>
      <c r="AB2325">
        <v>0.82</v>
      </c>
      <c r="AC2325" t="s">
        <v>1986</v>
      </c>
      <c r="AD2325">
        <v>81.05</v>
      </c>
      <c r="AE2325" t="s">
        <v>428</v>
      </c>
      <c r="AF2325">
        <v>4.4800000000000004</v>
      </c>
      <c r="AG2325">
        <v>0</v>
      </c>
      <c r="AH2325">
        <v>0</v>
      </c>
      <c r="AI2325" s="4">
        <v>40696</v>
      </c>
    </row>
    <row r="2326" spans="1:35">
      <c r="A2326">
        <v>2325</v>
      </c>
      <c r="B2326" t="str">
        <f>"002546"</f>
        <v>002546</v>
      </c>
      <c r="C2326" t="s">
        <v>11219</v>
      </c>
      <c r="D2326" s="4">
        <v>43190</v>
      </c>
      <c r="E2326" t="s">
        <v>1575</v>
      </c>
      <c r="F2326" t="s">
        <v>776</v>
      </c>
      <c r="G2326" t="s">
        <v>1639</v>
      </c>
      <c r="H2326">
        <v>0.03</v>
      </c>
      <c r="I2326">
        <v>3.32</v>
      </c>
      <c r="J2326">
        <v>0.87</v>
      </c>
      <c r="K2326" t="s">
        <v>2360</v>
      </c>
      <c r="L2326">
        <v>25.72</v>
      </c>
      <c r="M2326" t="s">
        <v>10447</v>
      </c>
      <c r="N2326" t="s">
        <v>11220</v>
      </c>
      <c r="O2326" t="s">
        <v>11221</v>
      </c>
      <c r="P2326" t="s">
        <v>9534</v>
      </c>
      <c r="Q2326">
        <v>29.07</v>
      </c>
      <c r="R2326" t="s">
        <v>1723</v>
      </c>
      <c r="S2326">
        <v>0.73</v>
      </c>
      <c r="T2326">
        <v>36.159999999999997</v>
      </c>
      <c r="U2326" t="s">
        <v>1488</v>
      </c>
      <c r="V2326" t="s">
        <v>1881</v>
      </c>
      <c r="W2326" t="s">
        <v>2102</v>
      </c>
      <c r="X2326">
        <v>0.87</v>
      </c>
      <c r="Y2326" t="s">
        <v>2041</v>
      </c>
      <c r="Z2326" t="s">
        <v>1400</v>
      </c>
      <c r="AA2326" t="s">
        <v>9290</v>
      </c>
      <c r="AB2326">
        <v>1.05</v>
      </c>
      <c r="AC2326" t="s">
        <v>1542</v>
      </c>
      <c r="AD2326">
        <v>86.02</v>
      </c>
      <c r="AE2326" t="s">
        <v>982</v>
      </c>
      <c r="AF2326">
        <v>1.46</v>
      </c>
      <c r="AG2326">
        <v>0</v>
      </c>
      <c r="AH2326">
        <v>0</v>
      </c>
      <c r="AI2326" s="4">
        <v>40585</v>
      </c>
    </row>
    <row r="2327" spans="1:35">
      <c r="A2327">
        <v>2326</v>
      </c>
      <c r="B2327" t="str">
        <f>"002535"</f>
        <v>002535</v>
      </c>
      <c r="C2327" t="s">
        <v>11222</v>
      </c>
      <c r="D2327" s="4">
        <v>43190</v>
      </c>
      <c r="E2327" t="s">
        <v>4009</v>
      </c>
      <c r="F2327" t="s">
        <v>174</v>
      </c>
      <c r="G2327">
        <v>9861</v>
      </c>
      <c r="H2327">
        <v>0.03</v>
      </c>
      <c r="I2327">
        <v>3.68</v>
      </c>
      <c r="J2327">
        <v>0.87</v>
      </c>
      <c r="K2327" t="s">
        <v>1295</v>
      </c>
      <c r="L2327">
        <v>85.59</v>
      </c>
      <c r="M2327" t="s">
        <v>8946</v>
      </c>
      <c r="N2327" t="s">
        <v>11223</v>
      </c>
      <c r="O2327" t="s">
        <v>8408</v>
      </c>
      <c r="P2327" t="s">
        <v>4516</v>
      </c>
      <c r="Q2327">
        <v>9679.48</v>
      </c>
      <c r="R2327" t="s">
        <v>1666</v>
      </c>
      <c r="S2327">
        <v>0.33</v>
      </c>
      <c r="T2327">
        <v>24.16</v>
      </c>
      <c r="U2327" t="s">
        <v>2842</v>
      </c>
      <c r="V2327" t="s">
        <v>2917</v>
      </c>
      <c r="W2327" t="s">
        <v>298</v>
      </c>
      <c r="X2327">
        <v>0.87</v>
      </c>
      <c r="Y2327" t="s">
        <v>1925</v>
      </c>
      <c r="Z2327" t="s">
        <v>893</v>
      </c>
      <c r="AA2327" t="s">
        <v>340</v>
      </c>
      <c r="AB2327">
        <v>0.96</v>
      </c>
      <c r="AC2327" t="s">
        <v>1242</v>
      </c>
      <c r="AD2327">
        <v>37.76</v>
      </c>
      <c r="AE2327" t="s">
        <v>303</v>
      </c>
      <c r="AF2327">
        <v>2.23</v>
      </c>
      <c r="AG2327">
        <v>0</v>
      </c>
      <c r="AH2327">
        <v>0</v>
      </c>
      <c r="AI2327" s="4">
        <v>40554</v>
      </c>
    </row>
    <row r="2328" spans="1:35">
      <c r="A2328">
        <v>2327</v>
      </c>
      <c r="B2328" t="str">
        <f>"002458"</f>
        <v>002458</v>
      </c>
      <c r="C2328" t="s">
        <v>11224</v>
      </c>
      <c r="D2328" s="4">
        <v>43190</v>
      </c>
      <c r="E2328" t="s">
        <v>678</v>
      </c>
      <c r="F2328" t="s">
        <v>603</v>
      </c>
      <c r="G2328">
        <v>7327</v>
      </c>
      <c r="H2328">
        <v>0.03</v>
      </c>
      <c r="I2328">
        <v>3.63</v>
      </c>
      <c r="J2328">
        <v>0.87</v>
      </c>
      <c r="K2328" t="s">
        <v>262</v>
      </c>
      <c r="L2328">
        <v>5.89</v>
      </c>
      <c r="M2328" t="s">
        <v>6350</v>
      </c>
      <c r="N2328" t="s">
        <v>11225</v>
      </c>
      <c r="O2328" t="s">
        <v>11138</v>
      </c>
      <c r="P2328" t="s">
        <v>11226</v>
      </c>
      <c r="Q2328">
        <v>211.87</v>
      </c>
      <c r="R2328" t="s">
        <v>11227</v>
      </c>
      <c r="S2328">
        <v>-0.57999999999999996</v>
      </c>
      <c r="T2328">
        <v>17.66</v>
      </c>
      <c r="U2328" t="s">
        <v>114</v>
      </c>
      <c r="V2328" t="s">
        <v>48</v>
      </c>
      <c r="W2328" t="s">
        <v>295</v>
      </c>
      <c r="X2328">
        <v>0.87</v>
      </c>
      <c r="Y2328" t="s">
        <v>821</v>
      </c>
      <c r="Z2328" t="s">
        <v>1204</v>
      </c>
      <c r="AA2328" t="s">
        <v>845</v>
      </c>
      <c r="AB2328">
        <v>4.6900000000000004</v>
      </c>
      <c r="AC2328" t="s">
        <v>982</v>
      </c>
      <c r="AD2328">
        <v>56.67</v>
      </c>
      <c r="AE2328" t="s">
        <v>1496</v>
      </c>
      <c r="AF2328">
        <v>3.03</v>
      </c>
      <c r="AG2328">
        <v>0</v>
      </c>
      <c r="AH2328">
        <v>0</v>
      </c>
      <c r="AI2328" s="4">
        <v>40400</v>
      </c>
    </row>
    <row r="2329" spans="1:35">
      <c r="A2329">
        <v>2328</v>
      </c>
      <c r="B2329" t="str">
        <f>"002099"</f>
        <v>002099</v>
      </c>
      <c r="C2329" t="s">
        <v>11228</v>
      </c>
      <c r="D2329" s="4">
        <v>43190</v>
      </c>
      <c r="E2329" t="s">
        <v>1062</v>
      </c>
      <c r="F2329" t="s">
        <v>983</v>
      </c>
      <c r="G2329" t="s">
        <v>7320</v>
      </c>
      <c r="H2329">
        <v>0.03</v>
      </c>
      <c r="I2329">
        <v>3.11</v>
      </c>
      <c r="J2329">
        <v>0.87</v>
      </c>
      <c r="K2329" t="s">
        <v>2674</v>
      </c>
      <c r="L2329">
        <v>4.54</v>
      </c>
      <c r="M2329" t="s">
        <v>11229</v>
      </c>
      <c r="N2329" t="s">
        <v>11230</v>
      </c>
      <c r="O2329" t="s">
        <v>9789</v>
      </c>
      <c r="P2329" t="s">
        <v>11231</v>
      </c>
      <c r="Q2329">
        <v>-61.51</v>
      </c>
      <c r="R2329" t="s">
        <v>2870</v>
      </c>
      <c r="S2329">
        <v>0.48</v>
      </c>
      <c r="T2329">
        <v>41.85</v>
      </c>
      <c r="U2329" t="s">
        <v>5659</v>
      </c>
      <c r="V2329" t="s">
        <v>1412</v>
      </c>
      <c r="W2329" t="s">
        <v>625</v>
      </c>
      <c r="X2329">
        <v>0.87</v>
      </c>
      <c r="Y2329" t="s">
        <v>419</v>
      </c>
      <c r="Z2329" t="s">
        <v>754</v>
      </c>
      <c r="AA2329" t="s">
        <v>657</v>
      </c>
      <c r="AB2329">
        <v>1.55</v>
      </c>
      <c r="AC2329" t="s">
        <v>1326</v>
      </c>
      <c r="AD2329">
        <v>72.599999999999994</v>
      </c>
      <c r="AE2329" t="s">
        <v>1785</v>
      </c>
      <c r="AF2329">
        <v>1.63</v>
      </c>
      <c r="AG2329">
        <v>0</v>
      </c>
      <c r="AH2329">
        <v>0</v>
      </c>
      <c r="AI2329" s="4">
        <v>39077</v>
      </c>
    </row>
    <row r="2330" spans="1:35">
      <c r="A2330">
        <v>2329</v>
      </c>
      <c r="B2330" t="str">
        <f>"002010"</f>
        <v>002010</v>
      </c>
      <c r="C2330" t="s">
        <v>11232</v>
      </c>
      <c r="D2330" s="4">
        <v>43190</v>
      </c>
      <c r="E2330" t="s">
        <v>2700</v>
      </c>
      <c r="F2330" t="s">
        <v>2608</v>
      </c>
      <c r="G2330" t="s">
        <v>2381</v>
      </c>
      <c r="H2330">
        <v>0.03</v>
      </c>
      <c r="I2330">
        <v>3.55</v>
      </c>
      <c r="J2330">
        <v>0.87</v>
      </c>
      <c r="K2330" t="s">
        <v>2736</v>
      </c>
      <c r="L2330">
        <v>121.14</v>
      </c>
      <c r="M2330" t="s">
        <v>2034</v>
      </c>
      <c r="N2330" t="s">
        <v>11147</v>
      </c>
      <c r="O2330" t="s">
        <v>452</v>
      </c>
      <c r="P2330" t="s">
        <v>11233</v>
      </c>
      <c r="Q2330">
        <v>12.05</v>
      </c>
      <c r="R2330" t="s">
        <v>712</v>
      </c>
      <c r="S2330">
        <v>0.62</v>
      </c>
      <c r="T2330">
        <v>10.8</v>
      </c>
      <c r="U2330" t="s">
        <v>2707</v>
      </c>
      <c r="V2330" t="s">
        <v>413</v>
      </c>
      <c r="W2330" t="s">
        <v>1569</v>
      </c>
      <c r="X2330">
        <v>0.87</v>
      </c>
      <c r="Y2330" t="s">
        <v>1753</v>
      </c>
      <c r="Z2330" t="s">
        <v>4487</v>
      </c>
      <c r="AA2330" t="s">
        <v>4228</v>
      </c>
      <c r="AB2330">
        <v>3.75</v>
      </c>
      <c r="AC2330" t="s">
        <v>590</v>
      </c>
      <c r="AD2330">
        <v>43.19</v>
      </c>
      <c r="AE2330" t="s">
        <v>3299</v>
      </c>
      <c r="AF2330">
        <v>1.86</v>
      </c>
      <c r="AG2330">
        <v>0</v>
      </c>
      <c r="AH2330">
        <v>0</v>
      </c>
      <c r="AI2330" s="4">
        <v>38167</v>
      </c>
    </row>
    <row r="2331" spans="1:35">
      <c r="A2331">
        <v>2330</v>
      </c>
      <c r="B2331" t="str">
        <f>"000933"</f>
        <v>000933</v>
      </c>
      <c r="C2331" t="s">
        <v>11234</v>
      </c>
      <c r="D2331" s="4">
        <v>43190</v>
      </c>
      <c r="E2331" t="s">
        <v>183</v>
      </c>
      <c r="F2331" t="s">
        <v>183</v>
      </c>
      <c r="G2331" t="s">
        <v>268</v>
      </c>
      <c r="H2331">
        <v>0.04</v>
      </c>
      <c r="I2331">
        <v>3.15</v>
      </c>
      <c r="J2331">
        <v>0.87</v>
      </c>
      <c r="K2331" t="s">
        <v>3386</v>
      </c>
      <c r="L2331">
        <v>4.12</v>
      </c>
      <c r="M2331" t="s">
        <v>282</v>
      </c>
      <c r="N2331" t="s">
        <v>10323</v>
      </c>
      <c r="O2331" t="s">
        <v>1376</v>
      </c>
      <c r="P2331" t="s">
        <v>11235</v>
      </c>
      <c r="Q2331">
        <v>-76.41</v>
      </c>
      <c r="R2331" t="s">
        <v>164</v>
      </c>
      <c r="S2331">
        <v>0.66</v>
      </c>
      <c r="T2331">
        <v>15.29</v>
      </c>
      <c r="U2331" t="s">
        <v>11236</v>
      </c>
      <c r="V2331" t="s">
        <v>2271</v>
      </c>
      <c r="W2331" t="s">
        <v>4462</v>
      </c>
      <c r="X2331">
        <v>0.87</v>
      </c>
      <c r="Y2331" t="s">
        <v>9454</v>
      </c>
      <c r="Z2331" t="s">
        <v>10159</v>
      </c>
      <c r="AA2331" t="s">
        <v>1808</v>
      </c>
      <c r="AB2331">
        <v>1.54</v>
      </c>
      <c r="AC2331" t="s">
        <v>3089</v>
      </c>
      <c r="AD2331">
        <v>11.2</v>
      </c>
      <c r="AE2331" t="s">
        <v>2328</v>
      </c>
      <c r="AF2331">
        <v>1.02</v>
      </c>
      <c r="AG2331">
        <v>0</v>
      </c>
      <c r="AH2331">
        <v>0</v>
      </c>
      <c r="AI2331" s="4">
        <v>36403</v>
      </c>
    </row>
    <row r="2332" spans="1:35">
      <c r="A2332">
        <v>2331</v>
      </c>
      <c r="B2332" t="str">
        <f>"603063"</f>
        <v>603063</v>
      </c>
      <c r="C2332" t="s">
        <v>11237</v>
      </c>
      <c r="D2332" s="4">
        <v>43190</v>
      </c>
      <c r="E2332" t="s">
        <v>324</v>
      </c>
      <c r="F2332" t="s">
        <v>4561</v>
      </c>
      <c r="G2332">
        <v>2688</v>
      </c>
      <c r="H2332">
        <v>0.05</v>
      </c>
      <c r="I2332">
        <v>5.59</v>
      </c>
      <c r="J2332">
        <v>0.86</v>
      </c>
      <c r="K2332" t="s">
        <v>2603</v>
      </c>
      <c r="L2332">
        <v>-60.03</v>
      </c>
      <c r="M2332" t="s">
        <v>9899</v>
      </c>
      <c r="N2332" t="s">
        <v>7535</v>
      </c>
      <c r="O2332" t="s">
        <v>11238</v>
      </c>
      <c r="P2332" t="s">
        <v>11239</v>
      </c>
      <c r="Q2332">
        <v>-71.23</v>
      </c>
      <c r="R2332" t="s">
        <v>3124</v>
      </c>
      <c r="S2332">
        <v>2.1800000000000002</v>
      </c>
      <c r="T2332">
        <v>53.61</v>
      </c>
      <c r="U2332" t="s">
        <v>1700</v>
      </c>
      <c r="V2332" t="s">
        <v>1308</v>
      </c>
      <c r="W2332" t="s">
        <v>11240</v>
      </c>
      <c r="X2332">
        <v>0.86</v>
      </c>
      <c r="Y2332" t="s">
        <v>1968</v>
      </c>
      <c r="Z2332" t="s">
        <v>593</v>
      </c>
      <c r="AA2332" t="s">
        <v>7862</v>
      </c>
      <c r="AB2332">
        <v>1.95</v>
      </c>
      <c r="AC2332" t="s">
        <v>1213</v>
      </c>
      <c r="AD2332">
        <v>86.6</v>
      </c>
      <c r="AE2332" t="s">
        <v>2836</v>
      </c>
      <c r="AF2332">
        <v>2.23</v>
      </c>
      <c r="AG2332">
        <v>0</v>
      </c>
      <c r="AH2332">
        <v>0</v>
      </c>
      <c r="AI2332" s="4">
        <v>42944</v>
      </c>
    </row>
    <row r="2333" spans="1:35">
      <c r="A2333">
        <v>2332</v>
      </c>
      <c r="B2333" t="str">
        <f>"600866"</f>
        <v>600866</v>
      </c>
      <c r="C2333" t="s">
        <v>11241</v>
      </c>
      <c r="D2333" s="4">
        <v>43190</v>
      </c>
      <c r="E2333" t="s">
        <v>4760</v>
      </c>
      <c r="F2333" t="s">
        <v>4760</v>
      </c>
      <c r="G2333" t="s">
        <v>1199</v>
      </c>
      <c r="H2333">
        <v>0.01</v>
      </c>
      <c r="I2333">
        <v>1.43</v>
      </c>
      <c r="J2333">
        <v>0.86</v>
      </c>
      <c r="K2333" t="s">
        <v>4614</v>
      </c>
      <c r="L2333">
        <v>104.82</v>
      </c>
      <c r="M2333" t="s">
        <v>7897</v>
      </c>
      <c r="N2333" t="s">
        <v>11242</v>
      </c>
      <c r="O2333" t="s">
        <v>6828</v>
      </c>
      <c r="P2333" t="s">
        <v>6828</v>
      </c>
      <c r="Q2333">
        <v>130.51</v>
      </c>
      <c r="R2333" t="s">
        <v>11243</v>
      </c>
      <c r="S2333">
        <v>-1.02</v>
      </c>
      <c r="T2333">
        <v>18.809999999999999</v>
      </c>
      <c r="U2333" t="s">
        <v>173</v>
      </c>
      <c r="V2333" t="s">
        <v>735</v>
      </c>
      <c r="W2333" t="s">
        <v>2194</v>
      </c>
      <c r="X2333">
        <v>0.86</v>
      </c>
      <c r="Y2333" t="s">
        <v>999</v>
      </c>
      <c r="Z2333" t="s">
        <v>314</v>
      </c>
      <c r="AA2333" t="s">
        <v>326</v>
      </c>
      <c r="AB2333">
        <v>2.4</v>
      </c>
      <c r="AC2333" t="s">
        <v>3986</v>
      </c>
      <c r="AD2333">
        <v>64.86</v>
      </c>
      <c r="AE2333" t="s">
        <v>7533</v>
      </c>
      <c r="AF2333">
        <v>1.18</v>
      </c>
      <c r="AG2333">
        <v>0</v>
      </c>
      <c r="AH2333">
        <v>0</v>
      </c>
      <c r="AI2333" s="4">
        <v>34564</v>
      </c>
    </row>
    <row r="2334" spans="1:35">
      <c r="A2334">
        <v>2333</v>
      </c>
      <c r="B2334" t="str">
        <f>"600587"</f>
        <v>600587</v>
      </c>
      <c r="C2334" t="s">
        <v>11244</v>
      </c>
      <c r="D2334" s="4">
        <v>43190</v>
      </c>
      <c r="E2334" t="s">
        <v>365</v>
      </c>
      <c r="F2334" t="s">
        <v>800</v>
      </c>
      <c r="G2334" t="s">
        <v>1862</v>
      </c>
      <c r="H2334">
        <v>7.0000000000000007E-2</v>
      </c>
      <c r="I2334">
        <v>8.18</v>
      </c>
      <c r="J2334">
        <v>0.86</v>
      </c>
      <c r="K2334" t="s">
        <v>789</v>
      </c>
      <c r="L2334">
        <v>3.22</v>
      </c>
      <c r="M2334" t="s">
        <v>11245</v>
      </c>
      <c r="N2334" t="s">
        <v>11246</v>
      </c>
      <c r="O2334" t="s">
        <v>11247</v>
      </c>
      <c r="P2334" t="s">
        <v>7697</v>
      </c>
      <c r="Q2334">
        <v>-35.08</v>
      </c>
      <c r="R2334" t="s">
        <v>264</v>
      </c>
      <c r="S2334">
        <v>2.98</v>
      </c>
      <c r="T2334">
        <v>19.13</v>
      </c>
      <c r="U2334" t="s">
        <v>580</v>
      </c>
      <c r="V2334" t="s">
        <v>3278</v>
      </c>
      <c r="W2334" t="s">
        <v>865</v>
      </c>
      <c r="X2334">
        <v>0.86</v>
      </c>
      <c r="Y2334" t="s">
        <v>5658</v>
      </c>
      <c r="Z2334" t="s">
        <v>797</v>
      </c>
      <c r="AA2334" t="s">
        <v>852</v>
      </c>
      <c r="AB2334">
        <v>1.69</v>
      </c>
      <c r="AC2334" t="s">
        <v>1488</v>
      </c>
      <c r="AD2334">
        <v>27.22</v>
      </c>
      <c r="AE2334" t="s">
        <v>847</v>
      </c>
      <c r="AF2334">
        <v>3.94</v>
      </c>
      <c r="AG2334">
        <v>0</v>
      </c>
      <c r="AH2334">
        <v>0</v>
      </c>
      <c r="AI2334" s="4">
        <v>37526</v>
      </c>
    </row>
    <row r="2335" spans="1:35">
      <c r="A2335">
        <v>2334</v>
      </c>
      <c r="B2335" t="str">
        <f>"300536"</f>
        <v>300536</v>
      </c>
      <c r="C2335" t="s">
        <v>11248</v>
      </c>
      <c r="D2335" s="4">
        <v>43190</v>
      </c>
      <c r="E2335" t="s">
        <v>290</v>
      </c>
      <c r="F2335" t="s">
        <v>11249</v>
      </c>
      <c r="G2335">
        <v>3982</v>
      </c>
      <c r="H2335">
        <v>0.03</v>
      </c>
      <c r="I2335">
        <v>3.04</v>
      </c>
      <c r="J2335">
        <v>0.86</v>
      </c>
      <c r="K2335" t="s">
        <v>11250</v>
      </c>
      <c r="L2335">
        <v>40.630000000000003</v>
      </c>
      <c r="M2335" t="s">
        <v>8845</v>
      </c>
      <c r="N2335">
        <v>0</v>
      </c>
      <c r="O2335" t="s">
        <v>11251</v>
      </c>
      <c r="P2335" t="s">
        <v>11252</v>
      </c>
      <c r="Q2335">
        <v>12.58</v>
      </c>
      <c r="R2335" t="s">
        <v>200</v>
      </c>
      <c r="S2335">
        <v>1.1000000000000001</v>
      </c>
      <c r="T2335">
        <v>26.68</v>
      </c>
      <c r="U2335" t="s">
        <v>3489</v>
      </c>
      <c r="V2335" t="s">
        <v>721</v>
      </c>
      <c r="W2335" t="s">
        <v>11253</v>
      </c>
      <c r="X2335">
        <v>0.86</v>
      </c>
      <c r="Y2335" t="s">
        <v>611</v>
      </c>
      <c r="Z2335" t="s">
        <v>611</v>
      </c>
      <c r="AA2335">
        <v>0</v>
      </c>
      <c r="AB2335">
        <v>3.44</v>
      </c>
      <c r="AC2335" t="s">
        <v>4427</v>
      </c>
      <c r="AD2335">
        <v>52.34</v>
      </c>
      <c r="AE2335" t="s">
        <v>595</v>
      </c>
      <c r="AF2335">
        <v>0.8</v>
      </c>
      <c r="AG2335">
        <v>0</v>
      </c>
      <c r="AH2335">
        <v>0</v>
      </c>
      <c r="AI2335" s="4">
        <v>42633</v>
      </c>
    </row>
    <row r="2336" spans="1:35">
      <c r="A2336">
        <v>2335</v>
      </c>
      <c r="B2336" t="str">
        <f>"300393"</f>
        <v>300393</v>
      </c>
      <c r="C2336" t="s">
        <v>11254</v>
      </c>
      <c r="D2336" s="4">
        <v>43190</v>
      </c>
      <c r="E2336" t="s">
        <v>1489</v>
      </c>
      <c r="F2336" t="s">
        <v>1525</v>
      </c>
      <c r="G2336" t="s">
        <v>3138</v>
      </c>
      <c r="H2336">
        <v>0.09</v>
      </c>
      <c r="I2336">
        <v>10.3</v>
      </c>
      <c r="J2336">
        <v>0.86</v>
      </c>
      <c r="K2336" t="s">
        <v>155</v>
      </c>
      <c r="L2336">
        <v>-34.56</v>
      </c>
      <c r="M2336" t="s">
        <v>8799</v>
      </c>
      <c r="N2336" t="s">
        <v>5667</v>
      </c>
      <c r="O2336" t="s">
        <v>11255</v>
      </c>
      <c r="P2336" t="s">
        <v>6397</v>
      </c>
      <c r="Q2336">
        <v>-69.41</v>
      </c>
      <c r="R2336" t="s">
        <v>1874</v>
      </c>
      <c r="S2336">
        <v>2.02</v>
      </c>
      <c r="T2336">
        <v>29.42</v>
      </c>
      <c r="U2336" t="s">
        <v>3755</v>
      </c>
      <c r="V2336" t="s">
        <v>3073</v>
      </c>
      <c r="W2336" t="s">
        <v>924</v>
      </c>
      <c r="X2336">
        <v>0.86</v>
      </c>
      <c r="Y2336" t="s">
        <v>570</v>
      </c>
      <c r="Z2336" t="s">
        <v>833</v>
      </c>
      <c r="AA2336" t="s">
        <v>759</v>
      </c>
      <c r="AB2336">
        <v>3.45</v>
      </c>
      <c r="AC2336" t="s">
        <v>1832</v>
      </c>
      <c r="AD2336">
        <v>45.22</v>
      </c>
      <c r="AE2336" t="s">
        <v>304</v>
      </c>
      <c r="AF2336">
        <v>7.15</v>
      </c>
      <c r="AG2336">
        <v>0</v>
      </c>
      <c r="AH2336">
        <v>0</v>
      </c>
      <c r="AI2336" s="4">
        <v>41894</v>
      </c>
    </row>
    <row r="2337" spans="1:35">
      <c r="A2337">
        <v>2336</v>
      </c>
      <c r="B2337" t="str">
        <f>"002862"</f>
        <v>002862</v>
      </c>
      <c r="C2337" t="s">
        <v>11256</v>
      </c>
      <c r="D2337" s="4">
        <v>43190</v>
      </c>
      <c r="E2337" t="s">
        <v>2575</v>
      </c>
      <c r="F2337" t="s">
        <v>11257</v>
      </c>
      <c r="G2337">
        <v>2733</v>
      </c>
      <c r="H2337">
        <v>0.06</v>
      </c>
      <c r="I2337">
        <v>6.77</v>
      </c>
      <c r="J2337">
        <v>0.86</v>
      </c>
      <c r="K2337" t="s">
        <v>11258</v>
      </c>
      <c r="L2337">
        <v>-5.34</v>
      </c>
      <c r="M2337" t="s">
        <v>9100</v>
      </c>
      <c r="N2337" t="s">
        <v>5473</v>
      </c>
      <c r="O2337" t="s">
        <v>332</v>
      </c>
      <c r="P2337" t="s">
        <v>5250</v>
      </c>
      <c r="Q2337">
        <v>-9.33</v>
      </c>
      <c r="R2337" t="s">
        <v>920</v>
      </c>
      <c r="S2337">
        <v>1.71</v>
      </c>
      <c r="T2337">
        <v>25.05</v>
      </c>
      <c r="U2337" t="s">
        <v>108</v>
      </c>
      <c r="V2337" t="s">
        <v>3726</v>
      </c>
      <c r="W2337" t="s">
        <v>603</v>
      </c>
      <c r="X2337">
        <v>0.86</v>
      </c>
      <c r="Y2337" t="s">
        <v>10418</v>
      </c>
      <c r="Z2337" t="s">
        <v>3943</v>
      </c>
      <c r="AA2337" t="s">
        <v>8651</v>
      </c>
      <c r="AB2337">
        <v>2.84</v>
      </c>
      <c r="AC2337" t="s">
        <v>592</v>
      </c>
      <c r="AD2337">
        <v>94.02</v>
      </c>
      <c r="AE2337" t="s">
        <v>325</v>
      </c>
      <c r="AF2337">
        <v>3.85</v>
      </c>
      <c r="AG2337">
        <v>0</v>
      </c>
      <c r="AH2337">
        <v>0</v>
      </c>
      <c r="AI2337" s="4">
        <v>42836</v>
      </c>
    </row>
    <row r="2338" spans="1:35">
      <c r="A2338">
        <v>2337</v>
      </c>
      <c r="B2338" t="str">
        <f>"002856"</f>
        <v>002856</v>
      </c>
      <c r="C2338" t="s">
        <v>11259</v>
      </c>
      <c r="D2338" s="4">
        <v>43190</v>
      </c>
      <c r="E2338" t="s">
        <v>209</v>
      </c>
      <c r="F2338" t="s">
        <v>7506</v>
      </c>
      <c r="G2338">
        <v>1772</v>
      </c>
      <c r="H2338">
        <v>0.05</v>
      </c>
      <c r="I2338">
        <v>5.28</v>
      </c>
      <c r="J2338">
        <v>0.86</v>
      </c>
      <c r="K2338" t="s">
        <v>383</v>
      </c>
      <c r="L2338">
        <v>5.36</v>
      </c>
      <c r="M2338" t="s">
        <v>11260</v>
      </c>
      <c r="N2338">
        <v>0</v>
      </c>
      <c r="O2338" t="s">
        <v>7877</v>
      </c>
      <c r="P2338" t="s">
        <v>11261</v>
      </c>
      <c r="Q2338">
        <v>-38.25</v>
      </c>
      <c r="R2338" t="s">
        <v>682</v>
      </c>
      <c r="S2338">
        <v>1.69</v>
      </c>
      <c r="T2338">
        <v>13</v>
      </c>
      <c r="U2338" t="s">
        <v>1082</v>
      </c>
      <c r="V2338" t="s">
        <v>625</v>
      </c>
      <c r="W2338" t="s">
        <v>5951</v>
      </c>
      <c r="X2338">
        <v>0.86</v>
      </c>
      <c r="Y2338" t="s">
        <v>1874</v>
      </c>
      <c r="Z2338" t="s">
        <v>1874</v>
      </c>
      <c r="AA2338">
        <v>0</v>
      </c>
      <c r="AB2338">
        <v>6.05</v>
      </c>
      <c r="AC2338" t="s">
        <v>190</v>
      </c>
      <c r="AD2338">
        <v>51.91</v>
      </c>
      <c r="AE2338" t="s">
        <v>325</v>
      </c>
      <c r="AF2338">
        <v>2.37</v>
      </c>
      <c r="AG2338">
        <v>0</v>
      </c>
      <c r="AH2338">
        <v>0</v>
      </c>
      <c r="AI2338" s="4">
        <v>42814</v>
      </c>
    </row>
    <row r="2339" spans="1:35">
      <c r="A2339">
        <v>2338</v>
      </c>
      <c r="B2339" t="str">
        <f>"002498"</f>
        <v>002498</v>
      </c>
      <c r="C2339" t="s">
        <v>11262</v>
      </c>
      <c r="D2339" s="4">
        <v>43190</v>
      </c>
      <c r="E2339" t="s">
        <v>1488</v>
      </c>
      <c r="F2339" t="s">
        <v>1488</v>
      </c>
      <c r="G2339" t="s">
        <v>3704</v>
      </c>
      <c r="H2339">
        <v>0.01</v>
      </c>
      <c r="I2339">
        <v>1.36</v>
      </c>
      <c r="J2339">
        <v>0.86</v>
      </c>
      <c r="K2339" t="s">
        <v>250</v>
      </c>
      <c r="L2339">
        <v>54.95</v>
      </c>
      <c r="M2339" t="s">
        <v>11263</v>
      </c>
      <c r="N2339" t="s">
        <v>11264</v>
      </c>
      <c r="O2339" t="s">
        <v>11265</v>
      </c>
      <c r="P2339" t="s">
        <v>11266</v>
      </c>
      <c r="Q2339">
        <v>-45.24</v>
      </c>
      <c r="R2339" t="s">
        <v>1415</v>
      </c>
      <c r="S2339">
        <v>0.21</v>
      </c>
      <c r="T2339">
        <v>16.03</v>
      </c>
      <c r="U2339" t="s">
        <v>5199</v>
      </c>
      <c r="V2339" t="s">
        <v>1387</v>
      </c>
      <c r="W2339" t="s">
        <v>2811</v>
      </c>
      <c r="X2339">
        <v>0.86</v>
      </c>
      <c r="Y2339" t="s">
        <v>848</v>
      </c>
      <c r="Z2339" t="s">
        <v>584</v>
      </c>
      <c r="AA2339" t="s">
        <v>600</v>
      </c>
      <c r="AB2339">
        <v>1.55</v>
      </c>
      <c r="AC2339" t="s">
        <v>1277</v>
      </c>
      <c r="AD2339">
        <v>74.760000000000005</v>
      </c>
      <c r="AE2339" t="s">
        <v>1370</v>
      </c>
      <c r="AF2339">
        <v>0.04</v>
      </c>
      <c r="AG2339">
        <v>0</v>
      </c>
      <c r="AH2339">
        <v>0</v>
      </c>
      <c r="AI2339" s="4">
        <v>40491</v>
      </c>
    </row>
    <row r="2340" spans="1:35">
      <c r="A2340">
        <v>2339</v>
      </c>
      <c r="B2340" t="str">
        <f>"002436"</f>
        <v>002436</v>
      </c>
      <c r="C2340" t="s">
        <v>11267</v>
      </c>
      <c r="D2340" s="4">
        <v>43190</v>
      </c>
      <c r="E2340" t="s">
        <v>759</v>
      </c>
      <c r="F2340" t="s">
        <v>625</v>
      </c>
      <c r="G2340" t="s">
        <v>1199</v>
      </c>
      <c r="H2340">
        <v>0.01</v>
      </c>
      <c r="I2340">
        <v>1.6</v>
      </c>
      <c r="J2340">
        <v>0.86</v>
      </c>
      <c r="K2340" t="s">
        <v>3157</v>
      </c>
      <c r="L2340">
        <v>2.74</v>
      </c>
      <c r="M2340" t="s">
        <v>11268</v>
      </c>
      <c r="N2340" t="s">
        <v>11269</v>
      </c>
      <c r="O2340" t="s">
        <v>3046</v>
      </c>
      <c r="P2340" t="s">
        <v>11270</v>
      </c>
      <c r="Q2340">
        <v>-44.19</v>
      </c>
      <c r="R2340" t="s">
        <v>1274</v>
      </c>
      <c r="S2340">
        <v>0.54</v>
      </c>
      <c r="T2340">
        <v>29.35</v>
      </c>
      <c r="U2340" t="s">
        <v>3016</v>
      </c>
      <c r="V2340" t="s">
        <v>159</v>
      </c>
      <c r="W2340" t="s">
        <v>141</v>
      </c>
      <c r="X2340">
        <v>0.86</v>
      </c>
      <c r="Y2340" t="s">
        <v>702</v>
      </c>
      <c r="Z2340" t="s">
        <v>1307</v>
      </c>
      <c r="AA2340" t="s">
        <v>1157</v>
      </c>
      <c r="AB2340">
        <v>2.69</v>
      </c>
      <c r="AC2340" t="s">
        <v>223</v>
      </c>
      <c r="AD2340">
        <v>54.72</v>
      </c>
      <c r="AE2340" t="s">
        <v>8020</v>
      </c>
      <c r="AF2340">
        <v>0.01</v>
      </c>
      <c r="AG2340">
        <v>0</v>
      </c>
      <c r="AH2340">
        <v>0</v>
      </c>
      <c r="AI2340" s="4">
        <v>40347</v>
      </c>
    </row>
    <row r="2341" spans="1:35">
      <c r="A2341">
        <v>2340</v>
      </c>
      <c r="B2341" t="str">
        <f>"000987"</f>
        <v>000987</v>
      </c>
      <c r="C2341" t="s">
        <v>11271</v>
      </c>
      <c r="D2341" s="4">
        <v>43190</v>
      </c>
      <c r="E2341" t="s">
        <v>728</v>
      </c>
      <c r="F2341" t="s">
        <v>2587</v>
      </c>
      <c r="G2341" t="s">
        <v>4495</v>
      </c>
      <c r="H2341">
        <v>0.05</v>
      </c>
      <c r="I2341">
        <v>5.77</v>
      </c>
      <c r="J2341">
        <v>0.86</v>
      </c>
      <c r="K2341" t="s">
        <v>926</v>
      </c>
      <c r="L2341">
        <v>-0.3</v>
      </c>
      <c r="M2341" t="s">
        <v>1417</v>
      </c>
      <c r="N2341" t="s">
        <v>1999</v>
      </c>
      <c r="O2341" t="s">
        <v>696</v>
      </c>
      <c r="P2341" t="s">
        <v>443</v>
      </c>
      <c r="Q2341">
        <v>-38.61</v>
      </c>
      <c r="R2341" t="s">
        <v>1082</v>
      </c>
      <c r="S2341">
        <v>0.48</v>
      </c>
      <c r="T2341">
        <v>0</v>
      </c>
      <c r="U2341" t="s">
        <v>3936</v>
      </c>
      <c r="V2341">
        <v>0</v>
      </c>
      <c r="W2341" t="s">
        <v>1245</v>
      </c>
      <c r="X2341">
        <v>0.86</v>
      </c>
      <c r="Y2341" t="s">
        <v>3315</v>
      </c>
      <c r="Z2341">
        <v>0</v>
      </c>
      <c r="AA2341">
        <v>0</v>
      </c>
      <c r="AB2341">
        <v>1.39</v>
      </c>
      <c r="AC2341" t="s">
        <v>719</v>
      </c>
      <c r="AD2341">
        <v>16.170000000000002</v>
      </c>
      <c r="AE2341" t="s">
        <v>4810</v>
      </c>
      <c r="AF2341">
        <v>4</v>
      </c>
      <c r="AG2341">
        <v>0</v>
      </c>
      <c r="AH2341">
        <v>0</v>
      </c>
      <c r="AI2341" s="4">
        <v>36725</v>
      </c>
    </row>
    <row r="2342" spans="1:35">
      <c r="A2342">
        <v>2341</v>
      </c>
      <c r="B2342" t="str">
        <f>"000544"</f>
        <v>000544</v>
      </c>
      <c r="C2342" t="s">
        <v>11272</v>
      </c>
      <c r="D2342" s="4">
        <v>43190</v>
      </c>
      <c r="E2342" t="s">
        <v>4345</v>
      </c>
      <c r="F2342" t="s">
        <v>4427</v>
      </c>
      <c r="G2342" t="s">
        <v>2589</v>
      </c>
      <c r="H2342">
        <v>0.05</v>
      </c>
      <c r="I2342">
        <v>5.43</v>
      </c>
      <c r="J2342">
        <v>0.86</v>
      </c>
      <c r="K2342" t="s">
        <v>726</v>
      </c>
      <c r="L2342">
        <v>17.350000000000001</v>
      </c>
      <c r="M2342" t="s">
        <v>2828</v>
      </c>
      <c r="N2342" t="s">
        <v>11273</v>
      </c>
      <c r="O2342" t="s">
        <v>11274</v>
      </c>
      <c r="P2342" t="s">
        <v>11275</v>
      </c>
      <c r="Q2342">
        <v>-7.74</v>
      </c>
      <c r="R2342" t="s">
        <v>1652</v>
      </c>
      <c r="S2342">
        <v>0.38</v>
      </c>
      <c r="T2342">
        <v>34.42</v>
      </c>
      <c r="U2342" t="s">
        <v>3589</v>
      </c>
      <c r="V2342" t="s">
        <v>712</v>
      </c>
      <c r="W2342" t="s">
        <v>1158</v>
      </c>
      <c r="X2342">
        <v>0.86</v>
      </c>
      <c r="Y2342" t="s">
        <v>176</v>
      </c>
      <c r="Z2342" t="s">
        <v>2908</v>
      </c>
      <c r="AA2342" t="s">
        <v>2094</v>
      </c>
      <c r="AB2342">
        <v>1.42</v>
      </c>
      <c r="AC2342" t="s">
        <v>799</v>
      </c>
      <c r="AD2342">
        <v>78.12</v>
      </c>
      <c r="AE2342" t="s">
        <v>2348</v>
      </c>
      <c r="AF2342">
        <v>3.97</v>
      </c>
      <c r="AG2342">
        <v>0</v>
      </c>
      <c r="AH2342">
        <v>0</v>
      </c>
      <c r="AI2342" s="4">
        <v>34311</v>
      </c>
    </row>
    <row r="2343" spans="1:35">
      <c r="A2343">
        <v>2342</v>
      </c>
      <c r="B2343" t="str">
        <f>"603861"</f>
        <v>603861</v>
      </c>
      <c r="C2343" t="s">
        <v>11276</v>
      </c>
      <c r="D2343" s="4">
        <v>43190</v>
      </c>
      <c r="E2343" t="s">
        <v>1563</v>
      </c>
      <c r="F2343" t="s">
        <v>1525</v>
      </c>
      <c r="G2343">
        <v>5135</v>
      </c>
      <c r="H2343">
        <v>0.06</v>
      </c>
      <c r="I2343">
        <v>5.0199999999999996</v>
      </c>
      <c r="J2343">
        <v>0.85</v>
      </c>
      <c r="K2343" t="s">
        <v>678</v>
      </c>
      <c r="L2343">
        <v>4.47</v>
      </c>
      <c r="M2343" t="s">
        <v>11277</v>
      </c>
      <c r="N2343" t="s">
        <v>11278</v>
      </c>
      <c r="O2343" t="s">
        <v>11279</v>
      </c>
      <c r="P2343" t="s">
        <v>3050</v>
      </c>
      <c r="Q2343">
        <v>4.8099999999999996</v>
      </c>
      <c r="R2343" t="s">
        <v>147</v>
      </c>
      <c r="S2343">
        <v>2.52</v>
      </c>
      <c r="T2343">
        <v>31.92</v>
      </c>
      <c r="U2343" t="s">
        <v>773</v>
      </c>
      <c r="V2343" t="s">
        <v>370</v>
      </c>
      <c r="W2343" t="s">
        <v>1817</v>
      </c>
      <c r="X2343">
        <v>0.85</v>
      </c>
      <c r="Y2343" t="s">
        <v>691</v>
      </c>
      <c r="Z2343" t="s">
        <v>646</v>
      </c>
      <c r="AA2343" t="s">
        <v>798</v>
      </c>
      <c r="AB2343">
        <v>2.2999999999999998</v>
      </c>
      <c r="AC2343" t="s">
        <v>728</v>
      </c>
      <c r="AD2343">
        <v>50.56</v>
      </c>
      <c r="AE2343" t="s">
        <v>1483</v>
      </c>
      <c r="AF2343">
        <v>1.1100000000000001</v>
      </c>
      <c r="AG2343">
        <v>0</v>
      </c>
      <c r="AH2343">
        <v>0</v>
      </c>
      <c r="AI2343" s="4">
        <v>42451</v>
      </c>
    </row>
    <row r="2344" spans="1:35">
      <c r="A2344">
        <v>2343</v>
      </c>
      <c r="B2344" t="str">
        <f>"601777"</f>
        <v>601777</v>
      </c>
      <c r="C2344" t="s">
        <v>11280</v>
      </c>
      <c r="D2344" s="4">
        <v>43190</v>
      </c>
      <c r="E2344" t="s">
        <v>840</v>
      </c>
      <c r="F2344" t="s">
        <v>548</v>
      </c>
      <c r="G2344" t="s">
        <v>11281</v>
      </c>
      <c r="H2344">
        <v>0.05</v>
      </c>
      <c r="I2344">
        <v>5.56</v>
      </c>
      <c r="J2344">
        <v>0.85</v>
      </c>
      <c r="K2344" t="s">
        <v>2700</v>
      </c>
      <c r="L2344">
        <v>-3.59</v>
      </c>
      <c r="M2344" t="s">
        <v>8118</v>
      </c>
      <c r="N2344" t="s">
        <v>1627</v>
      </c>
      <c r="O2344" t="s">
        <v>11282</v>
      </c>
      <c r="P2344" t="s">
        <v>11283</v>
      </c>
      <c r="Q2344">
        <v>9.49</v>
      </c>
      <c r="R2344" t="s">
        <v>1384</v>
      </c>
      <c r="S2344">
        <v>1.08</v>
      </c>
      <c r="T2344">
        <v>13.45</v>
      </c>
      <c r="U2344" t="s">
        <v>3563</v>
      </c>
      <c r="V2344" t="s">
        <v>1885</v>
      </c>
      <c r="W2344" t="s">
        <v>1531</v>
      </c>
      <c r="X2344">
        <v>0.85</v>
      </c>
      <c r="Y2344" t="s">
        <v>1265</v>
      </c>
      <c r="Z2344" t="s">
        <v>462</v>
      </c>
      <c r="AA2344" t="s">
        <v>1158</v>
      </c>
      <c r="AB2344">
        <v>0.93</v>
      </c>
      <c r="AC2344" t="s">
        <v>8103</v>
      </c>
      <c r="AD2344">
        <v>24.37</v>
      </c>
      <c r="AE2344" t="s">
        <v>5270</v>
      </c>
      <c r="AF2344">
        <v>3.84</v>
      </c>
      <c r="AG2344">
        <v>0</v>
      </c>
      <c r="AH2344">
        <v>0</v>
      </c>
      <c r="AI2344" s="4">
        <v>40507</v>
      </c>
    </row>
    <row r="2345" spans="1:35">
      <c r="A2345">
        <v>2344</v>
      </c>
      <c r="B2345" t="str">
        <f>"601002"</f>
        <v>601002</v>
      </c>
      <c r="C2345" t="s">
        <v>11284</v>
      </c>
      <c r="D2345" s="4">
        <v>43190</v>
      </c>
      <c r="E2345" t="s">
        <v>4599</v>
      </c>
      <c r="F2345" t="s">
        <v>4599</v>
      </c>
      <c r="G2345">
        <v>9121</v>
      </c>
      <c r="H2345">
        <v>0.03</v>
      </c>
      <c r="I2345">
        <v>3.04</v>
      </c>
      <c r="J2345">
        <v>0.85</v>
      </c>
      <c r="K2345" t="s">
        <v>201</v>
      </c>
      <c r="L2345">
        <v>36.94</v>
      </c>
      <c r="M2345" t="s">
        <v>11285</v>
      </c>
      <c r="N2345" t="s">
        <v>3109</v>
      </c>
      <c r="O2345" t="s">
        <v>7822</v>
      </c>
      <c r="P2345" t="s">
        <v>9717</v>
      </c>
      <c r="Q2345">
        <v>-6.14</v>
      </c>
      <c r="R2345" t="s">
        <v>104</v>
      </c>
      <c r="S2345">
        <v>0.43</v>
      </c>
      <c r="T2345">
        <v>18.05</v>
      </c>
      <c r="U2345" t="s">
        <v>3241</v>
      </c>
      <c r="V2345" t="s">
        <v>693</v>
      </c>
      <c r="W2345" t="s">
        <v>264</v>
      </c>
      <c r="X2345">
        <v>0.85</v>
      </c>
      <c r="Y2345" t="s">
        <v>1000</v>
      </c>
      <c r="Z2345" t="s">
        <v>982</v>
      </c>
      <c r="AA2345" t="s">
        <v>3769</v>
      </c>
      <c r="AB2345">
        <v>1.9</v>
      </c>
      <c r="AC2345" t="s">
        <v>1294</v>
      </c>
      <c r="AD2345">
        <v>52.68</v>
      </c>
      <c r="AE2345" t="s">
        <v>602</v>
      </c>
      <c r="AF2345">
        <v>1.39</v>
      </c>
      <c r="AG2345">
        <v>0</v>
      </c>
      <c r="AH2345">
        <v>0</v>
      </c>
      <c r="AI2345" s="4">
        <v>39108</v>
      </c>
    </row>
    <row r="2346" spans="1:35">
      <c r="A2346">
        <v>2345</v>
      </c>
      <c r="B2346" t="str">
        <f>"600287"</f>
        <v>600287</v>
      </c>
      <c r="C2346" t="s">
        <v>11286</v>
      </c>
      <c r="D2346" s="4">
        <v>43190</v>
      </c>
      <c r="E2346" t="s">
        <v>4794</v>
      </c>
      <c r="F2346" t="s">
        <v>4794</v>
      </c>
      <c r="G2346" t="s">
        <v>4389</v>
      </c>
      <c r="H2346">
        <v>0.04</v>
      </c>
      <c r="I2346">
        <v>4.66</v>
      </c>
      <c r="J2346">
        <v>0.85</v>
      </c>
      <c r="K2346" t="s">
        <v>1082</v>
      </c>
      <c r="L2346">
        <v>0.08</v>
      </c>
      <c r="M2346" t="s">
        <v>5324</v>
      </c>
      <c r="N2346" t="s">
        <v>11287</v>
      </c>
      <c r="O2346" t="s">
        <v>11288</v>
      </c>
      <c r="P2346" t="s">
        <v>3527</v>
      </c>
      <c r="Q2346">
        <v>-14.23</v>
      </c>
      <c r="R2346" t="s">
        <v>1088</v>
      </c>
      <c r="S2346">
        <v>1.29</v>
      </c>
      <c r="T2346">
        <v>9.7799999999999994</v>
      </c>
      <c r="U2346" t="s">
        <v>5550</v>
      </c>
      <c r="V2346" t="s">
        <v>1284</v>
      </c>
      <c r="W2346" t="s">
        <v>3441</v>
      </c>
      <c r="X2346">
        <v>0.85</v>
      </c>
      <c r="Y2346" t="s">
        <v>1569</v>
      </c>
      <c r="Z2346" t="s">
        <v>162</v>
      </c>
      <c r="AA2346" t="s">
        <v>474</v>
      </c>
      <c r="AB2346">
        <v>1.1399999999999999</v>
      </c>
      <c r="AC2346" t="s">
        <v>1843</v>
      </c>
      <c r="AD2346">
        <v>51.7</v>
      </c>
      <c r="AE2346" t="s">
        <v>95</v>
      </c>
      <c r="AF2346">
        <v>0.44</v>
      </c>
      <c r="AG2346">
        <v>0</v>
      </c>
      <c r="AH2346">
        <v>0</v>
      </c>
      <c r="AI2346" s="4">
        <v>36770</v>
      </c>
    </row>
    <row r="2347" spans="1:35">
      <c r="A2347">
        <v>2346</v>
      </c>
      <c r="B2347" t="str">
        <f>"600141"</f>
        <v>600141</v>
      </c>
      <c r="C2347" t="s">
        <v>11289</v>
      </c>
      <c r="D2347" s="4">
        <v>43190</v>
      </c>
      <c r="E2347" t="s">
        <v>1649</v>
      </c>
      <c r="F2347" t="s">
        <v>3368</v>
      </c>
      <c r="G2347" t="s">
        <v>1763</v>
      </c>
      <c r="H2347">
        <v>0.1</v>
      </c>
      <c r="I2347">
        <v>8.82</v>
      </c>
      <c r="J2347">
        <v>0.85</v>
      </c>
      <c r="K2347" t="s">
        <v>763</v>
      </c>
      <c r="L2347">
        <v>6.37</v>
      </c>
      <c r="M2347" t="s">
        <v>1853</v>
      </c>
      <c r="N2347" t="s">
        <v>8464</v>
      </c>
      <c r="O2347" t="s">
        <v>618</v>
      </c>
      <c r="P2347" t="s">
        <v>11290</v>
      </c>
      <c r="Q2347">
        <v>127.45</v>
      </c>
      <c r="R2347" t="s">
        <v>908</v>
      </c>
      <c r="S2347">
        <v>1.93</v>
      </c>
      <c r="T2347">
        <v>14.69</v>
      </c>
      <c r="U2347" t="s">
        <v>11291</v>
      </c>
      <c r="V2347" t="s">
        <v>1878</v>
      </c>
      <c r="W2347" t="s">
        <v>1745</v>
      </c>
      <c r="X2347">
        <v>0.85</v>
      </c>
      <c r="Y2347" t="s">
        <v>3912</v>
      </c>
      <c r="Z2347" t="s">
        <v>315</v>
      </c>
      <c r="AA2347" t="s">
        <v>2105</v>
      </c>
      <c r="AB2347">
        <v>1.2</v>
      </c>
      <c r="AC2347" t="s">
        <v>3473</v>
      </c>
      <c r="AD2347">
        <v>30.68</v>
      </c>
      <c r="AE2347" t="s">
        <v>1322</v>
      </c>
      <c r="AF2347">
        <v>5.52</v>
      </c>
      <c r="AG2347">
        <v>0</v>
      </c>
      <c r="AH2347">
        <v>0</v>
      </c>
      <c r="AI2347" s="4">
        <v>36327</v>
      </c>
    </row>
    <row r="2348" spans="1:35">
      <c r="A2348">
        <v>2347</v>
      </c>
      <c r="B2348" t="str">
        <f>"300371"</f>
        <v>300371</v>
      </c>
      <c r="C2348" t="s">
        <v>11292</v>
      </c>
      <c r="D2348" s="4">
        <v>43190</v>
      </c>
      <c r="E2348" t="s">
        <v>280</v>
      </c>
      <c r="F2348" t="s">
        <v>11293</v>
      </c>
      <c r="G2348">
        <v>5895</v>
      </c>
      <c r="H2348">
        <v>0.04</v>
      </c>
      <c r="I2348">
        <v>4.5</v>
      </c>
      <c r="J2348">
        <v>0.85</v>
      </c>
      <c r="K2348" t="s">
        <v>5516</v>
      </c>
      <c r="L2348">
        <v>24.92</v>
      </c>
      <c r="M2348" t="s">
        <v>6979</v>
      </c>
      <c r="N2348" t="s">
        <v>11294</v>
      </c>
      <c r="O2348" t="s">
        <v>11295</v>
      </c>
      <c r="P2348" t="s">
        <v>8482</v>
      </c>
      <c r="Q2348">
        <v>269.95</v>
      </c>
      <c r="R2348" t="s">
        <v>726</v>
      </c>
      <c r="S2348">
        <v>2</v>
      </c>
      <c r="T2348">
        <v>64.53</v>
      </c>
      <c r="U2348" t="s">
        <v>1168</v>
      </c>
      <c r="V2348" t="s">
        <v>1939</v>
      </c>
      <c r="W2348" t="s">
        <v>284</v>
      </c>
      <c r="X2348">
        <v>0.85</v>
      </c>
      <c r="Y2348" t="s">
        <v>3989</v>
      </c>
      <c r="Z2348" t="s">
        <v>4154</v>
      </c>
      <c r="AA2348" t="s">
        <v>11147</v>
      </c>
      <c r="AB2348">
        <v>3.29</v>
      </c>
      <c r="AC2348" t="s">
        <v>695</v>
      </c>
      <c r="AD2348">
        <v>92.45</v>
      </c>
      <c r="AE2348" t="s">
        <v>748</v>
      </c>
      <c r="AF2348">
        <v>1.54</v>
      </c>
      <c r="AG2348">
        <v>0</v>
      </c>
      <c r="AH2348">
        <v>0</v>
      </c>
      <c r="AI2348" s="4">
        <v>41662</v>
      </c>
    </row>
    <row r="2349" spans="1:35">
      <c r="A2349">
        <v>2348</v>
      </c>
      <c r="B2349" t="str">
        <f>"300225"</f>
        <v>300225</v>
      </c>
      <c r="C2349" t="s">
        <v>11296</v>
      </c>
      <c r="D2349" s="4">
        <v>43190</v>
      </c>
      <c r="E2349" t="s">
        <v>1721</v>
      </c>
      <c r="F2349" t="s">
        <v>735</v>
      </c>
      <c r="G2349" t="s">
        <v>11297</v>
      </c>
      <c r="H2349">
        <v>0.02</v>
      </c>
      <c r="I2349">
        <v>1.91</v>
      </c>
      <c r="J2349">
        <v>0.85</v>
      </c>
      <c r="K2349" t="s">
        <v>2069</v>
      </c>
      <c r="L2349">
        <v>-1.75</v>
      </c>
      <c r="M2349" t="s">
        <v>10338</v>
      </c>
      <c r="N2349" t="s">
        <v>11298</v>
      </c>
      <c r="O2349" t="s">
        <v>8299</v>
      </c>
      <c r="P2349" t="s">
        <v>9469</v>
      </c>
      <c r="Q2349">
        <v>-28.73</v>
      </c>
      <c r="R2349" t="s">
        <v>559</v>
      </c>
      <c r="S2349">
        <v>0.68</v>
      </c>
      <c r="T2349">
        <v>21.19</v>
      </c>
      <c r="U2349" t="s">
        <v>973</v>
      </c>
      <c r="V2349" t="s">
        <v>1249</v>
      </c>
      <c r="W2349" t="s">
        <v>1067</v>
      </c>
      <c r="X2349">
        <v>0.85</v>
      </c>
      <c r="Y2349" t="s">
        <v>807</v>
      </c>
      <c r="Z2349" t="s">
        <v>912</v>
      </c>
      <c r="AA2349" t="s">
        <v>3855</v>
      </c>
      <c r="AB2349">
        <v>3.04</v>
      </c>
      <c r="AC2349" t="s">
        <v>8311</v>
      </c>
      <c r="AD2349">
        <v>77.98</v>
      </c>
      <c r="AE2349" t="s">
        <v>11299</v>
      </c>
      <c r="AF2349">
        <v>0.05</v>
      </c>
      <c r="AG2349">
        <v>0</v>
      </c>
      <c r="AH2349">
        <v>0</v>
      </c>
      <c r="AI2349" s="4">
        <v>40694</v>
      </c>
    </row>
    <row r="2350" spans="1:35">
      <c r="A2350">
        <v>2349</v>
      </c>
      <c r="B2350" t="str">
        <f>"300224"</f>
        <v>300224</v>
      </c>
      <c r="C2350" t="s">
        <v>11300</v>
      </c>
      <c r="D2350" s="4">
        <v>43190</v>
      </c>
      <c r="E2350" t="s">
        <v>4354</v>
      </c>
      <c r="F2350" t="s">
        <v>2194</v>
      </c>
      <c r="G2350" t="s">
        <v>5991</v>
      </c>
      <c r="H2350">
        <v>0.03</v>
      </c>
      <c r="I2350">
        <v>3.51</v>
      </c>
      <c r="J2350">
        <v>0.85</v>
      </c>
      <c r="K2350" t="s">
        <v>3297</v>
      </c>
      <c r="L2350">
        <v>103.26</v>
      </c>
      <c r="M2350" t="s">
        <v>11301</v>
      </c>
      <c r="N2350" t="s">
        <v>11302</v>
      </c>
      <c r="O2350" t="s">
        <v>9851</v>
      </c>
      <c r="P2350" t="s">
        <v>4138</v>
      </c>
      <c r="Q2350">
        <v>382.25</v>
      </c>
      <c r="R2350" t="s">
        <v>189</v>
      </c>
      <c r="S2350">
        <v>0.7</v>
      </c>
      <c r="T2350">
        <v>25.8</v>
      </c>
      <c r="U2350" t="s">
        <v>447</v>
      </c>
      <c r="V2350" t="s">
        <v>371</v>
      </c>
      <c r="W2350" t="s">
        <v>944</v>
      </c>
      <c r="X2350">
        <v>0.85</v>
      </c>
      <c r="Y2350" t="s">
        <v>4936</v>
      </c>
      <c r="Z2350" t="s">
        <v>3549</v>
      </c>
      <c r="AA2350" t="s">
        <v>11303</v>
      </c>
      <c r="AB2350">
        <v>2.39</v>
      </c>
      <c r="AC2350" t="s">
        <v>1205</v>
      </c>
      <c r="AD2350">
        <v>76.180000000000007</v>
      </c>
      <c r="AE2350" t="s">
        <v>1214</v>
      </c>
      <c r="AF2350">
        <v>1.64</v>
      </c>
      <c r="AG2350">
        <v>0</v>
      </c>
      <c r="AH2350">
        <v>0</v>
      </c>
      <c r="AI2350" s="4">
        <v>40694</v>
      </c>
    </row>
    <row r="2351" spans="1:35">
      <c r="A2351">
        <v>2350</v>
      </c>
      <c r="B2351" t="str">
        <f>"300205"</f>
        <v>300205</v>
      </c>
      <c r="C2351" t="s">
        <v>11304</v>
      </c>
      <c r="D2351" s="4">
        <v>43190</v>
      </c>
      <c r="E2351" t="s">
        <v>914</v>
      </c>
      <c r="F2351" t="s">
        <v>599</v>
      </c>
      <c r="G2351" t="s">
        <v>974</v>
      </c>
      <c r="H2351">
        <v>0.02</v>
      </c>
      <c r="I2351">
        <v>2.84</v>
      </c>
      <c r="J2351">
        <v>0.85</v>
      </c>
      <c r="K2351" t="s">
        <v>4185</v>
      </c>
      <c r="L2351">
        <v>-12.53</v>
      </c>
      <c r="M2351" t="s">
        <v>6579</v>
      </c>
      <c r="N2351" t="s">
        <v>11305</v>
      </c>
      <c r="O2351" t="s">
        <v>10842</v>
      </c>
      <c r="P2351" t="s">
        <v>10731</v>
      </c>
      <c r="Q2351">
        <v>56.77</v>
      </c>
      <c r="R2351" t="s">
        <v>912</v>
      </c>
      <c r="S2351">
        <v>0.47</v>
      </c>
      <c r="T2351">
        <v>18.649999999999999</v>
      </c>
      <c r="U2351" t="s">
        <v>389</v>
      </c>
      <c r="V2351" t="s">
        <v>624</v>
      </c>
      <c r="W2351" t="s">
        <v>255</v>
      </c>
      <c r="X2351">
        <v>0.85</v>
      </c>
      <c r="Y2351" t="s">
        <v>2510</v>
      </c>
      <c r="Z2351" t="s">
        <v>1898</v>
      </c>
      <c r="AA2351" t="s">
        <v>11306</v>
      </c>
      <c r="AB2351">
        <v>2.5099999999999998</v>
      </c>
      <c r="AC2351" t="s">
        <v>405</v>
      </c>
      <c r="AD2351">
        <v>64.45</v>
      </c>
      <c r="AE2351" t="s">
        <v>349</v>
      </c>
      <c r="AF2351">
        <v>0.96</v>
      </c>
      <c r="AG2351">
        <v>0</v>
      </c>
      <c r="AH2351">
        <v>0</v>
      </c>
      <c r="AI2351" s="4">
        <v>40654</v>
      </c>
    </row>
    <row r="2352" spans="1:35">
      <c r="A2352">
        <v>2351</v>
      </c>
      <c r="B2352" t="str">
        <f>"300070"</f>
        <v>300070</v>
      </c>
      <c r="C2352" t="s">
        <v>11307</v>
      </c>
      <c r="D2352" s="4">
        <v>43190</v>
      </c>
      <c r="E2352" t="s">
        <v>423</v>
      </c>
      <c r="F2352" t="s">
        <v>1920</v>
      </c>
      <c r="G2352" t="s">
        <v>1694</v>
      </c>
      <c r="H2352">
        <v>0.05</v>
      </c>
      <c r="I2352">
        <v>5.83</v>
      </c>
      <c r="J2352">
        <v>0.85</v>
      </c>
      <c r="K2352" t="s">
        <v>316</v>
      </c>
      <c r="L2352">
        <v>105.32</v>
      </c>
      <c r="M2352" t="s">
        <v>1364</v>
      </c>
      <c r="N2352" t="s">
        <v>11308</v>
      </c>
      <c r="O2352" t="s">
        <v>912</v>
      </c>
      <c r="P2352" t="s">
        <v>863</v>
      </c>
      <c r="Q2352">
        <v>-32.85</v>
      </c>
      <c r="R2352" t="s">
        <v>6751</v>
      </c>
      <c r="S2352">
        <v>2.4500000000000002</v>
      </c>
      <c r="T2352">
        <v>26.55</v>
      </c>
      <c r="U2352" t="s">
        <v>2526</v>
      </c>
      <c r="V2352" t="s">
        <v>310</v>
      </c>
      <c r="W2352" t="s">
        <v>1002</v>
      </c>
      <c r="X2352">
        <v>0.85</v>
      </c>
      <c r="Y2352" t="s">
        <v>6278</v>
      </c>
      <c r="Z2352" t="s">
        <v>1982</v>
      </c>
      <c r="AA2352" t="s">
        <v>4718</v>
      </c>
      <c r="AB2352">
        <v>2.4</v>
      </c>
      <c r="AC2352" t="s">
        <v>1982</v>
      </c>
      <c r="AD2352">
        <v>37.880000000000003</v>
      </c>
      <c r="AE2352" t="s">
        <v>5269</v>
      </c>
      <c r="AF2352">
        <v>2.2200000000000002</v>
      </c>
      <c r="AG2352">
        <v>0</v>
      </c>
      <c r="AH2352">
        <v>0</v>
      </c>
      <c r="AI2352" s="4">
        <v>40289</v>
      </c>
    </row>
    <row r="2353" spans="1:35">
      <c r="A2353">
        <v>2352</v>
      </c>
      <c r="B2353" t="str">
        <f>"002552"</f>
        <v>002552</v>
      </c>
      <c r="C2353" t="s">
        <v>11309</v>
      </c>
      <c r="D2353" s="4">
        <v>43190</v>
      </c>
      <c r="E2353" t="s">
        <v>1152</v>
      </c>
      <c r="F2353" t="s">
        <v>293</v>
      </c>
      <c r="G2353" t="s">
        <v>2449</v>
      </c>
      <c r="H2353">
        <v>0.02</v>
      </c>
      <c r="I2353">
        <v>1.95</v>
      </c>
      <c r="J2353">
        <v>0.85</v>
      </c>
      <c r="K2353" t="s">
        <v>11310</v>
      </c>
      <c r="L2353">
        <v>36.89</v>
      </c>
      <c r="M2353" t="s">
        <v>4666</v>
      </c>
      <c r="N2353" t="s">
        <v>10965</v>
      </c>
      <c r="O2353" t="s">
        <v>4791</v>
      </c>
      <c r="P2353" t="s">
        <v>11311</v>
      </c>
      <c r="Q2353">
        <v>151.22999999999999</v>
      </c>
      <c r="R2353" t="s">
        <v>11312</v>
      </c>
      <c r="S2353">
        <v>-0.52</v>
      </c>
      <c r="T2353">
        <v>23.84</v>
      </c>
      <c r="U2353" t="s">
        <v>1780</v>
      </c>
      <c r="V2353" t="s">
        <v>641</v>
      </c>
      <c r="W2353" t="s">
        <v>679</v>
      </c>
      <c r="X2353">
        <v>0.85</v>
      </c>
      <c r="Y2353" t="s">
        <v>2507</v>
      </c>
      <c r="Z2353" t="s">
        <v>1970</v>
      </c>
      <c r="AA2353" t="s">
        <v>2575</v>
      </c>
      <c r="AB2353">
        <v>2.4900000000000002</v>
      </c>
      <c r="AC2353" t="s">
        <v>2938</v>
      </c>
      <c r="AD2353">
        <v>67.69</v>
      </c>
      <c r="AE2353" t="s">
        <v>1235</v>
      </c>
      <c r="AF2353">
        <v>1.33</v>
      </c>
      <c r="AG2353">
        <v>0</v>
      </c>
      <c r="AH2353">
        <v>0</v>
      </c>
      <c r="AI2353" s="4">
        <v>40599</v>
      </c>
    </row>
    <row r="2354" spans="1:35">
      <c r="A2354">
        <v>2353</v>
      </c>
      <c r="B2354" t="str">
        <f>"002388"</f>
        <v>002388</v>
      </c>
      <c r="C2354" t="s">
        <v>11313</v>
      </c>
      <c r="D2354" s="4">
        <v>43190</v>
      </c>
      <c r="E2354" t="s">
        <v>1018</v>
      </c>
      <c r="F2354" t="s">
        <v>150</v>
      </c>
      <c r="G2354">
        <v>9456</v>
      </c>
      <c r="H2354">
        <v>0.02</v>
      </c>
      <c r="I2354">
        <v>2.4700000000000002</v>
      </c>
      <c r="J2354">
        <v>0.85</v>
      </c>
      <c r="K2354" t="s">
        <v>845</v>
      </c>
      <c r="L2354">
        <v>-23.84</v>
      </c>
      <c r="M2354" t="s">
        <v>11314</v>
      </c>
      <c r="N2354" t="s">
        <v>1966</v>
      </c>
      <c r="O2354" t="s">
        <v>459</v>
      </c>
      <c r="P2354" t="s">
        <v>11315</v>
      </c>
      <c r="Q2354">
        <v>9.7899999999999991</v>
      </c>
      <c r="R2354" t="s">
        <v>452</v>
      </c>
      <c r="S2354">
        <v>0.3</v>
      </c>
      <c r="T2354">
        <v>22.47</v>
      </c>
      <c r="U2354" t="s">
        <v>754</v>
      </c>
      <c r="V2354" t="s">
        <v>298</v>
      </c>
      <c r="W2354" t="s">
        <v>10970</v>
      </c>
      <c r="X2354">
        <v>0.85</v>
      </c>
      <c r="Y2354" t="s">
        <v>506</v>
      </c>
      <c r="Z2354" t="s">
        <v>592</v>
      </c>
      <c r="AA2354" t="s">
        <v>8579</v>
      </c>
      <c r="AB2354">
        <v>2.33</v>
      </c>
      <c r="AC2354" t="s">
        <v>548</v>
      </c>
      <c r="AD2354">
        <v>68.459999999999994</v>
      </c>
      <c r="AE2354" t="s">
        <v>106</v>
      </c>
      <c r="AF2354">
        <v>1.1200000000000001</v>
      </c>
      <c r="AG2354">
        <v>0</v>
      </c>
      <c r="AH2354">
        <v>0</v>
      </c>
      <c r="AI2354" s="4">
        <v>40281</v>
      </c>
    </row>
    <row r="2355" spans="1:35">
      <c r="A2355">
        <v>2354</v>
      </c>
      <c r="B2355" t="str">
        <f>"002123"</f>
        <v>002123</v>
      </c>
      <c r="C2355" t="s">
        <v>11316</v>
      </c>
      <c r="D2355" s="4">
        <v>43190</v>
      </c>
      <c r="E2355" t="s">
        <v>1341</v>
      </c>
      <c r="F2355" t="s">
        <v>2938</v>
      </c>
      <c r="G2355" t="s">
        <v>70</v>
      </c>
      <c r="H2355">
        <v>0.05</v>
      </c>
      <c r="I2355">
        <v>5.48</v>
      </c>
      <c r="J2355">
        <v>0.85</v>
      </c>
      <c r="K2355" t="s">
        <v>1806</v>
      </c>
      <c r="L2355">
        <v>-17.88</v>
      </c>
      <c r="M2355" t="s">
        <v>4649</v>
      </c>
      <c r="N2355" t="s">
        <v>11317</v>
      </c>
      <c r="O2355" t="s">
        <v>5820</v>
      </c>
      <c r="P2355" t="s">
        <v>11318</v>
      </c>
      <c r="Q2355">
        <v>2.31</v>
      </c>
      <c r="R2355" t="s">
        <v>101</v>
      </c>
      <c r="S2355">
        <v>1.49</v>
      </c>
      <c r="T2355">
        <v>30.97</v>
      </c>
      <c r="U2355" t="s">
        <v>2487</v>
      </c>
      <c r="V2355" t="s">
        <v>238</v>
      </c>
      <c r="W2355" t="s">
        <v>4613</v>
      </c>
      <c r="X2355">
        <v>0.85</v>
      </c>
      <c r="Y2355" t="s">
        <v>891</v>
      </c>
      <c r="Z2355" t="s">
        <v>754</v>
      </c>
      <c r="AA2355" t="s">
        <v>11319</v>
      </c>
      <c r="AB2355">
        <v>1.59</v>
      </c>
      <c r="AC2355" t="s">
        <v>3241</v>
      </c>
      <c r="AD2355">
        <v>71.540000000000006</v>
      </c>
      <c r="AE2355" t="s">
        <v>1546</v>
      </c>
      <c r="AF2355">
        <v>3.38</v>
      </c>
      <c r="AG2355">
        <v>0</v>
      </c>
      <c r="AH2355">
        <v>0</v>
      </c>
      <c r="AI2355" s="4">
        <v>39169</v>
      </c>
    </row>
    <row r="2356" spans="1:35">
      <c r="A2356">
        <v>2355</v>
      </c>
      <c r="B2356" t="str">
        <f>"000686"</f>
        <v>000686</v>
      </c>
      <c r="C2356" t="s">
        <v>11320</v>
      </c>
      <c r="D2356" s="4">
        <v>43190</v>
      </c>
      <c r="E2356" t="s">
        <v>242</v>
      </c>
      <c r="F2356" t="s">
        <v>242</v>
      </c>
      <c r="G2356" t="s">
        <v>5319</v>
      </c>
      <c r="H2356">
        <v>0.06</v>
      </c>
      <c r="I2356">
        <v>6.56</v>
      </c>
      <c r="J2356">
        <v>0.85</v>
      </c>
      <c r="K2356" t="s">
        <v>6154</v>
      </c>
      <c r="L2356">
        <v>-11.27</v>
      </c>
      <c r="M2356" t="s">
        <v>64</v>
      </c>
      <c r="N2356" t="s">
        <v>1203</v>
      </c>
      <c r="O2356" t="s">
        <v>1855</v>
      </c>
      <c r="P2356" t="s">
        <v>45</v>
      </c>
      <c r="Q2356">
        <v>-31.26</v>
      </c>
      <c r="R2356" t="s">
        <v>428</v>
      </c>
      <c r="S2356">
        <v>2.12</v>
      </c>
      <c r="T2356">
        <v>0</v>
      </c>
      <c r="U2356" t="s">
        <v>11321</v>
      </c>
      <c r="V2356">
        <v>0</v>
      </c>
      <c r="W2356" t="s">
        <v>4435</v>
      </c>
      <c r="X2356">
        <v>0.85</v>
      </c>
      <c r="Y2356" t="s">
        <v>3445</v>
      </c>
      <c r="Z2356">
        <v>0</v>
      </c>
      <c r="AA2356">
        <v>0</v>
      </c>
      <c r="AB2356">
        <v>0.95</v>
      </c>
      <c r="AC2356" t="s">
        <v>1885</v>
      </c>
      <c r="AD2356">
        <v>25.12</v>
      </c>
      <c r="AE2356" t="s">
        <v>2982</v>
      </c>
      <c r="AF2356">
        <v>2.46</v>
      </c>
      <c r="AG2356">
        <v>0</v>
      </c>
      <c r="AH2356">
        <v>0</v>
      </c>
      <c r="AI2356" s="4">
        <v>35488</v>
      </c>
    </row>
    <row r="2357" spans="1:35">
      <c r="A2357">
        <v>2356</v>
      </c>
      <c r="B2357" t="str">
        <f>"000543"</f>
        <v>000543</v>
      </c>
      <c r="C2357" t="s">
        <v>11322</v>
      </c>
      <c r="D2357" s="4">
        <v>43190</v>
      </c>
      <c r="E2357" t="s">
        <v>303</v>
      </c>
      <c r="F2357" t="s">
        <v>303</v>
      </c>
      <c r="G2357" t="s">
        <v>6675</v>
      </c>
      <c r="H2357">
        <v>0.05</v>
      </c>
      <c r="I2357">
        <v>5.54</v>
      </c>
      <c r="J2357">
        <v>0.85</v>
      </c>
      <c r="K2357" t="s">
        <v>1625</v>
      </c>
      <c r="L2357">
        <v>15.5</v>
      </c>
      <c r="M2357" t="s">
        <v>443</v>
      </c>
      <c r="N2357" t="s">
        <v>11323</v>
      </c>
      <c r="O2357" t="s">
        <v>1627</v>
      </c>
      <c r="P2357" t="s">
        <v>10548</v>
      </c>
      <c r="Q2357">
        <v>314.25</v>
      </c>
      <c r="R2357" t="s">
        <v>907</v>
      </c>
      <c r="S2357">
        <v>1.76</v>
      </c>
      <c r="T2357">
        <v>5.3</v>
      </c>
      <c r="U2357" t="s">
        <v>2342</v>
      </c>
      <c r="V2357" t="s">
        <v>1515</v>
      </c>
      <c r="W2357" t="s">
        <v>413</v>
      </c>
      <c r="X2357">
        <v>0.85</v>
      </c>
      <c r="Y2357" t="s">
        <v>719</v>
      </c>
      <c r="Z2357" t="s">
        <v>4158</v>
      </c>
      <c r="AA2357" t="s">
        <v>1253</v>
      </c>
      <c r="AB2357">
        <v>0.81</v>
      </c>
      <c r="AC2357" t="s">
        <v>11324</v>
      </c>
      <c r="AD2357">
        <v>37.29</v>
      </c>
      <c r="AE2357" t="s">
        <v>1000</v>
      </c>
      <c r="AF2357">
        <v>1.1200000000000001</v>
      </c>
      <c r="AG2357">
        <v>0</v>
      </c>
      <c r="AH2357">
        <v>0</v>
      </c>
      <c r="AI2357" s="4">
        <v>34323</v>
      </c>
    </row>
    <row r="2358" spans="1:35">
      <c r="A2358">
        <v>2357</v>
      </c>
      <c r="B2358" t="str">
        <f>"600493"</f>
        <v>600493</v>
      </c>
      <c r="C2358" t="s">
        <v>11325</v>
      </c>
      <c r="D2358" s="4">
        <v>43190</v>
      </c>
      <c r="E2358" t="s">
        <v>1511</v>
      </c>
      <c r="F2358" t="s">
        <v>1511</v>
      </c>
      <c r="G2358" t="s">
        <v>3064</v>
      </c>
      <c r="H2358">
        <v>0.02</v>
      </c>
      <c r="I2358">
        <v>2.59</v>
      </c>
      <c r="J2358">
        <v>0.84</v>
      </c>
      <c r="K2358" t="s">
        <v>1200</v>
      </c>
      <c r="L2358">
        <v>7.65</v>
      </c>
      <c r="M2358" t="s">
        <v>5422</v>
      </c>
      <c r="N2358">
        <v>0</v>
      </c>
      <c r="O2358" t="s">
        <v>697</v>
      </c>
      <c r="P2358" t="s">
        <v>6429</v>
      </c>
      <c r="Q2358">
        <v>45.53</v>
      </c>
      <c r="R2358" t="s">
        <v>863</v>
      </c>
      <c r="S2358">
        <v>0.56999999999999995</v>
      </c>
      <c r="T2358">
        <v>12.42</v>
      </c>
      <c r="U2358" t="s">
        <v>295</v>
      </c>
      <c r="V2358" t="s">
        <v>1615</v>
      </c>
      <c r="W2358" t="s">
        <v>1664</v>
      </c>
      <c r="X2358">
        <v>0.84</v>
      </c>
      <c r="Y2358" t="s">
        <v>1461</v>
      </c>
      <c r="Z2358" t="s">
        <v>977</v>
      </c>
      <c r="AA2358" t="s">
        <v>11326</v>
      </c>
      <c r="AB2358">
        <v>2.39</v>
      </c>
      <c r="AC2358" t="s">
        <v>5195</v>
      </c>
      <c r="AD2358">
        <v>65.72</v>
      </c>
      <c r="AE2358" t="s">
        <v>608</v>
      </c>
      <c r="AF2358">
        <v>0.7</v>
      </c>
      <c r="AG2358">
        <v>0</v>
      </c>
      <c r="AH2358">
        <v>0</v>
      </c>
      <c r="AI2358" s="4">
        <v>38098</v>
      </c>
    </row>
    <row r="2359" spans="1:35">
      <c r="A2359">
        <v>2358</v>
      </c>
      <c r="B2359" t="str">
        <f>"601901"</f>
        <v>601901</v>
      </c>
      <c r="C2359" t="s">
        <v>11327</v>
      </c>
      <c r="D2359" s="4">
        <v>43190</v>
      </c>
      <c r="E2359" t="s">
        <v>2765</v>
      </c>
      <c r="F2359" t="s">
        <v>2765</v>
      </c>
      <c r="G2359" t="s">
        <v>8626</v>
      </c>
      <c r="H2359">
        <v>0.04</v>
      </c>
      <c r="I2359">
        <v>4.59</v>
      </c>
      <c r="J2359">
        <v>0.84</v>
      </c>
      <c r="K2359" t="s">
        <v>101</v>
      </c>
      <c r="L2359">
        <v>-2.2599999999999998</v>
      </c>
      <c r="M2359" t="s">
        <v>1794</v>
      </c>
      <c r="N2359" t="s">
        <v>442</v>
      </c>
      <c r="O2359" t="s">
        <v>749</v>
      </c>
      <c r="P2359" t="s">
        <v>1964</v>
      </c>
      <c r="Q2359">
        <v>-21.81</v>
      </c>
      <c r="R2359" t="s">
        <v>8431</v>
      </c>
      <c r="S2359">
        <v>1.02</v>
      </c>
      <c r="T2359">
        <v>0</v>
      </c>
      <c r="U2359" t="s">
        <v>11328</v>
      </c>
      <c r="V2359">
        <v>0</v>
      </c>
      <c r="W2359" t="s">
        <v>1212</v>
      </c>
      <c r="X2359">
        <v>0.84</v>
      </c>
      <c r="Y2359" t="s">
        <v>11329</v>
      </c>
      <c r="Z2359">
        <v>0</v>
      </c>
      <c r="AA2359">
        <v>0</v>
      </c>
      <c r="AB2359">
        <v>1.29</v>
      </c>
      <c r="AC2359" t="s">
        <v>11330</v>
      </c>
      <c r="AD2359">
        <v>25.18</v>
      </c>
      <c r="AE2359" t="s">
        <v>814</v>
      </c>
      <c r="AF2359">
        <v>1.99</v>
      </c>
      <c r="AG2359">
        <v>0</v>
      </c>
      <c r="AH2359">
        <v>0</v>
      </c>
      <c r="AI2359" s="4">
        <v>40765</v>
      </c>
    </row>
    <row r="2360" spans="1:35">
      <c r="A2360">
        <v>2359</v>
      </c>
      <c r="B2360" t="str">
        <f>"300555"</f>
        <v>300555</v>
      </c>
      <c r="C2360" t="s">
        <v>11331</v>
      </c>
      <c r="D2360" s="4">
        <v>43190</v>
      </c>
      <c r="E2360" t="s">
        <v>293</v>
      </c>
      <c r="F2360" t="s">
        <v>11332</v>
      </c>
      <c r="G2360">
        <v>5511</v>
      </c>
      <c r="H2360">
        <v>0.03</v>
      </c>
      <c r="I2360">
        <v>3.14</v>
      </c>
      <c r="J2360">
        <v>0.84</v>
      </c>
      <c r="K2360" t="s">
        <v>6269</v>
      </c>
      <c r="L2360">
        <v>-5.84</v>
      </c>
      <c r="M2360" t="s">
        <v>8477</v>
      </c>
      <c r="N2360" t="s">
        <v>10200</v>
      </c>
      <c r="O2360" t="s">
        <v>6715</v>
      </c>
      <c r="P2360" t="s">
        <v>4769</v>
      </c>
      <c r="Q2360">
        <v>-37.93</v>
      </c>
      <c r="R2360" t="s">
        <v>669</v>
      </c>
      <c r="S2360">
        <v>1.1399999999999999</v>
      </c>
      <c r="T2360">
        <v>25.33</v>
      </c>
      <c r="U2360" t="s">
        <v>605</v>
      </c>
      <c r="V2360" t="s">
        <v>3293</v>
      </c>
      <c r="W2360" t="s">
        <v>11333</v>
      </c>
      <c r="X2360">
        <v>0.84</v>
      </c>
      <c r="Y2360" t="s">
        <v>1202</v>
      </c>
      <c r="Z2360" t="s">
        <v>284</v>
      </c>
      <c r="AA2360" t="s">
        <v>4830</v>
      </c>
      <c r="AB2360">
        <v>3.06</v>
      </c>
      <c r="AC2360" t="s">
        <v>448</v>
      </c>
      <c r="AD2360">
        <v>77.61</v>
      </c>
      <c r="AE2360" t="s">
        <v>2069</v>
      </c>
      <c r="AF2360">
        <v>0.85</v>
      </c>
      <c r="AG2360">
        <v>0</v>
      </c>
      <c r="AH2360">
        <v>0</v>
      </c>
      <c r="AI2360" s="4">
        <v>42661</v>
      </c>
    </row>
    <row r="2361" spans="1:35">
      <c r="A2361">
        <v>2360</v>
      </c>
      <c r="B2361" t="str">
        <f>"002243"</f>
        <v>002243</v>
      </c>
      <c r="C2361" t="s">
        <v>11334</v>
      </c>
      <c r="D2361" s="4">
        <v>43190</v>
      </c>
      <c r="E2361" t="s">
        <v>340</v>
      </c>
      <c r="F2361" t="s">
        <v>340</v>
      </c>
      <c r="G2361" t="s">
        <v>723</v>
      </c>
      <c r="H2361">
        <v>0.03</v>
      </c>
      <c r="I2361">
        <v>4.09</v>
      </c>
      <c r="J2361">
        <v>0.84</v>
      </c>
      <c r="K2361" t="s">
        <v>535</v>
      </c>
      <c r="L2361">
        <v>10.09</v>
      </c>
      <c r="M2361" t="s">
        <v>11335</v>
      </c>
      <c r="N2361" t="s">
        <v>10200</v>
      </c>
      <c r="O2361" t="s">
        <v>10984</v>
      </c>
      <c r="P2361" t="s">
        <v>5884</v>
      </c>
      <c r="Q2361">
        <v>38.36</v>
      </c>
      <c r="R2361" t="s">
        <v>597</v>
      </c>
      <c r="S2361">
        <v>0.9</v>
      </c>
      <c r="T2361">
        <v>21.26</v>
      </c>
      <c r="U2361" t="s">
        <v>187</v>
      </c>
      <c r="V2361" t="s">
        <v>1868</v>
      </c>
      <c r="W2361" t="s">
        <v>2930</v>
      </c>
      <c r="X2361">
        <v>0.84</v>
      </c>
      <c r="Y2361" t="s">
        <v>1152</v>
      </c>
      <c r="Z2361" t="s">
        <v>1049</v>
      </c>
      <c r="AA2361" t="s">
        <v>9895</v>
      </c>
      <c r="AB2361">
        <v>1.41</v>
      </c>
      <c r="AC2361" t="s">
        <v>547</v>
      </c>
      <c r="AD2361">
        <v>80.31</v>
      </c>
      <c r="AE2361" t="s">
        <v>1903</v>
      </c>
      <c r="AF2361">
        <v>2.08</v>
      </c>
      <c r="AG2361">
        <v>0</v>
      </c>
      <c r="AH2361">
        <v>0</v>
      </c>
      <c r="AI2361" s="4">
        <v>39596</v>
      </c>
    </row>
    <row r="2362" spans="1:35">
      <c r="A2362">
        <v>2361</v>
      </c>
      <c r="B2362" t="str">
        <f>"002211"</f>
        <v>002211</v>
      </c>
      <c r="C2362" t="s">
        <v>11336</v>
      </c>
      <c r="D2362" s="4">
        <v>43190</v>
      </c>
      <c r="E2362" t="s">
        <v>1295</v>
      </c>
      <c r="F2362" t="s">
        <v>1295</v>
      </c>
      <c r="G2362">
        <v>8567</v>
      </c>
      <c r="H2362">
        <v>0.02</v>
      </c>
      <c r="I2362">
        <v>1.85</v>
      </c>
      <c r="J2362">
        <v>0.84</v>
      </c>
      <c r="K2362" t="s">
        <v>641</v>
      </c>
      <c r="L2362">
        <v>21.52</v>
      </c>
      <c r="M2362" t="s">
        <v>10201</v>
      </c>
      <c r="N2362" t="s">
        <v>3978</v>
      </c>
      <c r="O2362" t="s">
        <v>9316</v>
      </c>
      <c r="P2362" t="s">
        <v>8254</v>
      </c>
      <c r="Q2362">
        <v>-36.590000000000003</v>
      </c>
      <c r="R2362" t="s">
        <v>11337</v>
      </c>
      <c r="S2362">
        <v>-1.62</v>
      </c>
      <c r="T2362">
        <v>9.76</v>
      </c>
      <c r="U2362" t="s">
        <v>164</v>
      </c>
      <c r="V2362" t="s">
        <v>1368</v>
      </c>
      <c r="W2362" t="s">
        <v>1203</v>
      </c>
      <c r="X2362">
        <v>0.84</v>
      </c>
      <c r="Y2362" t="s">
        <v>806</v>
      </c>
      <c r="Z2362" t="s">
        <v>3376</v>
      </c>
      <c r="AA2362" t="s">
        <v>7296</v>
      </c>
      <c r="AB2362">
        <v>2.5</v>
      </c>
      <c r="AC2362" t="s">
        <v>539</v>
      </c>
      <c r="AD2362">
        <v>63.65</v>
      </c>
      <c r="AE2362" t="s">
        <v>919</v>
      </c>
      <c r="AF2362">
        <v>2.4</v>
      </c>
      <c r="AG2362">
        <v>0</v>
      </c>
      <c r="AH2362">
        <v>0</v>
      </c>
      <c r="AI2362" s="4">
        <v>39479</v>
      </c>
    </row>
    <row r="2363" spans="1:35">
      <c r="A2363">
        <v>2362</v>
      </c>
      <c r="B2363" t="str">
        <f>"002039"</f>
        <v>002039</v>
      </c>
      <c r="C2363" t="s">
        <v>11338</v>
      </c>
      <c r="D2363" s="4">
        <v>43190</v>
      </c>
      <c r="E2363" t="s">
        <v>342</v>
      </c>
      <c r="F2363" t="s">
        <v>342</v>
      </c>
      <c r="G2363" t="s">
        <v>4294</v>
      </c>
      <c r="H2363">
        <v>7.0000000000000007E-2</v>
      </c>
      <c r="I2363">
        <v>7.48</v>
      </c>
      <c r="J2363">
        <v>0.84</v>
      </c>
      <c r="K2363" t="s">
        <v>2098</v>
      </c>
      <c r="L2363">
        <v>24.62</v>
      </c>
      <c r="M2363" t="s">
        <v>11339</v>
      </c>
      <c r="N2363">
        <v>0</v>
      </c>
      <c r="O2363" t="s">
        <v>11339</v>
      </c>
      <c r="P2363" t="s">
        <v>11340</v>
      </c>
      <c r="Q2363">
        <v>613.88</v>
      </c>
      <c r="R2363" t="s">
        <v>63</v>
      </c>
      <c r="S2363">
        <v>2.21</v>
      </c>
      <c r="T2363">
        <v>51.25</v>
      </c>
      <c r="U2363" t="s">
        <v>1097</v>
      </c>
      <c r="V2363" t="s">
        <v>619</v>
      </c>
      <c r="W2363" t="s">
        <v>3129</v>
      </c>
      <c r="X2363">
        <v>0.84</v>
      </c>
      <c r="Y2363" t="s">
        <v>1745</v>
      </c>
      <c r="Z2363" t="s">
        <v>1390</v>
      </c>
      <c r="AA2363" t="s">
        <v>1820</v>
      </c>
      <c r="AB2363">
        <v>1.88</v>
      </c>
      <c r="AC2363" t="s">
        <v>1704</v>
      </c>
      <c r="AD2363">
        <v>13.99</v>
      </c>
      <c r="AE2363" t="s">
        <v>354</v>
      </c>
      <c r="AF2363">
        <v>3.75</v>
      </c>
      <c r="AG2363">
        <v>0</v>
      </c>
      <c r="AH2363">
        <v>0</v>
      </c>
      <c r="AI2363" s="4">
        <v>38414</v>
      </c>
    </row>
    <row r="2364" spans="1:35">
      <c r="A2364">
        <v>2363</v>
      </c>
      <c r="B2364" t="str">
        <f>"000980"</f>
        <v>000980</v>
      </c>
      <c r="C2364" t="s">
        <v>11341</v>
      </c>
      <c r="D2364" s="4">
        <v>43190</v>
      </c>
      <c r="E2364" t="s">
        <v>1843</v>
      </c>
      <c r="F2364" t="s">
        <v>1223</v>
      </c>
      <c r="G2364">
        <v>7875</v>
      </c>
      <c r="H2364">
        <v>7.0000000000000007E-2</v>
      </c>
      <c r="I2364">
        <v>8.3000000000000007</v>
      </c>
      <c r="J2364">
        <v>0.84</v>
      </c>
      <c r="K2364" t="s">
        <v>3645</v>
      </c>
      <c r="L2364">
        <v>917.68</v>
      </c>
      <c r="M2364" t="s">
        <v>383</v>
      </c>
      <c r="N2364">
        <v>0</v>
      </c>
      <c r="O2364" t="s">
        <v>2769</v>
      </c>
      <c r="P2364" t="s">
        <v>84</v>
      </c>
      <c r="Q2364">
        <v>351.37</v>
      </c>
      <c r="R2364" t="s">
        <v>50</v>
      </c>
      <c r="S2364">
        <v>0.78</v>
      </c>
      <c r="T2364">
        <v>18.03</v>
      </c>
      <c r="U2364" t="s">
        <v>3606</v>
      </c>
      <c r="V2364" t="s">
        <v>1278</v>
      </c>
      <c r="W2364" t="s">
        <v>864</v>
      </c>
      <c r="X2364">
        <v>0.84</v>
      </c>
      <c r="Y2364" t="s">
        <v>1894</v>
      </c>
      <c r="Z2364" t="s">
        <v>1149</v>
      </c>
      <c r="AA2364" t="s">
        <v>1025</v>
      </c>
      <c r="AB2364">
        <v>0.84</v>
      </c>
      <c r="AC2364" t="s">
        <v>3446</v>
      </c>
      <c r="AD2364">
        <v>52.47</v>
      </c>
      <c r="AE2364" t="s">
        <v>1524</v>
      </c>
      <c r="AF2364">
        <v>6.51</v>
      </c>
      <c r="AG2364">
        <v>0</v>
      </c>
      <c r="AH2364">
        <v>0</v>
      </c>
      <c r="AI2364" s="4">
        <v>36693</v>
      </c>
    </row>
    <row r="2365" spans="1:35">
      <c r="A2365">
        <v>2364</v>
      </c>
      <c r="B2365" t="str">
        <f>"600958"</f>
        <v>600958</v>
      </c>
      <c r="C2365" t="s">
        <v>11342</v>
      </c>
      <c r="D2365" s="4">
        <v>43190</v>
      </c>
      <c r="E2365" t="s">
        <v>5268</v>
      </c>
      <c r="F2365" t="s">
        <v>428</v>
      </c>
      <c r="G2365">
        <v>0</v>
      </c>
      <c r="H2365">
        <v>0.06</v>
      </c>
      <c r="I2365">
        <v>7.49</v>
      </c>
      <c r="J2365">
        <v>0.83</v>
      </c>
      <c r="K2365" t="s">
        <v>2328</v>
      </c>
      <c r="L2365">
        <v>-8.67</v>
      </c>
      <c r="M2365" t="s">
        <v>375</v>
      </c>
      <c r="N2365" t="s">
        <v>602</v>
      </c>
      <c r="O2365" t="s">
        <v>5374</v>
      </c>
      <c r="P2365" t="s">
        <v>346</v>
      </c>
      <c r="Q2365">
        <v>-48.34</v>
      </c>
      <c r="R2365" t="s">
        <v>3326</v>
      </c>
      <c r="S2365">
        <v>1.0900000000000001</v>
      </c>
      <c r="T2365">
        <v>0</v>
      </c>
      <c r="U2365" t="s">
        <v>11343</v>
      </c>
      <c r="V2365">
        <v>0</v>
      </c>
      <c r="W2365" t="s">
        <v>3006</v>
      </c>
      <c r="X2365">
        <v>0.83</v>
      </c>
      <c r="Y2365" t="s">
        <v>6473</v>
      </c>
      <c r="Z2365">
        <v>0</v>
      </c>
      <c r="AA2365">
        <v>0</v>
      </c>
      <c r="AB2365">
        <v>1.26</v>
      </c>
      <c r="AC2365" t="s">
        <v>3572</v>
      </c>
      <c r="AD2365">
        <v>23.28</v>
      </c>
      <c r="AE2365" t="s">
        <v>437</v>
      </c>
      <c r="AF2365">
        <v>4.04</v>
      </c>
      <c r="AG2365">
        <v>0</v>
      </c>
      <c r="AH2365" t="s">
        <v>978</v>
      </c>
      <c r="AI2365" s="4">
        <v>42086</v>
      </c>
    </row>
    <row r="2366" spans="1:35">
      <c r="A2366">
        <v>2365</v>
      </c>
      <c r="B2366" t="str">
        <f>"600811"</f>
        <v>600811</v>
      </c>
      <c r="C2366" t="s">
        <v>11344</v>
      </c>
      <c r="D2366" s="4">
        <v>43190</v>
      </c>
      <c r="E2366" t="s">
        <v>2725</v>
      </c>
      <c r="F2366" t="s">
        <v>273</v>
      </c>
      <c r="G2366" t="s">
        <v>6180</v>
      </c>
      <c r="H2366">
        <v>0.04</v>
      </c>
      <c r="I2366">
        <v>5.38</v>
      </c>
      <c r="J2366">
        <v>0.83</v>
      </c>
      <c r="K2366" t="s">
        <v>1343</v>
      </c>
      <c r="L2366">
        <v>35.75</v>
      </c>
      <c r="M2366" t="s">
        <v>2034</v>
      </c>
      <c r="N2366" t="s">
        <v>140</v>
      </c>
      <c r="O2366" t="s">
        <v>609</v>
      </c>
      <c r="P2366" t="s">
        <v>1360</v>
      </c>
      <c r="Q2366">
        <v>94.67</v>
      </c>
      <c r="R2366" t="s">
        <v>1858</v>
      </c>
      <c r="S2366">
        <v>1.41</v>
      </c>
      <c r="T2366">
        <v>1.99</v>
      </c>
      <c r="U2366" t="s">
        <v>2047</v>
      </c>
      <c r="V2366" t="s">
        <v>2049</v>
      </c>
      <c r="W2366" t="s">
        <v>4009</v>
      </c>
      <c r="X2366">
        <v>0.83</v>
      </c>
      <c r="Y2366" t="s">
        <v>968</v>
      </c>
      <c r="Z2366" t="s">
        <v>2491</v>
      </c>
      <c r="AA2366" t="s">
        <v>3449</v>
      </c>
      <c r="AB2366">
        <v>0.8</v>
      </c>
      <c r="AC2366" t="s">
        <v>388</v>
      </c>
      <c r="AD2366">
        <v>40.39</v>
      </c>
      <c r="AE2366" t="s">
        <v>2677</v>
      </c>
      <c r="AF2366">
        <v>2.29</v>
      </c>
      <c r="AG2366">
        <v>0</v>
      </c>
      <c r="AH2366">
        <v>0</v>
      </c>
      <c r="AI2366" s="4">
        <v>34340</v>
      </c>
    </row>
    <row r="2367" spans="1:35">
      <c r="A2367">
        <v>2366</v>
      </c>
      <c r="B2367" t="str">
        <f>"600386"</f>
        <v>600386</v>
      </c>
      <c r="C2367" t="s">
        <v>11345</v>
      </c>
      <c r="D2367" s="4">
        <v>43190</v>
      </c>
      <c r="E2367" t="s">
        <v>353</v>
      </c>
      <c r="F2367" t="s">
        <v>353</v>
      </c>
      <c r="G2367" t="s">
        <v>4929</v>
      </c>
      <c r="H2367">
        <v>0.02</v>
      </c>
      <c r="I2367">
        <v>2.27</v>
      </c>
      <c r="J2367">
        <v>0.83</v>
      </c>
      <c r="K2367" t="s">
        <v>895</v>
      </c>
      <c r="L2367">
        <v>17.149999999999999</v>
      </c>
      <c r="M2367" t="s">
        <v>3968</v>
      </c>
      <c r="N2367" t="s">
        <v>11346</v>
      </c>
      <c r="O2367" t="s">
        <v>11347</v>
      </c>
      <c r="P2367" t="s">
        <v>8719</v>
      </c>
      <c r="Q2367">
        <v>-19.440000000000001</v>
      </c>
      <c r="R2367" t="s">
        <v>174</v>
      </c>
      <c r="S2367">
        <v>0.67</v>
      </c>
      <c r="T2367">
        <v>18.37</v>
      </c>
      <c r="U2367" t="s">
        <v>1841</v>
      </c>
      <c r="V2367" t="s">
        <v>243</v>
      </c>
      <c r="W2367" t="s">
        <v>625</v>
      </c>
      <c r="X2367">
        <v>0.83</v>
      </c>
      <c r="Y2367" t="s">
        <v>502</v>
      </c>
      <c r="Z2367" t="s">
        <v>1852</v>
      </c>
      <c r="AA2367" t="s">
        <v>389</v>
      </c>
      <c r="AB2367">
        <v>1.71</v>
      </c>
      <c r="AC2367" t="s">
        <v>1101</v>
      </c>
      <c r="AD2367">
        <v>38.25</v>
      </c>
      <c r="AE2367" t="s">
        <v>474</v>
      </c>
      <c r="AF2367">
        <v>0.3</v>
      </c>
      <c r="AG2367">
        <v>0</v>
      </c>
      <c r="AH2367">
        <v>0</v>
      </c>
      <c r="AI2367" s="4">
        <v>36938</v>
      </c>
    </row>
    <row r="2368" spans="1:35">
      <c r="A2368">
        <v>2367</v>
      </c>
      <c r="B2368" t="str">
        <f>"300266"</f>
        <v>300266</v>
      </c>
      <c r="C2368" t="s">
        <v>11348</v>
      </c>
      <c r="D2368" s="4">
        <v>43190</v>
      </c>
      <c r="E2368" t="s">
        <v>919</v>
      </c>
      <c r="F2368" t="s">
        <v>3839</v>
      </c>
      <c r="G2368" t="s">
        <v>3890</v>
      </c>
      <c r="H2368">
        <v>0.03</v>
      </c>
      <c r="I2368">
        <v>3.65</v>
      </c>
      <c r="J2368">
        <v>0.83</v>
      </c>
      <c r="K2368" t="s">
        <v>2056</v>
      </c>
      <c r="L2368">
        <v>59.22</v>
      </c>
      <c r="M2368" t="s">
        <v>11349</v>
      </c>
      <c r="N2368" t="s">
        <v>11350</v>
      </c>
      <c r="O2368" t="s">
        <v>6633</v>
      </c>
      <c r="P2368" t="s">
        <v>3294</v>
      </c>
      <c r="Q2368">
        <v>-68.88</v>
      </c>
      <c r="R2368" t="s">
        <v>1978</v>
      </c>
      <c r="S2368">
        <v>0.78</v>
      </c>
      <c r="T2368">
        <v>21.01</v>
      </c>
      <c r="U2368" t="s">
        <v>716</v>
      </c>
      <c r="V2368" t="s">
        <v>772</v>
      </c>
      <c r="W2368" t="s">
        <v>150</v>
      </c>
      <c r="X2368">
        <v>0.83</v>
      </c>
      <c r="Y2368" t="s">
        <v>1713</v>
      </c>
      <c r="Z2368" t="s">
        <v>428</v>
      </c>
      <c r="AA2368" t="s">
        <v>521</v>
      </c>
      <c r="AB2368">
        <v>5.48</v>
      </c>
      <c r="AC2368" t="s">
        <v>949</v>
      </c>
      <c r="AD2368">
        <v>37.21</v>
      </c>
      <c r="AE2368" t="s">
        <v>183</v>
      </c>
      <c r="AF2368">
        <v>1.82</v>
      </c>
      <c r="AG2368">
        <v>0</v>
      </c>
      <c r="AH2368">
        <v>0</v>
      </c>
      <c r="AI2368" s="4">
        <v>40813</v>
      </c>
    </row>
    <row r="2369" spans="1:35">
      <c r="A2369">
        <v>2368</v>
      </c>
      <c r="B2369" t="str">
        <f>"300260"</f>
        <v>300260</v>
      </c>
      <c r="C2369" t="s">
        <v>11351</v>
      </c>
      <c r="D2369" s="4">
        <v>43190</v>
      </c>
      <c r="E2369" t="s">
        <v>1853</v>
      </c>
      <c r="F2369" t="s">
        <v>993</v>
      </c>
      <c r="G2369" t="s">
        <v>5991</v>
      </c>
      <c r="H2369">
        <v>0.03</v>
      </c>
      <c r="I2369">
        <v>3.35</v>
      </c>
      <c r="J2369">
        <v>0.83</v>
      </c>
      <c r="K2369" t="s">
        <v>1360</v>
      </c>
      <c r="L2369">
        <v>13.02</v>
      </c>
      <c r="M2369" t="s">
        <v>6204</v>
      </c>
      <c r="N2369">
        <v>0</v>
      </c>
      <c r="O2369" t="s">
        <v>11352</v>
      </c>
      <c r="P2369" t="s">
        <v>10218</v>
      </c>
      <c r="Q2369">
        <v>79.84</v>
      </c>
      <c r="R2369" t="s">
        <v>368</v>
      </c>
      <c r="S2369">
        <v>0.83</v>
      </c>
      <c r="T2369">
        <v>23.53</v>
      </c>
      <c r="U2369" t="s">
        <v>548</v>
      </c>
      <c r="V2369" t="s">
        <v>1644</v>
      </c>
      <c r="W2369" t="s">
        <v>325</v>
      </c>
      <c r="X2369">
        <v>0.83</v>
      </c>
      <c r="Y2369" t="s">
        <v>4176</v>
      </c>
      <c r="Z2369" t="s">
        <v>68</v>
      </c>
      <c r="AA2369" t="s">
        <v>214</v>
      </c>
      <c r="AB2369">
        <v>4.59</v>
      </c>
      <c r="AC2369" t="s">
        <v>1238</v>
      </c>
      <c r="AD2369">
        <v>54.86</v>
      </c>
      <c r="AE2369" t="s">
        <v>3297</v>
      </c>
      <c r="AF2369">
        <v>1.52</v>
      </c>
      <c r="AG2369">
        <v>0</v>
      </c>
      <c r="AH2369">
        <v>0</v>
      </c>
      <c r="AI2369" s="4">
        <v>40792</v>
      </c>
    </row>
    <row r="2370" spans="1:35">
      <c r="A2370">
        <v>2369</v>
      </c>
      <c r="B2370" t="str">
        <f>"300075"</f>
        <v>300075</v>
      </c>
      <c r="C2370" t="s">
        <v>11353</v>
      </c>
      <c r="D2370" s="4">
        <v>43190</v>
      </c>
      <c r="E2370" t="s">
        <v>806</v>
      </c>
      <c r="F2370" t="s">
        <v>4871</v>
      </c>
      <c r="G2370">
        <v>5698</v>
      </c>
      <c r="H2370">
        <v>0.04</v>
      </c>
      <c r="I2370">
        <v>4.82</v>
      </c>
      <c r="J2370">
        <v>0.83</v>
      </c>
      <c r="K2370" t="s">
        <v>711</v>
      </c>
      <c r="L2370">
        <v>22.52</v>
      </c>
      <c r="M2370" t="s">
        <v>11354</v>
      </c>
      <c r="N2370" t="s">
        <v>11355</v>
      </c>
      <c r="O2370" t="s">
        <v>11354</v>
      </c>
      <c r="P2370" t="s">
        <v>945</v>
      </c>
      <c r="Q2370">
        <v>52.39</v>
      </c>
      <c r="R2370" t="s">
        <v>6120</v>
      </c>
      <c r="S2370">
        <v>1.53</v>
      </c>
      <c r="T2370">
        <v>43.08</v>
      </c>
      <c r="U2370" t="s">
        <v>1625</v>
      </c>
      <c r="V2370" t="s">
        <v>576</v>
      </c>
      <c r="W2370" t="s">
        <v>10617</v>
      </c>
      <c r="X2370">
        <v>0.83</v>
      </c>
      <c r="Y2370" t="s">
        <v>2250</v>
      </c>
      <c r="Z2370" t="s">
        <v>3290</v>
      </c>
      <c r="AA2370" t="s">
        <v>517</v>
      </c>
      <c r="AB2370">
        <v>2.62</v>
      </c>
      <c r="AC2370" t="s">
        <v>251</v>
      </c>
      <c r="AD2370">
        <v>68.37</v>
      </c>
      <c r="AE2370" t="s">
        <v>3651</v>
      </c>
      <c r="AF2370">
        <v>2.2799999999999998</v>
      </c>
      <c r="AG2370">
        <v>0</v>
      </c>
      <c r="AH2370">
        <v>0</v>
      </c>
      <c r="AI2370" s="4">
        <v>40295</v>
      </c>
    </row>
    <row r="2371" spans="1:35">
      <c r="A2371">
        <v>2370</v>
      </c>
      <c r="B2371" t="str">
        <f>"000888"</f>
        <v>000888</v>
      </c>
      <c r="C2371" t="s">
        <v>11356</v>
      </c>
      <c r="D2371" s="4">
        <v>43190</v>
      </c>
      <c r="E2371" t="s">
        <v>1382</v>
      </c>
      <c r="F2371" t="s">
        <v>1382</v>
      </c>
      <c r="G2371" t="s">
        <v>950</v>
      </c>
      <c r="H2371">
        <v>0.03</v>
      </c>
      <c r="I2371">
        <v>4.0199999999999996</v>
      </c>
      <c r="J2371">
        <v>0.83</v>
      </c>
      <c r="K2371" t="s">
        <v>828</v>
      </c>
      <c r="L2371">
        <v>4.32</v>
      </c>
      <c r="M2371" t="s">
        <v>7377</v>
      </c>
      <c r="N2371" t="s">
        <v>11357</v>
      </c>
      <c r="O2371" t="s">
        <v>11358</v>
      </c>
      <c r="P2371" t="s">
        <v>11359</v>
      </c>
      <c r="Q2371">
        <v>11.33</v>
      </c>
      <c r="R2371" t="s">
        <v>978</v>
      </c>
      <c r="S2371">
        <v>1.85</v>
      </c>
      <c r="T2371">
        <v>34.090000000000003</v>
      </c>
      <c r="U2371" t="s">
        <v>2100</v>
      </c>
      <c r="V2371" t="s">
        <v>2512</v>
      </c>
      <c r="W2371" t="s">
        <v>971</v>
      </c>
      <c r="X2371">
        <v>0.83</v>
      </c>
      <c r="Y2371" t="s">
        <v>542</v>
      </c>
      <c r="Z2371" t="s">
        <v>1732</v>
      </c>
      <c r="AA2371" t="s">
        <v>1287</v>
      </c>
      <c r="AB2371">
        <v>2.2400000000000002</v>
      </c>
      <c r="AC2371" t="s">
        <v>2753</v>
      </c>
      <c r="AD2371">
        <v>81.150000000000006</v>
      </c>
      <c r="AE2371" t="s">
        <v>1317</v>
      </c>
      <c r="AF2371">
        <v>0.81</v>
      </c>
      <c r="AG2371">
        <v>0</v>
      </c>
      <c r="AH2371">
        <v>0</v>
      </c>
      <c r="AI2371" s="4">
        <v>35724</v>
      </c>
    </row>
    <row r="2372" spans="1:35">
      <c r="A2372">
        <v>2371</v>
      </c>
      <c r="B2372" t="str">
        <f>"000698"</f>
        <v>000698</v>
      </c>
      <c r="C2372" t="s">
        <v>11360</v>
      </c>
      <c r="D2372" s="4">
        <v>43190</v>
      </c>
      <c r="E2372" t="s">
        <v>4354</v>
      </c>
      <c r="F2372" t="s">
        <v>1295</v>
      </c>
      <c r="G2372">
        <v>7304</v>
      </c>
      <c r="H2372">
        <v>0.04</v>
      </c>
      <c r="I2372">
        <v>5.42</v>
      </c>
      <c r="J2372">
        <v>0.83</v>
      </c>
      <c r="K2372" t="s">
        <v>449</v>
      </c>
      <c r="L2372">
        <v>-32.520000000000003</v>
      </c>
      <c r="M2372" t="s">
        <v>11361</v>
      </c>
      <c r="N2372">
        <v>0</v>
      </c>
      <c r="O2372" t="s">
        <v>11362</v>
      </c>
      <c r="P2372" t="s">
        <v>5373</v>
      </c>
      <c r="Q2372">
        <v>-56</v>
      </c>
      <c r="R2372" t="s">
        <v>419</v>
      </c>
      <c r="S2372">
        <v>2.4</v>
      </c>
      <c r="T2372">
        <v>9.7100000000000009</v>
      </c>
      <c r="U2372" t="s">
        <v>4045</v>
      </c>
      <c r="V2372" t="s">
        <v>693</v>
      </c>
      <c r="W2372" t="s">
        <v>5794</v>
      </c>
      <c r="X2372">
        <v>0.83</v>
      </c>
      <c r="Y2372" t="s">
        <v>2881</v>
      </c>
      <c r="Z2372" t="s">
        <v>1669</v>
      </c>
      <c r="AA2372" t="s">
        <v>1779</v>
      </c>
      <c r="AB2372">
        <v>0.78</v>
      </c>
      <c r="AC2372" t="s">
        <v>1233</v>
      </c>
      <c r="AD2372">
        <v>47.46</v>
      </c>
      <c r="AE2372" t="s">
        <v>924</v>
      </c>
      <c r="AF2372">
        <v>1.63</v>
      </c>
      <c r="AG2372">
        <v>0</v>
      </c>
      <c r="AH2372">
        <v>0</v>
      </c>
      <c r="AI2372" s="4">
        <v>35481</v>
      </c>
    </row>
    <row r="2373" spans="1:35">
      <c r="A2373">
        <v>2372</v>
      </c>
      <c r="B2373" t="str">
        <f>"000599"</f>
        <v>000599</v>
      </c>
      <c r="C2373" t="s">
        <v>11363</v>
      </c>
      <c r="D2373" s="4">
        <v>43190</v>
      </c>
      <c r="E2373" t="s">
        <v>2443</v>
      </c>
      <c r="F2373" t="s">
        <v>2532</v>
      </c>
      <c r="G2373">
        <v>9788</v>
      </c>
      <c r="H2373">
        <v>0.03</v>
      </c>
      <c r="I2373">
        <v>4.46</v>
      </c>
      <c r="J2373">
        <v>0.83</v>
      </c>
      <c r="K2373" t="s">
        <v>2813</v>
      </c>
      <c r="L2373">
        <v>-9.9600000000000009</v>
      </c>
      <c r="M2373" t="s">
        <v>11364</v>
      </c>
      <c r="N2373" t="s">
        <v>10321</v>
      </c>
      <c r="O2373" t="s">
        <v>10115</v>
      </c>
      <c r="P2373" t="s">
        <v>11365</v>
      </c>
      <c r="Q2373">
        <v>9.24</v>
      </c>
      <c r="R2373" t="s">
        <v>7297</v>
      </c>
      <c r="S2373">
        <v>1</v>
      </c>
      <c r="T2373">
        <v>15.52</v>
      </c>
      <c r="U2373" t="s">
        <v>8883</v>
      </c>
      <c r="V2373" t="s">
        <v>2736</v>
      </c>
      <c r="W2373" t="s">
        <v>371</v>
      </c>
      <c r="X2373">
        <v>0.83</v>
      </c>
      <c r="Y2373" t="s">
        <v>2923</v>
      </c>
      <c r="Z2373" t="s">
        <v>1443</v>
      </c>
      <c r="AA2373" t="s">
        <v>747</v>
      </c>
      <c r="AB2373">
        <v>1.1100000000000001</v>
      </c>
      <c r="AC2373" t="s">
        <v>1164</v>
      </c>
      <c r="AD2373">
        <v>39.36</v>
      </c>
      <c r="AE2373" t="s">
        <v>1000</v>
      </c>
      <c r="AF2373">
        <v>2.39</v>
      </c>
      <c r="AG2373">
        <v>0</v>
      </c>
      <c r="AH2373">
        <v>0</v>
      </c>
      <c r="AI2373" s="4">
        <v>35185</v>
      </c>
    </row>
    <row r="2374" spans="1:35">
      <c r="A2374">
        <v>2373</v>
      </c>
      <c r="B2374" t="str">
        <f>"000571"</f>
        <v>000571</v>
      </c>
      <c r="C2374" t="s">
        <v>11366</v>
      </c>
      <c r="D2374" s="4">
        <v>43190</v>
      </c>
      <c r="E2374" t="s">
        <v>1414</v>
      </c>
      <c r="F2374" t="s">
        <v>2984</v>
      </c>
      <c r="G2374">
        <v>9758</v>
      </c>
      <c r="H2374">
        <v>0.02</v>
      </c>
      <c r="I2374">
        <v>2.72</v>
      </c>
      <c r="J2374">
        <v>0.83</v>
      </c>
      <c r="K2374" t="s">
        <v>2581</v>
      </c>
      <c r="L2374">
        <v>225.5</v>
      </c>
      <c r="M2374" t="s">
        <v>7876</v>
      </c>
      <c r="N2374" t="s">
        <v>11367</v>
      </c>
      <c r="O2374" t="s">
        <v>11368</v>
      </c>
      <c r="P2374" t="s">
        <v>6791</v>
      </c>
      <c r="Q2374">
        <v>-17.010000000000002</v>
      </c>
      <c r="R2374" t="s">
        <v>563</v>
      </c>
      <c r="S2374">
        <v>0.82</v>
      </c>
      <c r="T2374">
        <v>25.05</v>
      </c>
      <c r="U2374" t="s">
        <v>2225</v>
      </c>
      <c r="V2374" t="s">
        <v>161</v>
      </c>
      <c r="W2374" t="s">
        <v>1062</v>
      </c>
      <c r="X2374">
        <v>0.83</v>
      </c>
      <c r="Y2374" t="s">
        <v>1390</v>
      </c>
      <c r="Z2374" t="s">
        <v>304</v>
      </c>
      <c r="AA2374" t="s">
        <v>1481</v>
      </c>
      <c r="AB2374">
        <v>1.56</v>
      </c>
      <c r="AC2374" t="s">
        <v>728</v>
      </c>
      <c r="AD2374">
        <v>43.14</v>
      </c>
      <c r="AE2374" t="s">
        <v>690</v>
      </c>
      <c r="AF2374">
        <v>0.8</v>
      </c>
      <c r="AG2374">
        <v>0</v>
      </c>
      <c r="AH2374">
        <v>0</v>
      </c>
      <c r="AI2374" s="4">
        <v>34479</v>
      </c>
    </row>
    <row r="2375" spans="1:35">
      <c r="A2375">
        <v>2374</v>
      </c>
      <c r="B2375" t="str">
        <f>"000090"</f>
        <v>000090</v>
      </c>
      <c r="C2375" t="s">
        <v>11369</v>
      </c>
      <c r="D2375" s="4">
        <v>43190</v>
      </c>
      <c r="E2375" t="s">
        <v>625</v>
      </c>
      <c r="F2375" t="s">
        <v>1162</v>
      </c>
      <c r="G2375" t="s">
        <v>6402</v>
      </c>
      <c r="H2375">
        <v>0.05</v>
      </c>
      <c r="I2375">
        <v>5.43</v>
      </c>
      <c r="J2375">
        <v>0.83</v>
      </c>
      <c r="K2375" t="s">
        <v>895</v>
      </c>
      <c r="L2375">
        <v>-44.5</v>
      </c>
      <c r="M2375" t="s">
        <v>11370</v>
      </c>
      <c r="N2375" t="s">
        <v>11371</v>
      </c>
      <c r="O2375" t="s">
        <v>11372</v>
      </c>
      <c r="P2375" t="s">
        <v>2189</v>
      </c>
      <c r="Q2375">
        <v>-78.63</v>
      </c>
      <c r="R2375" t="s">
        <v>514</v>
      </c>
      <c r="S2375">
        <v>1.78</v>
      </c>
      <c r="T2375">
        <v>25.55</v>
      </c>
      <c r="U2375" t="s">
        <v>837</v>
      </c>
      <c r="V2375" t="s">
        <v>2270</v>
      </c>
      <c r="W2375" t="s">
        <v>3297</v>
      </c>
      <c r="X2375">
        <v>0.83</v>
      </c>
      <c r="Y2375" t="s">
        <v>2004</v>
      </c>
      <c r="Z2375" t="s">
        <v>1753</v>
      </c>
      <c r="AA2375" t="s">
        <v>3278</v>
      </c>
      <c r="AB2375">
        <v>1.43</v>
      </c>
      <c r="AC2375" t="s">
        <v>3302</v>
      </c>
      <c r="AD2375">
        <v>23.65</v>
      </c>
      <c r="AE2375" t="s">
        <v>2291</v>
      </c>
      <c r="AF2375">
        <v>1.9</v>
      </c>
      <c r="AG2375">
        <v>0</v>
      </c>
      <c r="AH2375">
        <v>0</v>
      </c>
      <c r="AI2375" s="4">
        <v>36362</v>
      </c>
    </row>
    <row r="2376" spans="1:35">
      <c r="A2376">
        <v>2375</v>
      </c>
      <c r="B2376" t="str">
        <f>"601718"</f>
        <v>601718</v>
      </c>
      <c r="C2376" t="s">
        <v>11373</v>
      </c>
      <c r="D2376" s="4">
        <v>43190</v>
      </c>
      <c r="E2376" t="s">
        <v>245</v>
      </c>
      <c r="F2376" t="s">
        <v>245</v>
      </c>
      <c r="G2376" t="s">
        <v>1092</v>
      </c>
      <c r="H2376">
        <v>0.04</v>
      </c>
      <c r="I2376">
        <v>4.32</v>
      </c>
      <c r="J2376">
        <v>0.82</v>
      </c>
      <c r="K2376" t="s">
        <v>2211</v>
      </c>
      <c r="L2376">
        <v>-9.1199999999999992</v>
      </c>
      <c r="M2376" t="s">
        <v>86</v>
      </c>
      <c r="N2376" t="s">
        <v>11374</v>
      </c>
      <c r="O2376" t="s">
        <v>844</v>
      </c>
      <c r="P2376" t="s">
        <v>863</v>
      </c>
      <c r="Q2376">
        <v>-44.49</v>
      </c>
      <c r="R2376" t="s">
        <v>10780</v>
      </c>
      <c r="S2376">
        <v>1.43</v>
      </c>
      <c r="T2376">
        <v>10.27</v>
      </c>
      <c r="U2376" t="s">
        <v>11375</v>
      </c>
      <c r="V2376" t="s">
        <v>5633</v>
      </c>
      <c r="W2376" t="s">
        <v>3303</v>
      </c>
      <c r="X2376">
        <v>0.82</v>
      </c>
      <c r="Y2376" t="s">
        <v>311</v>
      </c>
      <c r="Z2376" t="s">
        <v>1253</v>
      </c>
      <c r="AA2376" t="s">
        <v>1104</v>
      </c>
      <c r="AB2376">
        <v>0.94</v>
      </c>
      <c r="AC2376" t="s">
        <v>4304</v>
      </c>
      <c r="AD2376">
        <v>59.35</v>
      </c>
      <c r="AE2376" t="s">
        <v>3068</v>
      </c>
      <c r="AF2376">
        <v>1.83</v>
      </c>
      <c r="AG2376">
        <v>0</v>
      </c>
      <c r="AH2376">
        <v>0</v>
      </c>
      <c r="AI2376" s="4">
        <v>40406</v>
      </c>
    </row>
    <row r="2377" spans="1:35">
      <c r="A2377">
        <v>2376</v>
      </c>
      <c r="B2377" t="str">
        <f>"600617"</f>
        <v>600617</v>
      </c>
      <c r="C2377" t="s">
        <v>11376</v>
      </c>
      <c r="D2377" s="4">
        <v>43190</v>
      </c>
      <c r="E2377" t="s">
        <v>699</v>
      </c>
      <c r="F2377" t="s">
        <v>8311</v>
      </c>
      <c r="G2377">
        <v>0</v>
      </c>
      <c r="H2377">
        <v>0.03</v>
      </c>
      <c r="I2377">
        <v>3.46</v>
      </c>
      <c r="J2377">
        <v>0.82</v>
      </c>
      <c r="K2377" t="s">
        <v>946</v>
      </c>
      <c r="L2377">
        <v>1.32</v>
      </c>
      <c r="M2377" t="s">
        <v>9659</v>
      </c>
      <c r="N2377" t="s">
        <v>4217</v>
      </c>
      <c r="O2377" t="s">
        <v>11377</v>
      </c>
      <c r="P2377" t="s">
        <v>5168</v>
      </c>
      <c r="Q2377">
        <v>-66.14</v>
      </c>
      <c r="R2377" t="s">
        <v>1792</v>
      </c>
      <c r="S2377">
        <v>1.44</v>
      </c>
      <c r="T2377">
        <v>16.18</v>
      </c>
      <c r="U2377" t="s">
        <v>1153</v>
      </c>
      <c r="V2377" t="s">
        <v>2272</v>
      </c>
      <c r="W2377" t="s">
        <v>3472</v>
      </c>
      <c r="X2377">
        <v>0.82</v>
      </c>
      <c r="Y2377" t="s">
        <v>1193</v>
      </c>
      <c r="Z2377" t="s">
        <v>1948</v>
      </c>
      <c r="AA2377" t="s">
        <v>1929</v>
      </c>
      <c r="AB2377">
        <v>1.61</v>
      </c>
      <c r="AC2377" t="s">
        <v>1486</v>
      </c>
      <c r="AD2377">
        <v>13.79</v>
      </c>
      <c r="AE2377" t="s">
        <v>4097</v>
      </c>
      <c r="AF2377">
        <v>0.86</v>
      </c>
      <c r="AG2377" t="s">
        <v>804</v>
      </c>
      <c r="AH2377">
        <v>0</v>
      </c>
      <c r="AI2377" s="4">
        <v>33890</v>
      </c>
    </row>
    <row r="2378" spans="1:35">
      <c r="A2378">
        <v>2377</v>
      </c>
      <c r="B2378" t="str">
        <f>"300443"</f>
        <v>300443</v>
      </c>
      <c r="C2378" t="s">
        <v>11378</v>
      </c>
      <c r="D2378" s="4">
        <v>43190</v>
      </c>
      <c r="E2378" t="s">
        <v>676</v>
      </c>
      <c r="F2378" t="s">
        <v>1689</v>
      </c>
      <c r="G2378">
        <v>7145</v>
      </c>
      <c r="H2378">
        <v>0.06</v>
      </c>
      <c r="I2378">
        <v>6.87</v>
      </c>
      <c r="J2378">
        <v>0.82</v>
      </c>
      <c r="K2378" t="s">
        <v>2307</v>
      </c>
      <c r="L2378">
        <v>-41.59</v>
      </c>
      <c r="M2378" t="s">
        <v>4444</v>
      </c>
      <c r="N2378" t="s">
        <v>2128</v>
      </c>
      <c r="O2378" t="s">
        <v>8908</v>
      </c>
      <c r="P2378" t="s">
        <v>1634</v>
      </c>
      <c r="Q2378">
        <v>-73.77</v>
      </c>
      <c r="R2378" t="s">
        <v>1567</v>
      </c>
      <c r="S2378">
        <v>2.67</v>
      </c>
      <c r="T2378">
        <v>26.27</v>
      </c>
      <c r="U2378" t="s">
        <v>304</v>
      </c>
      <c r="V2378" t="s">
        <v>295</v>
      </c>
      <c r="W2378" t="s">
        <v>1827</v>
      </c>
      <c r="X2378">
        <v>0.82</v>
      </c>
      <c r="Y2378" t="s">
        <v>11379</v>
      </c>
      <c r="Z2378" t="s">
        <v>11380</v>
      </c>
      <c r="AA2378" t="s">
        <v>1864</v>
      </c>
      <c r="AB2378">
        <v>1.46</v>
      </c>
      <c r="AC2378" t="s">
        <v>1244</v>
      </c>
      <c r="AD2378">
        <v>95.25</v>
      </c>
      <c r="AE2378" t="s">
        <v>4435</v>
      </c>
      <c r="AF2378">
        <v>2.87</v>
      </c>
      <c r="AG2378">
        <v>0</v>
      </c>
      <c r="AH2378">
        <v>0</v>
      </c>
      <c r="AI2378" s="4">
        <v>42116</v>
      </c>
    </row>
    <row r="2379" spans="1:35">
      <c r="A2379">
        <v>2378</v>
      </c>
      <c r="B2379" t="str">
        <f>"300166"</f>
        <v>300166</v>
      </c>
      <c r="C2379" t="s">
        <v>11381</v>
      </c>
      <c r="D2379" s="4">
        <v>43190</v>
      </c>
      <c r="E2379" t="s">
        <v>407</v>
      </c>
      <c r="F2379" t="s">
        <v>1644</v>
      </c>
      <c r="G2379" t="s">
        <v>3240</v>
      </c>
      <c r="H2379">
        <v>0.03</v>
      </c>
      <c r="I2379">
        <v>4.22</v>
      </c>
      <c r="J2379">
        <v>0.82</v>
      </c>
      <c r="K2379" t="s">
        <v>4614</v>
      </c>
      <c r="L2379">
        <v>2.63</v>
      </c>
      <c r="M2379" t="s">
        <v>6455</v>
      </c>
      <c r="N2379" t="s">
        <v>11382</v>
      </c>
      <c r="O2379" t="s">
        <v>10072</v>
      </c>
      <c r="P2379" t="s">
        <v>4226</v>
      </c>
      <c r="Q2379">
        <v>-26.13</v>
      </c>
      <c r="R2379" t="s">
        <v>164</v>
      </c>
      <c r="S2379">
        <v>1.2</v>
      </c>
      <c r="T2379">
        <v>46.3</v>
      </c>
      <c r="U2379" t="s">
        <v>2043</v>
      </c>
      <c r="V2379" t="s">
        <v>1542</v>
      </c>
      <c r="W2379" t="s">
        <v>1417</v>
      </c>
      <c r="X2379">
        <v>0.82</v>
      </c>
      <c r="Y2379" t="s">
        <v>269</v>
      </c>
      <c r="Z2379" t="s">
        <v>1076</v>
      </c>
      <c r="AA2379" t="s">
        <v>10415</v>
      </c>
      <c r="AB2379">
        <v>3.31</v>
      </c>
      <c r="AC2379" t="s">
        <v>893</v>
      </c>
      <c r="AD2379">
        <v>87.74</v>
      </c>
      <c r="AE2379" t="s">
        <v>576</v>
      </c>
      <c r="AF2379">
        <v>2.0099999999999998</v>
      </c>
      <c r="AG2379">
        <v>0</v>
      </c>
      <c r="AH2379">
        <v>0</v>
      </c>
      <c r="AI2379" s="4">
        <v>40568</v>
      </c>
    </row>
    <row r="2380" spans="1:35">
      <c r="A2380">
        <v>2379</v>
      </c>
      <c r="B2380" t="str">
        <f>"300159"</f>
        <v>300159</v>
      </c>
      <c r="C2380" t="s">
        <v>11383</v>
      </c>
      <c r="D2380" s="4">
        <v>43190</v>
      </c>
      <c r="E2380" t="s">
        <v>759</v>
      </c>
      <c r="F2380" t="s">
        <v>2959</v>
      </c>
      <c r="G2380" t="s">
        <v>3704</v>
      </c>
      <c r="H2380">
        <v>0.03</v>
      </c>
      <c r="I2380">
        <v>4.2</v>
      </c>
      <c r="J2380">
        <v>0.82</v>
      </c>
      <c r="K2380" t="s">
        <v>1860</v>
      </c>
      <c r="L2380">
        <v>131.69999999999999</v>
      </c>
      <c r="M2380" t="s">
        <v>11384</v>
      </c>
      <c r="N2380">
        <v>0</v>
      </c>
      <c r="O2380" t="s">
        <v>11385</v>
      </c>
      <c r="P2380" t="s">
        <v>480</v>
      </c>
      <c r="Q2380">
        <v>7387.86</v>
      </c>
      <c r="R2380" t="s">
        <v>405</v>
      </c>
      <c r="S2380">
        <v>0.82</v>
      </c>
      <c r="T2380">
        <v>26.42</v>
      </c>
      <c r="U2380" t="s">
        <v>4045</v>
      </c>
      <c r="V2380" t="s">
        <v>1161</v>
      </c>
      <c r="W2380" t="s">
        <v>547</v>
      </c>
      <c r="X2380">
        <v>0.82</v>
      </c>
      <c r="Y2380" t="s">
        <v>1350</v>
      </c>
      <c r="Z2380" t="s">
        <v>76</v>
      </c>
      <c r="AA2380" t="s">
        <v>1307</v>
      </c>
      <c r="AB2380">
        <v>1.63</v>
      </c>
      <c r="AC2380" t="s">
        <v>2868</v>
      </c>
      <c r="AD2380">
        <v>66.930000000000007</v>
      </c>
      <c r="AE2380" t="s">
        <v>612</v>
      </c>
      <c r="AF2380">
        <v>2.3199999999999998</v>
      </c>
      <c r="AG2380">
        <v>0</v>
      </c>
      <c r="AH2380">
        <v>0</v>
      </c>
      <c r="AI2380" s="4">
        <v>40550</v>
      </c>
    </row>
    <row r="2381" spans="1:35">
      <c r="A2381">
        <v>2380</v>
      </c>
      <c r="B2381" t="str">
        <f>"300087"</f>
        <v>300087</v>
      </c>
      <c r="C2381" t="s">
        <v>11386</v>
      </c>
      <c r="D2381" s="4">
        <v>43190</v>
      </c>
      <c r="E2381" t="s">
        <v>914</v>
      </c>
      <c r="F2381" t="s">
        <v>1001</v>
      </c>
      <c r="G2381" t="s">
        <v>2671</v>
      </c>
      <c r="H2381">
        <v>0.01</v>
      </c>
      <c r="I2381">
        <v>1.81</v>
      </c>
      <c r="J2381">
        <v>0.82</v>
      </c>
      <c r="K2381" t="s">
        <v>322</v>
      </c>
      <c r="L2381">
        <v>21.22</v>
      </c>
      <c r="M2381" t="s">
        <v>4486</v>
      </c>
      <c r="N2381" t="s">
        <v>11387</v>
      </c>
      <c r="O2381" t="s">
        <v>271</v>
      </c>
      <c r="P2381" t="s">
        <v>10952</v>
      </c>
      <c r="Q2381">
        <v>125.27</v>
      </c>
      <c r="R2381" t="s">
        <v>136</v>
      </c>
      <c r="S2381">
        <v>0.37</v>
      </c>
      <c r="T2381">
        <v>38.840000000000003</v>
      </c>
      <c r="U2381" t="s">
        <v>1384</v>
      </c>
      <c r="V2381" t="s">
        <v>895</v>
      </c>
      <c r="W2381" t="s">
        <v>1860</v>
      </c>
      <c r="X2381">
        <v>0.82</v>
      </c>
      <c r="Y2381" t="s">
        <v>1040</v>
      </c>
      <c r="Z2381" t="s">
        <v>69</v>
      </c>
      <c r="AA2381" t="s">
        <v>9047</v>
      </c>
      <c r="AB2381">
        <v>5.87</v>
      </c>
      <c r="AC2381" t="s">
        <v>2646</v>
      </c>
      <c r="AD2381">
        <v>52.81</v>
      </c>
      <c r="AE2381" t="s">
        <v>657</v>
      </c>
      <c r="AF2381">
        <v>0.38</v>
      </c>
      <c r="AG2381">
        <v>0</v>
      </c>
      <c r="AH2381">
        <v>0</v>
      </c>
      <c r="AI2381" s="4">
        <v>40324</v>
      </c>
    </row>
    <row r="2382" spans="1:35">
      <c r="A2382">
        <v>2381</v>
      </c>
      <c r="B2382" t="str">
        <f>"002369"</f>
        <v>002369</v>
      </c>
      <c r="C2382" t="s">
        <v>11388</v>
      </c>
      <c r="D2382" s="4">
        <v>43190</v>
      </c>
      <c r="E2382" t="s">
        <v>108</v>
      </c>
      <c r="F2382" t="s">
        <v>324</v>
      </c>
      <c r="G2382" t="s">
        <v>4216</v>
      </c>
      <c r="H2382">
        <v>0.03</v>
      </c>
      <c r="I2382">
        <v>3.69</v>
      </c>
      <c r="J2382">
        <v>0.82</v>
      </c>
      <c r="K2382" t="s">
        <v>6159</v>
      </c>
      <c r="L2382">
        <v>28.54</v>
      </c>
      <c r="M2382" t="s">
        <v>9874</v>
      </c>
      <c r="N2382" t="s">
        <v>11389</v>
      </c>
      <c r="O2382" t="s">
        <v>517</v>
      </c>
      <c r="P2382" t="s">
        <v>3403</v>
      </c>
      <c r="Q2382">
        <v>167.77</v>
      </c>
      <c r="R2382" t="s">
        <v>1853</v>
      </c>
      <c r="S2382">
        <v>0.35</v>
      </c>
      <c r="T2382">
        <v>9.34</v>
      </c>
      <c r="U2382" t="s">
        <v>1583</v>
      </c>
      <c r="V2382" t="s">
        <v>1704</v>
      </c>
      <c r="W2382" t="s">
        <v>521</v>
      </c>
      <c r="X2382">
        <v>0.82</v>
      </c>
      <c r="Y2382" t="s">
        <v>1843</v>
      </c>
      <c r="Z2382" t="s">
        <v>187</v>
      </c>
      <c r="AA2382" t="s">
        <v>552</v>
      </c>
      <c r="AB2382">
        <v>2.39</v>
      </c>
      <c r="AC2382" t="s">
        <v>420</v>
      </c>
      <c r="AD2382">
        <v>51.24</v>
      </c>
      <c r="AE2382" t="s">
        <v>840</v>
      </c>
      <c r="AF2382">
        <v>2.25</v>
      </c>
      <c r="AG2382">
        <v>0</v>
      </c>
      <c r="AH2382">
        <v>0</v>
      </c>
      <c r="AI2382" s="4">
        <v>40253</v>
      </c>
    </row>
    <row r="2383" spans="1:35">
      <c r="A2383">
        <v>2382</v>
      </c>
      <c r="B2383" t="str">
        <f>"000913"</f>
        <v>000913</v>
      </c>
      <c r="C2383" t="s">
        <v>11390</v>
      </c>
      <c r="D2383" s="4">
        <v>43190</v>
      </c>
      <c r="E2383" t="s">
        <v>3067</v>
      </c>
      <c r="F2383" t="s">
        <v>3067</v>
      </c>
      <c r="G2383" t="s">
        <v>2623</v>
      </c>
      <c r="H2383">
        <v>0.04</v>
      </c>
      <c r="I2383">
        <v>5.51</v>
      </c>
      <c r="J2383">
        <v>0.82</v>
      </c>
      <c r="K2383" t="s">
        <v>1979</v>
      </c>
      <c r="L2383">
        <v>42.97</v>
      </c>
      <c r="M2383" t="s">
        <v>11391</v>
      </c>
      <c r="N2383" t="s">
        <v>6753</v>
      </c>
      <c r="O2383" t="s">
        <v>11392</v>
      </c>
      <c r="P2383" t="s">
        <v>4615</v>
      </c>
      <c r="Q2383">
        <v>-6.68</v>
      </c>
      <c r="R2383" t="s">
        <v>2665</v>
      </c>
      <c r="S2383">
        <v>0.84</v>
      </c>
      <c r="T2383">
        <v>20.25</v>
      </c>
      <c r="U2383" t="s">
        <v>2105</v>
      </c>
      <c r="V2383" t="s">
        <v>352</v>
      </c>
      <c r="W2383" t="s">
        <v>2148</v>
      </c>
      <c r="X2383">
        <v>0.82</v>
      </c>
      <c r="Y2383" t="s">
        <v>820</v>
      </c>
      <c r="Z2383" t="s">
        <v>80</v>
      </c>
      <c r="AA2383" t="s">
        <v>1484</v>
      </c>
      <c r="AB2383">
        <v>2.2599999999999998</v>
      </c>
      <c r="AC2383" t="s">
        <v>981</v>
      </c>
      <c r="AD2383">
        <v>58.7</v>
      </c>
      <c r="AE2383" t="s">
        <v>350</v>
      </c>
      <c r="AF2383">
        <v>3</v>
      </c>
      <c r="AG2383">
        <v>0</v>
      </c>
      <c r="AH2383">
        <v>0</v>
      </c>
      <c r="AI2383" s="4">
        <v>36294</v>
      </c>
    </row>
    <row r="2384" spans="1:35">
      <c r="A2384">
        <v>2383</v>
      </c>
      <c r="B2384" t="str">
        <f>"000795"</f>
        <v>000795</v>
      </c>
      <c r="C2384" t="s">
        <v>11393</v>
      </c>
      <c r="D2384" s="4">
        <v>43190</v>
      </c>
      <c r="E2384" t="s">
        <v>835</v>
      </c>
      <c r="F2384" t="s">
        <v>116</v>
      </c>
      <c r="G2384">
        <v>6738</v>
      </c>
      <c r="H2384">
        <v>0.02</v>
      </c>
      <c r="I2384">
        <v>1.84</v>
      </c>
      <c r="J2384">
        <v>0.82</v>
      </c>
      <c r="K2384" t="s">
        <v>2098</v>
      </c>
      <c r="L2384">
        <v>17.66</v>
      </c>
      <c r="M2384" t="s">
        <v>7227</v>
      </c>
      <c r="N2384" t="s">
        <v>11394</v>
      </c>
      <c r="O2384" t="s">
        <v>6886</v>
      </c>
      <c r="P2384" t="s">
        <v>11395</v>
      </c>
      <c r="Q2384">
        <v>14.55</v>
      </c>
      <c r="R2384" t="s">
        <v>8653</v>
      </c>
      <c r="S2384">
        <v>-0.14000000000000001</v>
      </c>
      <c r="T2384">
        <v>24.44</v>
      </c>
      <c r="U2384" t="s">
        <v>451</v>
      </c>
      <c r="V2384" t="s">
        <v>754</v>
      </c>
      <c r="W2384" t="s">
        <v>2056</v>
      </c>
      <c r="X2384">
        <v>0.82</v>
      </c>
      <c r="Y2384" t="s">
        <v>169</v>
      </c>
      <c r="Z2384" t="s">
        <v>922</v>
      </c>
      <c r="AA2384" t="s">
        <v>11396</v>
      </c>
      <c r="AB2384">
        <v>2.31</v>
      </c>
      <c r="AC2384" t="s">
        <v>159</v>
      </c>
      <c r="AD2384">
        <v>79.709999999999994</v>
      </c>
      <c r="AE2384" t="s">
        <v>295</v>
      </c>
      <c r="AF2384">
        <v>0.95</v>
      </c>
      <c r="AG2384">
        <v>0</v>
      </c>
      <c r="AH2384">
        <v>0</v>
      </c>
      <c r="AI2384" s="4">
        <v>35650</v>
      </c>
    </row>
    <row r="2385" spans="1:35">
      <c r="A2385">
        <v>2384</v>
      </c>
      <c r="B2385" t="str">
        <f>"600130"</f>
        <v>600130</v>
      </c>
      <c r="C2385" t="s">
        <v>11397</v>
      </c>
      <c r="D2385" s="4">
        <v>43190</v>
      </c>
      <c r="E2385" t="s">
        <v>2693</v>
      </c>
      <c r="F2385" t="s">
        <v>2693</v>
      </c>
      <c r="G2385" t="s">
        <v>4216</v>
      </c>
      <c r="H2385">
        <v>0.01</v>
      </c>
      <c r="I2385">
        <v>1.1100000000000001</v>
      </c>
      <c r="J2385">
        <v>0.81</v>
      </c>
      <c r="K2385" t="s">
        <v>319</v>
      </c>
      <c r="L2385">
        <v>-62.79</v>
      </c>
      <c r="M2385" t="s">
        <v>1790</v>
      </c>
      <c r="N2385" t="s">
        <v>11398</v>
      </c>
      <c r="O2385" t="s">
        <v>10599</v>
      </c>
      <c r="P2385" t="s">
        <v>10599</v>
      </c>
      <c r="Q2385">
        <v>178.11</v>
      </c>
      <c r="R2385" t="s">
        <v>11399</v>
      </c>
      <c r="S2385">
        <v>-0.57999999999999996</v>
      </c>
      <c r="T2385">
        <v>11.1</v>
      </c>
      <c r="U2385" t="s">
        <v>894</v>
      </c>
      <c r="V2385" t="s">
        <v>1044</v>
      </c>
      <c r="W2385" t="s">
        <v>11400</v>
      </c>
      <c r="X2385">
        <v>0.81</v>
      </c>
      <c r="Y2385" t="s">
        <v>3111</v>
      </c>
      <c r="Z2385" t="s">
        <v>84</v>
      </c>
      <c r="AA2385" t="s">
        <v>1501</v>
      </c>
      <c r="AB2385">
        <v>3.57</v>
      </c>
      <c r="AC2385" t="s">
        <v>3557</v>
      </c>
      <c r="AD2385">
        <v>85.14</v>
      </c>
      <c r="AE2385" t="s">
        <v>2222</v>
      </c>
      <c r="AF2385">
        <v>0.59</v>
      </c>
      <c r="AG2385">
        <v>0</v>
      </c>
      <c r="AH2385">
        <v>0</v>
      </c>
      <c r="AI2385" s="4">
        <v>36713</v>
      </c>
    </row>
    <row r="2386" spans="1:35">
      <c r="A2386">
        <v>2385</v>
      </c>
      <c r="B2386" t="str">
        <f>"603377"</f>
        <v>603377</v>
      </c>
      <c r="C2386" t="s">
        <v>11401</v>
      </c>
      <c r="D2386" s="4">
        <v>43190</v>
      </c>
      <c r="E2386" t="s">
        <v>105</v>
      </c>
      <c r="F2386" t="s">
        <v>64</v>
      </c>
      <c r="G2386" t="s">
        <v>2266</v>
      </c>
      <c r="H2386">
        <v>0.02</v>
      </c>
      <c r="I2386">
        <v>2.76</v>
      </c>
      <c r="J2386">
        <v>0.8</v>
      </c>
      <c r="K2386" t="s">
        <v>454</v>
      </c>
      <c r="L2386">
        <v>-8.7799999999999994</v>
      </c>
      <c r="M2386" t="s">
        <v>7849</v>
      </c>
      <c r="N2386" t="s">
        <v>7398</v>
      </c>
      <c r="O2386" t="s">
        <v>5571</v>
      </c>
      <c r="P2386" t="s">
        <v>11402</v>
      </c>
      <c r="Q2386">
        <v>-29.7</v>
      </c>
      <c r="R2386" t="s">
        <v>498</v>
      </c>
      <c r="S2386">
        <v>0.47</v>
      </c>
      <c r="T2386">
        <v>44.89</v>
      </c>
      <c r="U2386" t="s">
        <v>1164</v>
      </c>
      <c r="V2386" t="s">
        <v>1244</v>
      </c>
      <c r="W2386" t="s">
        <v>1088</v>
      </c>
      <c r="X2386">
        <v>0.8</v>
      </c>
      <c r="Y2386" t="s">
        <v>80</v>
      </c>
      <c r="Z2386" t="s">
        <v>625</v>
      </c>
      <c r="AA2386" t="s">
        <v>1977</v>
      </c>
      <c r="AB2386">
        <v>9.14</v>
      </c>
      <c r="AC2386" t="s">
        <v>1343</v>
      </c>
      <c r="AD2386">
        <v>47.09</v>
      </c>
      <c r="AE2386" t="s">
        <v>2358</v>
      </c>
      <c r="AF2386">
        <v>1</v>
      </c>
      <c r="AG2386">
        <v>0</v>
      </c>
      <c r="AH2386">
        <v>0</v>
      </c>
      <c r="AI2386" s="4">
        <v>42405</v>
      </c>
    </row>
    <row r="2387" spans="1:35">
      <c r="A2387">
        <v>2386</v>
      </c>
      <c r="B2387" t="str">
        <f>"601857"</f>
        <v>601857</v>
      </c>
      <c r="C2387" t="s">
        <v>11403</v>
      </c>
      <c r="D2387" s="4">
        <v>43190</v>
      </c>
      <c r="E2387" t="s">
        <v>11404</v>
      </c>
      <c r="F2387" t="s">
        <v>11405</v>
      </c>
      <c r="G2387" t="s">
        <v>3597</v>
      </c>
      <c r="H2387">
        <v>0.06</v>
      </c>
      <c r="I2387">
        <v>6.56</v>
      </c>
      <c r="J2387">
        <v>0.8</v>
      </c>
      <c r="K2387" t="s">
        <v>11406</v>
      </c>
      <c r="L2387">
        <v>9.9499999999999993</v>
      </c>
      <c r="M2387" t="s">
        <v>1153</v>
      </c>
      <c r="N2387" t="s">
        <v>449</v>
      </c>
      <c r="O2387" t="s">
        <v>3088</v>
      </c>
      <c r="P2387" t="s">
        <v>716</v>
      </c>
      <c r="Q2387">
        <v>78.099999999999994</v>
      </c>
      <c r="R2387" t="s">
        <v>11407</v>
      </c>
      <c r="S2387">
        <v>3.92</v>
      </c>
      <c r="T2387">
        <v>20.61</v>
      </c>
      <c r="U2387" t="s">
        <v>11408</v>
      </c>
      <c r="V2387" t="s">
        <v>11409</v>
      </c>
      <c r="W2387" t="s">
        <v>11410</v>
      </c>
      <c r="X2387">
        <v>0.8</v>
      </c>
      <c r="Y2387" t="s">
        <v>2246</v>
      </c>
      <c r="Z2387" t="s">
        <v>11411</v>
      </c>
      <c r="AA2387" t="s">
        <v>11412</v>
      </c>
      <c r="AB2387">
        <v>1.1299999999999999</v>
      </c>
      <c r="AC2387" t="s">
        <v>11413</v>
      </c>
      <c r="AD2387">
        <v>50.09</v>
      </c>
      <c r="AE2387" t="s">
        <v>11414</v>
      </c>
      <c r="AF2387">
        <v>0.7</v>
      </c>
      <c r="AG2387">
        <v>0</v>
      </c>
      <c r="AH2387" t="s">
        <v>2179</v>
      </c>
      <c r="AI2387" s="4">
        <v>39391</v>
      </c>
    </row>
    <row r="2388" spans="1:35">
      <c r="A2388">
        <v>2387</v>
      </c>
      <c r="B2388" t="str">
        <f>"600070"</f>
        <v>600070</v>
      </c>
      <c r="C2388" t="s">
        <v>11415</v>
      </c>
      <c r="D2388" s="4">
        <v>43190</v>
      </c>
      <c r="E2388" t="s">
        <v>4427</v>
      </c>
      <c r="F2388" t="s">
        <v>498</v>
      </c>
      <c r="G2388" t="s">
        <v>2323</v>
      </c>
      <c r="H2388">
        <v>0.04</v>
      </c>
      <c r="I2388">
        <v>4.63</v>
      </c>
      <c r="J2388">
        <v>0.8</v>
      </c>
      <c r="K2388" t="s">
        <v>364</v>
      </c>
      <c r="L2388">
        <v>27.71</v>
      </c>
      <c r="M2388" t="s">
        <v>4778</v>
      </c>
      <c r="N2388" t="s">
        <v>4557</v>
      </c>
      <c r="O2388" t="s">
        <v>11416</v>
      </c>
      <c r="P2388" t="s">
        <v>7272</v>
      </c>
      <c r="Q2388">
        <v>-65.19</v>
      </c>
      <c r="R2388" t="s">
        <v>998</v>
      </c>
      <c r="S2388">
        <v>0.48</v>
      </c>
      <c r="T2388">
        <v>20.11</v>
      </c>
      <c r="U2388" t="s">
        <v>235</v>
      </c>
      <c r="V2388" t="s">
        <v>820</v>
      </c>
      <c r="W2388" t="s">
        <v>184</v>
      </c>
      <c r="X2388">
        <v>0.8</v>
      </c>
      <c r="Y2388" t="s">
        <v>147</v>
      </c>
      <c r="Z2388" t="s">
        <v>6159</v>
      </c>
      <c r="AA2388" t="s">
        <v>344</v>
      </c>
      <c r="AB2388">
        <v>1.64</v>
      </c>
      <c r="AC2388" t="s">
        <v>223</v>
      </c>
      <c r="AD2388">
        <v>63.14</v>
      </c>
      <c r="AE2388" t="s">
        <v>323</v>
      </c>
      <c r="AF2388">
        <v>2.12</v>
      </c>
      <c r="AG2388">
        <v>0</v>
      </c>
      <c r="AH2388">
        <v>0</v>
      </c>
      <c r="AI2388" s="4">
        <v>35585</v>
      </c>
    </row>
    <row r="2389" spans="1:35">
      <c r="A2389">
        <v>2388</v>
      </c>
      <c r="B2389" t="str">
        <f>"300658"</f>
        <v>300658</v>
      </c>
      <c r="C2389" t="s">
        <v>11417</v>
      </c>
      <c r="D2389" s="4">
        <v>43190</v>
      </c>
      <c r="E2389" t="s">
        <v>609</v>
      </c>
      <c r="F2389" t="s">
        <v>4534</v>
      </c>
      <c r="G2389">
        <v>2478</v>
      </c>
      <c r="H2389">
        <v>0.04</v>
      </c>
      <c r="I2389">
        <v>4.87</v>
      </c>
      <c r="J2389">
        <v>0.8</v>
      </c>
      <c r="K2389" t="s">
        <v>505</v>
      </c>
      <c r="L2389">
        <v>-11.03</v>
      </c>
      <c r="M2389" t="s">
        <v>10499</v>
      </c>
      <c r="N2389" t="s">
        <v>2787</v>
      </c>
      <c r="O2389" t="s">
        <v>8555</v>
      </c>
      <c r="P2389" t="s">
        <v>11418</v>
      </c>
      <c r="Q2389">
        <v>-72.89</v>
      </c>
      <c r="R2389" t="s">
        <v>1202</v>
      </c>
      <c r="S2389">
        <v>0.99</v>
      </c>
      <c r="T2389">
        <v>29.84</v>
      </c>
      <c r="U2389" t="s">
        <v>521</v>
      </c>
      <c r="V2389" t="s">
        <v>1073</v>
      </c>
      <c r="W2389" t="s">
        <v>37</v>
      </c>
      <c r="X2389">
        <v>0.8</v>
      </c>
      <c r="Y2389" t="s">
        <v>286</v>
      </c>
      <c r="Z2389" t="s">
        <v>1067</v>
      </c>
      <c r="AA2389" t="s">
        <v>11419</v>
      </c>
      <c r="AB2389">
        <v>3</v>
      </c>
      <c r="AC2389" t="s">
        <v>1903</v>
      </c>
      <c r="AD2389">
        <v>71.95</v>
      </c>
      <c r="AE2389" t="s">
        <v>2222</v>
      </c>
      <c r="AF2389">
        <v>2.7</v>
      </c>
      <c r="AG2389">
        <v>0</v>
      </c>
      <c r="AH2389">
        <v>0</v>
      </c>
      <c r="AI2389" s="4">
        <v>42888</v>
      </c>
    </row>
    <row r="2390" spans="1:35">
      <c r="A2390">
        <v>2389</v>
      </c>
      <c r="B2390" t="str">
        <f>"300605"</f>
        <v>300605</v>
      </c>
      <c r="C2390" t="s">
        <v>11420</v>
      </c>
      <c r="D2390" s="4">
        <v>43190</v>
      </c>
      <c r="E2390" t="s">
        <v>11421</v>
      </c>
      <c r="F2390" t="s">
        <v>7661</v>
      </c>
      <c r="G2390">
        <v>3696</v>
      </c>
      <c r="H2390">
        <v>0.04</v>
      </c>
      <c r="I2390">
        <v>5.39</v>
      </c>
      <c r="J2390">
        <v>0.8</v>
      </c>
      <c r="K2390" t="s">
        <v>11422</v>
      </c>
      <c r="L2390">
        <v>24.49</v>
      </c>
      <c r="M2390" t="s">
        <v>9140</v>
      </c>
      <c r="N2390" t="s">
        <v>2229</v>
      </c>
      <c r="O2390" t="s">
        <v>9140</v>
      </c>
      <c r="P2390" t="s">
        <v>5459</v>
      </c>
      <c r="Q2390">
        <v>8.5299999999999994</v>
      </c>
      <c r="R2390" t="s">
        <v>1627</v>
      </c>
      <c r="S2390">
        <v>1.35</v>
      </c>
      <c r="T2390">
        <v>30.43</v>
      </c>
      <c r="U2390" t="s">
        <v>1869</v>
      </c>
      <c r="V2390" t="s">
        <v>2586</v>
      </c>
      <c r="W2390" t="s">
        <v>11423</v>
      </c>
      <c r="X2390">
        <v>0.8</v>
      </c>
      <c r="Y2390" t="s">
        <v>1200</v>
      </c>
      <c r="Z2390" t="s">
        <v>368</v>
      </c>
      <c r="AA2390" t="s">
        <v>6507</v>
      </c>
      <c r="AB2390">
        <v>4.04</v>
      </c>
      <c r="AC2390" t="s">
        <v>922</v>
      </c>
      <c r="AD2390">
        <v>71.959999999999994</v>
      </c>
      <c r="AE2390" t="s">
        <v>916</v>
      </c>
      <c r="AF2390">
        <v>2.88</v>
      </c>
      <c r="AG2390">
        <v>0</v>
      </c>
      <c r="AH2390">
        <v>0</v>
      </c>
      <c r="AI2390" s="4">
        <v>42774</v>
      </c>
    </row>
    <row r="2391" spans="1:35">
      <c r="A2391">
        <v>2390</v>
      </c>
      <c r="B2391" t="str">
        <f>"300257"</f>
        <v>300257</v>
      </c>
      <c r="C2391" t="s">
        <v>11424</v>
      </c>
      <c r="D2391" s="4">
        <v>43190</v>
      </c>
      <c r="E2391" t="s">
        <v>226</v>
      </c>
      <c r="F2391" t="s">
        <v>2428</v>
      </c>
      <c r="G2391" t="s">
        <v>11425</v>
      </c>
      <c r="H2391">
        <v>0.03</v>
      </c>
      <c r="I2391">
        <v>3.8</v>
      </c>
      <c r="J2391">
        <v>0.8</v>
      </c>
      <c r="K2391" t="s">
        <v>2851</v>
      </c>
      <c r="L2391">
        <v>17.440000000000001</v>
      </c>
      <c r="M2391" t="s">
        <v>8930</v>
      </c>
      <c r="N2391" t="s">
        <v>2793</v>
      </c>
      <c r="O2391" t="s">
        <v>9651</v>
      </c>
      <c r="P2391" t="s">
        <v>11426</v>
      </c>
      <c r="Q2391">
        <v>50.6</v>
      </c>
      <c r="R2391" t="s">
        <v>458</v>
      </c>
      <c r="S2391">
        <v>0.96</v>
      </c>
      <c r="T2391">
        <v>26.45</v>
      </c>
      <c r="U2391" t="s">
        <v>5750</v>
      </c>
      <c r="V2391" t="s">
        <v>589</v>
      </c>
      <c r="W2391" t="s">
        <v>776</v>
      </c>
      <c r="X2391">
        <v>0.8</v>
      </c>
      <c r="Y2391" t="s">
        <v>1051</v>
      </c>
      <c r="Z2391" t="s">
        <v>789</v>
      </c>
      <c r="AA2391" t="s">
        <v>605</v>
      </c>
      <c r="AB2391">
        <v>4.32</v>
      </c>
      <c r="AC2391" t="s">
        <v>3073</v>
      </c>
      <c r="AD2391">
        <v>52.74</v>
      </c>
      <c r="AE2391" t="s">
        <v>547</v>
      </c>
      <c r="AF2391">
        <v>1.75</v>
      </c>
      <c r="AG2391">
        <v>0</v>
      </c>
      <c r="AH2391">
        <v>0</v>
      </c>
      <c r="AI2391" s="4">
        <v>40774</v>
      </c>
    </row>
    <row r="2392" spans="1:35">
      <c r="A2392">
        <v>2391</v>
      </c>
      <c r="B2392" t="str">
        <f>"002335"</f>
        <v>002335</v>
      </c>
      <c r="C2392" t="s">
        <v>11427</v>
      </c>
      <c r="D2392" s="4">
        <v>43190</v>
      </c>
      <c r="E2392" t="s">
        <v>1664</v>
      </c>
      <c r="F2392" t="s">
        <v>1484</v>
      </c>
      <c r="G2392" t="s">
        <v>2645</v>
      </c>
      <c r="H2392">
        <v>0.11</v>
      </c>
      <c r="I2392">
        <v>11.6</v>
      </c>
      <c r="J2392">
        <v>0.8</v>
      </c>
      <c r="K2392" t="s">
        <v>1483</v>
      </c>
      <c r="L2392">
        <v>54.14</v>
      </c>
      <c r="M2392" t="s">
        <v>5246</v>
      </c>
      <c r="N2392" t="s">
        <v>2025</v>
      </c>
      <c r="O2392" t="s">
        <v>9196</v>
      </c>
      <c r="P2392" t="s">
        <v>10594</v>
      </c>
      <c r="Q2392">
        <v>12.81</v>
      </c>
      <c r="R2392" t="s">
        <v>4236</v>
      </c>
      <c r="S2392">
        <v>2.5299999999999998</v>
      </c>
      <c r="T2392">
        <v>34.72</v>
      </c>
      <c r="U2392" t="s">
        <v>5348</v>
      </c>
      <c r="V2392" t="s">
        <v>2700</v>
      </c>
      <c r="W2392" t="s">
        <v>903</v>
      </c>
      <c r="X2392">
        <v>0.8</v>
      </c>
      <c r="Y2392" t="s">
        <v>1205</v>
      </c>
      <c r="Z2392" t="s">
        <v>1843</v>
      </c>
      <c r="AA2392" t="s">
        <v>1817</v>
      </c>
      <c r="AB2392">
        <v>1.47</v>
      </c>
      <c r="AC2392" t="s">
        <v>305</v>
      </c>
      <c r="AD2392">
        <v>52.41</v>
      </c>
      <c r="AE2392" t="s">
        <v>261</v>
      </c>
      <c r="AF2392">
        <v>7.98</v>
      </c>
      <c r="AG2392">
        <v>0</v>
      </c>
      <c r="AH2392">
        <v>0</v>
      </c>
      <c r="AI2392" s="4">
        <v>40191</v>
      </c>
    </row>
    <row r="2393" spans="1:35">
      <c r="A2393">
        <v>2392</v>
      </c>
      <c r="B2393" t="str">
        <f>"002331"</f>
        <v>002331</v>
      </c>
      <c r="C2393" t="s">
        <v>11428</v>
      </c>
      <c r="D2393" s="4">
        <v>43190</v>
      </c>
      <c r="E2393" t="s">
        <v>2098</v>
      </c>
      <c r="F2393" t="s">
        <v>535</v>
      </c>
      <c r="G2393">
        <v>7016</v>
      </c>
      <c r="H2393">
        <v>0.03</v>
      </c>
      <c r="I2393">
        <v>4.49</v>
      </c>
      <c r="J2393">
        <v>0.8</v>
      </c>
      <c r="K2393" t="s">
        <v>122</v>
      </c>
      <c r="L2393">
        <v>-2.2799999999999998</v>
      </c>
      <c r="M2393" t="s">
        <v>4740</v>
      </c>
      <c r="N2393">
        <v>-1659</v>
      </c>
      <c r="O2393" t="s">
        <v>5378</v>
      </c>
      <c r="P2393" t="s">
        <v>8739</v>
      </c>
      <c r="Q2393">
        <v>8.34</v>
      </c>
      <c r="R2393" t="s">
        <v>1827</v>
      </c>
      <c r="S2393">
        <v>1.1100000000000001</v>
      </c>
      <c r="T2393">
        <v>24.19</v>
      </c>
      <c r="U2393" t="s">
        <v>2291</v>
      </c>
      <c r="V2393" t="s">
        <v>173</v>
      </c>
      <c r="W2393" t="s">
        <v>284</v>
      </c>
      <c r="X2393">
        <v>0.8</v>
      </c>
      <c r="Y2393" t="s">
        <v>216</v>
      </c>
      <c r="Z2393" t="s">
        <v>611</v>
      </c>
      <c r="AA2393" t="s">
        <v>1501</v>
      </c>
      <c r="AB2393">
        <v>1.61</v>
      </c>
      <c r="AC2393" t="s">
        <v>646</v>
      </c>
      <c r="AD2393">
        <v>75.06</v>
      </c>
      <c r="AE2393" t="s">
        <v>3643</v>
      </c>
      <c r="AF2393">
        <v>2.2599999999999998</v>
      </c>
      <c r="AG2393">
        <v>0</v>
      </c>
      <c r="AH2393">
        <v>0</v>
      </c>
      <c r="AI2393" s="4">
        <v>40184</v>
      </c>
    </row>
    <row r="2394" spans="1:35">
      <c r="A2394">
        <v>2393</v>
      </c>
      <c r="B2394" t="str">
        <f>"000838"</f>
        <v>000838</v>
      </c>
      <c r="C2394" t="s">
        <v>11429</v>
      </c>
      <c r="D2394" s="4">
        <v>43190</v>
      </c>
      <c r="E2394" t="s">
        <v>602</v>
      </c>
      <c r="F2394" t="s">
        <v>1491</v>
      </c>
      <c r="G2394">
        <v>7596</v>
      </c>
      <c r="H2394">
        <v>0.01</v>
      </c>
      <c r="I2394">
        <v>1.6</v>
      </c>
      <c r="J2394">
        <v>0.8</v>
      </c>
      <c r="K2394" t="s">
        <v>3297</v>
      </c>
      <c r="L2394">
        <v>264.72000000000003</v>
      </c>
      <c r="M2394" t="s">
        <v>11430</v>
      </c>
      <c r="N2394" t="s">
        <v>8173</v>
      </c>
      <c r="O2394" t="s">
        <v>8864</v>
      </c>
      <c r="P2394" t="s">
        <v>7100</v>
      </c>
      <c r="Q2394">
        <v>124.82</v>
      </c>
      <c r="R2394" t="s">
        <v>856</v>
      </c>
      <c r="S2394">
        <v>0.38</v>
      </c>
      <c r="T2394">
        <v>23.28</v>
      </c>
      <c r="U2394" t="s">
        <v>5429</v>
      </c>
      <c r="V2394" t="s">
        <v>3086</v>
      </c>
      <c r="W2394" t="s">
        <v>319</v>
      </c>
      <c r="X2394">
        <v>0.8</v>
      </c>
      <c r="Y2394" t="s">
        <v>1821</v>
      </c>
      <c r="Z2394" t="s">
        <v>1110</v>
      </c>
      <c r="AA2394" t="s">
        <v>2568</v>
      </c>
      <c r="AB2394">
        <v>2.27</v>
      </c>
      <c r="AC2394" t="s">
        <v>757</v>
      </c>
      <c r="AD2394">
        <v>18.579999999999998</v>
      </c>
      <c r="AE2394" t="s">
        <v>1004</v>
      </c>
      <c r="AF2394">
        <v>0.2</v>
      </c>
      <c r="AG2394">
        <v>0</v>
      </c>
      <c r="AH2394">
        <v>0</v>
      </c>
      <c r="AI2394" s="4">
        <v>35607</v>
      </c>
    </row>
    <row r="2395" spans="1:35">
      <c r="A2395">
        <v>2394</v>
      </c>
      <c r="B2395" t="str">
        <f>"000656"</f>
        <v>000656</v>
      </c>
      <c r="C2395" t="s">
        <v>11431</v>
      </c>
      <c r="D2395" s="4">
        <v>43190</v>
      </c>
      <c r="E2395" t="s">
        <v>2396</v>
      </c>
      <c r="F2395" t="s">
        <v>572</v>
      </c>
      <c r="G2395" t="s">
        <v>7306</v>
      </c>
      <c r="H2395">
        <v>0.03</v>
      </c>
      <c r="I2395">
        <v>3.41</v>
      </c>
      <c r="J2395">
        <v>0.8</v>
      </c>
      <c r="K2395" t="s">
        <v>1388</v>
      </c>
      <c r="L2395">
        <v>15.31</v>
      </c>
      <c r="M2395" t="s">
        <v>258</v>
      </c>
      <c r="N2395" t="s">
        <v>11432</v>
      </c>
      <c r="O2395" t="s">
        <v>122</v>
      </c>
      <c r="P2395" t="s">
        <v>368</v>
      </c>
      <c r="Q2395">
        <v>12.97</v>
      </c>
      <c r="R2395" t="s">
        <v>5683</v>
      </c>
      <c r="S2395">
        <v>1.48</v>
      </c>
      <c r="T2395">
        <v>20.37</v>
      </c>
      <c r="U2395" t="s">
        <v>9667</v>
      </c>
      <c r="V2395" t="s">
        <v>11433</v>
      </c>
      <c r="W2395" t="s">
        <v>1704</v>
      </c>
      <c r="X2395">
        <v>0.8</v>
      </c>
      <c r="Y2395" t="s">
        <v>5862</v>
      </c>
      <c r="Z2395" t="s">
        <v>11434</v>
      </c>
      <c r="AA2395" t="s">
        <v>4622</v>
      </c>
      <c r="AB2395">
        <v>1.44</v>
      </c>
      <c r="AC2395" t="s">
        <v>3952</v>
      </c>
      <c r="AD2395">
        <v>12.24</v>
      </c>
      <c r="AE2395" t="s">
        <v>1517</v>
      </c>
      <c r="AF2395">
        <v>0.76</v>
      </c>
      <c r="AG2395">
        <v>0</v>
      </c>
      <c r="AH2395">
        <v>0</v>
      </c>
      <c r="AI2395" s="4">
        <v>35397</v>
      </c>
    </row>
    <row r="2396" spans="1:35">
      <c r="A2396">
        <v>2395</v>
      </c>
      <c r="B2396" t="str">
        <f>"000498"</f>
        <v>000498</v>
      </c>
      <c r="C2396" t="s">
        <v>11435</v>
      </c>
      <c r="D2396" s="4">
        <v>43190</v>
      </c>
      <c r="E2396" t="s">
        <v>147</v>
      </c>
      <c r="F2396" t="s">
        <v>335</v>
      </c>
      <c r="G2396">
        <v>8630</v>
      </c>
      <c r="H2396">
        <v>0.03</v>
      </c>
      <c r="I2396">
        <v>3.61</v>
      </c>
      <c r="J2396">
        <v>0.8</v>
      </c>
      <c r="K2396" t="s">
        <v>691</v>
      </c>
      <c r="L2396">
        <v>52.18</v>
      </c>
      <c r="M2396" t="s">
        <v>9271</v>
      </c>
      <c r="N2396" t="s">
        <v>11436</v>
      </c>
      <c r="O2396" t="s">
        <v>9031</v>
      </c>
      <c r="P2396" t="s">
        <v>7706</v>
      </c>
      <c r="Q2396">
        <v>20.25</v>
      </c>
      <c r="R2396" t="s">
        <v>2542</v>
      </c>
      <c r="S2396">
        <v>2.27</v>
      </c>
      <c r="T2396">
        <v>8.35</v>
      </c>
      <c r="U2396" t="s">
        <v>1750</v>
      </c>
      <c r="V2396" t="s">
        <v>1222</v>
      </c>
      <c r="W2396" t="s">
        <v>3490</v>
      </c>
      <c r="X2396">
        <v>0.8</v>
      </c>
      <c r="Y2396" t="s">
        <v>398</v>
      </c>
      <c r="Z2396" t="s">
        <v>558</v>
      </c>
      <c r="AA2396" t="s">
        <v>1350</v>
      </c>
      <c r="AB2396">
        <v>1.2</v>
      </c>
      <c r="AC2396" t="s">
        <v>1305</v>
      </c>
      <c r="AD2396">
        <v>22.24</v>
      </c>
      <c r="AE2396" t="s">
        <v>11437</v>
      </c>
      <c r="AF2396">
        <v>-0.5</v>
      </c>
      <c r="AG2396">
        <v>0</v>
      </c>
      <c r="AH2396">
        <v>0</v>
      </c>
      <c r="AI2396" s="4">
        <v>35590</v>
      </c>
    </row>
    <row r="2397" spans="1:35">
      <c r="A2397">
        <v>2396</v>
      </c>
      <c r="B2397" t="str">
        <f>"600133"</f>
        <v>600133</v>
      </c>
      <c r="C2397" t="s">
        <v>11438</v>
      </c>
      <c r="D2397" s="4">
        <v>43190</v>
      </c>
      <c r="E2397" t="s">
        <v>500</v>
      </c>
      <c r="F2397" t="s">
        <v>2587</v>
      </c>
      <c r="G2397">
        <v>5666</v>
      </c>
      <c r="H2397">
        <v>0.04</v>
      </c>
      <c r="I2397">
        <v>4.8899999999999997</v>
      </c>
      <c r="J2397">
        <v>0.8</v>
      </c>
      <c r="K2397" t="s">
        <v>162</v>
      </c>
      <c r="L2397">
        <v>15.36</v>
      </c>
      <c r="M2397" t="s">
        <v>11439</v>
      </c>
      <c r="N2397" t="s">
        <v>11440</v>
      </c>
      <c r="O2397" t="s">
        <v>11441</v>
      </c>
      <c r="P2397" t="s">
        <v>8205</v>
      </c>
      <c r="Q2397">
        <v>-95.64</v>
      </c>
      <c r="R2397" t="s">
        <v>350</v>
      </c>
      <c r="S2397">
        <v>1.7</v>
      </c>
      <c r="T2397">
        <v>16.48</v>
      </c>
      <c r="U2397" t="s">
        <v>715</v>
      </c>
      <c r="V2397" t="s">
        <v>1540</v>
      </c>
      <c r="W2397" t="s">
        <v>1852</v>
      </c>
      <c r="X2397">
        <v>0.8</v>
      </c>
      <c r="Y2397" t="s">
        <v>1292</v>
      </c>
      <c r="Z2397" t="s">
        <v>410</v>
      </c>
      <c r="AA2397" t="s">
        <v>110</v>
      </c>
      <c r="AB2397">
        <v>1.91</v>
      </c>
      <c r="AC2397" t="s">
        <v>1698</v>
      </c>
      <c r="AD2397">
        <v>16.91</v>
      </c>
      <c r="AE2397" t="s">
        <v>1025</v>
      </c>
      <c r="AF2397">
        <v>1.79</v>
      </c>
      <c r="AG2397">
        <v>0</v>
      </c>
      <c r="AH2397">
        <v>0</v>
      </c>
      <c r="AI2397" s="4">
        <v>35838</v>
      </c>
    </row>
    <row r="2398" spans="1:35">
      <c r="A2398">
        <v>2397</v>
      </c>
      <c r="B2398" t="str">
        <f>"600830"</f>
        <v>600830</v>
      </c>
      <c r="C2398" t="s">
        <v>11442</v>
      </c>
      <c r="D2398" s="4">
        <v>43190</v>
      </c>
      <c r="E2398" t="s">
        <v>3067</v>
      </c>
      <c r="F2398" t="s">
        <v>3067</v>
      </c>
      <c r="G2398" t="s">
        <v>892</v>
      </c>
      <c r="H2398">
        <v>0.04</v>
      </c>
      <c r="I2398">
        <v>4.66</v>
      </c>
      <c r="J2398">
        <v>0.79</v>
      </c>
      <c r="K2398" t="s">
        <v>3535</v>
      </c>
      <c r="L2398">
        <v>-18.329999999999998</v>
      </c>
      <c r="M2398" t="s">
        <v>11443</v>
      </c>
      <c r="N2398" t="s">
        <v>11444</v>
      </c>
      <c r="O2398" t="s">
        <v>11445</v>
      </c>
      <c r="P2398" t="s">
        <v>9318</v>
      </c>
      <c r="Q2398">
        <v>4.21</v>
      </c>
      <c r="R2398" t="s">
        <v>978</v>
      </c>
      <c r="S2398">
        <v>2.2599999999999998</v>
      </c>
      <c r="T2398">
        <v>15.38</v>
      </c>
      <c r="U2398" t="s">
        <v>946</v>
      </c>
      <c r="V2398" t="s">
        <v>2959</v>
      </c>
      <c r="W2398" t="s">
        <v>651</v>
      </c>
      <c r="X2398">
        <v>0.79</v>
      </c>
      <c r="Y2398" t="s">
        <v>598</v>
      </c>
      <c r="Z2398" t="s">
        <v>1378</v>
      </c>
      <c r="AA2398" t="s">
        <v>267</v>
      </c>
      <c r="AB2398">
        <v>1.1299999999999999</v>
      </c>
      <c r="AC2398" t="s">
        <v>1693</v>
      </c>
      <c r="AD2398">
        <v>68.760000000000005</v>
      </c>
      <c r="AE2398" t="s">
        <v>1565</v>
      </c>
      <c r="AF2398">
        <v>1.1499999999999999</v>
      </c>
      <c r="AG2398">
        <v>0</v>
      </c>
      <c r="AH2398">
        <v>0</v>
      </c>
      <c r="AI2398" s="4">
        <v>34389</v>
      </c>
    </row>
    <row r="2399" spans="1:35">
      <c r="A2399">
        <v>2398</v>
      </c>
      <c r="B2399" t="str">
        <f>"600482"</f>
        <v>600482</v>
      </c>
      <c r="C2399" t="s">
        <v>11446</v>
      </c>
      <c r="D2399" s="4">
        <v>43190</v>
      </c>
      <c r="E2399" t="s">
        <v>79</v>
      </c>
      <c r="F2399" t="s">
        <v>1998</v>
      </c>
      <c r="G2399" t="s">
        <v>5319</v>
      </c>
      <c r="H2399">
        <v>0.12</v>
      </c>
      <c r="I2399">
        <v>15.17</v>
      </c>
      <c r="J2399">
        <v>0.79</v>
      </c>
      <c r="K2399" t="s">
        <v>1061</v>
      </c>
      <c r="L2399">
        <v>-4.8899999999999997</v>
      </c>
      <c r="M2399" t="s">
        <v>217</v>
      </c>
      <c r="N2399" t="s">
        <v>9462</v>
      </c>
      <c r="O2399" t="s">
        <v>81</v>
      </c>
      <c r="P2399" t="s">
        <v>618</v>
      </c>
      <c r="Q2399">
        <v>-8.81</v>
      </c>
      <c r="R2399" t="s">
        <v>2447</v>
      </c>
      <c r="S2399">
        <v>2.93</v>
      </c>
      <c r="T2399">
        <v>14.14</v>
      </c>
      <c r="U2399" t="s">
        <v>11447</v>
      </c>
      <c r="V2399" t="s">
        <v>3606</v>
      </c>
      <c r="W2399" t="s">
        <v>5698</v>
      </c>
      <c r="X2399">
        <v>0.79</v>
      </c>
      <c r="Y2399" t="s">
        <v>1894</v>
      </c>
      <c r="Z2399" t="s">
        <v>932</v>
      </c>
      <c r="AA2399" t="s">
        <v>1675</v>
      </c>
      <c r="AB2399">
        <v>1.18</v>
      </c>
      <c r="AC2399" t="s">
        <v>1739</v>
      </c>
      <c r="AD2399">
        <v>60.15</v>
      </c>
      <c r="AE2399" t="s">
        <v>2761</v>
      </c>
      <c r="AF2399">
        <v>11.07</v>
      </c>
      <c r="AG2399">
        <v>0</v>
      </c>
      <c r="AH2399">
        <v>0</v>
      </c>
      <c r="AI2399" s="4">
        <v>38182</v>
      </c>
    </row>
    <row r="2400" spans="1:35">
      <c r="A2400">
        <v>2399</v>
      </c>
      <c r="B2400" t="str">
        <f>"300629"</f>
        <v>300629</v>
      </c>
      <c r="C2400" t="s">
        <v>11448</v>
      </c>
      <c r="D2400" s="4">
        <v>43190</v>
      </c>
      <c r="E2400" t="s">
        <v>2307</v>
      </c>
      <c r="F2400" t="s">
        <v>11449</v>
      </c>
      <c r="G2400">
        <v>3726</v>
      </c>
      <c r="H2400">
        <v>0.03</v>
      </c>
      <c r="I2400">
        <v>3.46</v>
      </c>
      <c r="J2400">
        <v>0.79</v>
      </c>
      <c r="K2400" t="s">
        <v>10000</v>
      </c>
      <c r="L2400">
        <v>3.59</v>
      </c>
      <c r="M2400" t="s">
        <v>11450</v>
      </c>
      <c r="N2400">
        <v>0</v>
      </c>
      <c r="O2400" t="s">
        <v>7951</v>
      </c>
      <c r="P2400" t="s">
        <v>11451</v>
      </c>
      <c r="Q2400">
        <v>-5.9</v>
      </c>
      <c r="R2400" t="s">
        <v>322</v>
      </c>
      <c r="S2400">
        <v>1.19</v>
      </c>
      <c r="T2400">
        <v>34.409999999999997</v>
      </c>
      <c r="U2400" t="s">
        <v>1806</v>
      </c>
      <c r="V2400" t="s">
        <v>1378</v>
      </c>
      <c r="W2400" t="s">
        <v>11452</v>
      </c>
      <c r="X2400">
        <v>0.79</v>
      </c>
      <c r="Y2400" t="s">
        <v>2603</v>
      </c>
      <c r="Z2400" t="s">
        <v>256</v>
      </c>
      <c r="AA2400" t="s">
        <v>4743</v>
      </c>
      <c r="AB2400">
        <v>6.38</v>
      </c>
      <c r="AC2400" t="s">
        <v>2807</v>
      </c>
      <c r="AD2400">
        <v>73.89</v>
      </c>
      <c r="AE2400" t="s">
        <v>745</v>
      </c>
      <c r="AF2400">
        <v>1.1399999999999999</v>
      </c>
      <c r="AG2400">
        <v>0</v>
      </c>
      <c r="AH2400">
        <v>0</v>
      </c>
      <c r="AI2400" s="4">
        <v>42818</v>
      </c>
    </row>
    <row r="2401" spans="1:35">
      <c r="A2401">
        <v>2400</v>
      </c>
      <c r="B2401" t="str">
        <f>"300413"</f>
        <v>300413</v>
      </c>
      <c r="C2401" t="s">
        <v>11453</v>
      </c>
      <c r="D2401" s="4">
        <v>43190</v>
      </c>
      <c r="E2401" t="s">
        <v>241</v>
      </c>
      <c r="F2401" t="s">
        <v>1970</v>
      </c>
      <c r="G2401">
        <v>8948</v>
      </c>
      <c r="H2401">
        <v>0.03</v>
      </c>
      <c r="I2401">
        <v>4.17</v>
      </c>
      <c r="J2401">
        <v>0.79</v>
      </c>
      <c r="K2401" t="s">
        <v>2149</v>
      </c>
      <c r="L2401">
        <v>3.16</v>
      </c>
      <c r="M2401" t="s">
        <v>11454</v>
      </c>
      <c r="N2401" t="s">
        <v>11455</v>
      </c>
      <c r="O2401" t="s">
        <v>7777</v>
      </c>
      <c r="P2401" t="s">
        <v>9487</v>
      </c>
      <c r="Q2401">
        <v>38.72</v>
      </c>
      <c r="R2401" t="s">
        <v>68</v>
      </c>
      <c r="S2401">
        <v>1.27</v>
      </c>
      <c r="T2401">
        <v>24.78</v>
      </c>
      <c r="U2401" t="s">
        <v>1875</v>
      </c>
      <c r="V2401" t="s">
        <v>702</v>
      </c>
      <c r="W2401" t="s">
        <v>256</v>
      </c>
      <c r="X2401">
        <v>0.79</v>
      </c>
      <c r="Y2401" t="s">
        <v>771</v>
      </c>
      <c r="Z2401" t="s">
        <v>2625</v>
      </c>
      <c r="AA2401" t="s">
        <v>10894</v>
      </c>
      <c r="AB2401">
        <v>9.23</v>
      </c>
      <c r="AC2401" t="s">
        <v>115</v>
      </c>
      <c r="AD2401">
        <v>77.010000000000005</v>
      </c>
      <c r="AE2401" t="s">
        <v>189</v>
      </c>
      <c r="AF2401">
        <v>1.69</v>
      </c>
      <c r="AG2401">
        <v>0</v>
      </c>
      <c r="AH2401">
        <v>0</v>
      </c>
      <c r="AI2401" s="4">
        <v>42025</v>
      </c>
    </row>
    <row r="2402" spans="1:35">
      <c r="A2402">
        <v>2401</v>
      </c>
      <c r="B2402" t="str">
        <f>"300350"</f>
        <v>300350</v>
      </c>
      <c r="C2402" t="s">
        <v>11456</v>
      </c>
      <c r="D2402" s="4">
        <v>43190</v>
      </c>
      <c r="E2402" t="s">
        <v>68</v>
      </c>
      <c r="F2402" t="s">
        <v>1999</v>
      </c>
      <c r="G2402" t="s">
        <v>2531</v>
      </c>
      <c r="H2402">
        <v>0.03</v>
      </c>
      <c r="I2402">
        <v>3.58</v>
      </c>
      <c r="J2402">
        <v>0.79</v>
      </c>
      <c r="K2402" t="s">
        <v>337</v>
      </c>
      <c r="L2402">
        <v>-5.31</v>
      </c>
      <c r="M2402" t="s">
        <v>5330</v>
      </c>
      <c r="N2402">
        <v>0</v>
      </c>
      <c r="O2402" t="s">
        <v>1393</v>
      </c>
      <c r="P2402" t="s">
        <v>9326</v>
      </c>
      <c r="Q2402">
        <v>-46.33</v>
      </c>
      <c r="R2402" t="s">
        <v>3482</v>
      </c>
      <c r="S2402">
        <v>0.65</v>
      </c>
      <c r="T2402">
        <v>31</v>
      </c>
      <c r="U2402" t="s">
        <v>371</v>
      </c>
      <c r="V2402" t="s">
        <v>173</v>
      </c>
      <c r="W2402" t="s">
        <v>134</v>
      </c>
      <c r="X2402">
        <v>0.79</v>
      </c>
      <c r="Y2402" t="s">
        <v>2683</v>
      </c>
      <c r="Z2402" t="s">
        <v>4041</v>
      </c>
      <c r="AA2402" t="s">
        <v>529</v>
      </c>
      <c r="AB2402">
        <v>2.27</v>
      </c>
      <c r="AC2402" t="s">
        <v>183</v>
      </c>
      <c r="AD2402">
        <v>65.84</v>
      </c>
      <c r="AE2402" t="s">
        <v>3839</v>
      </c>
      <c r="AF2402">
        <v>1.8</v>
      </c>
      <c r="AG2402">
        <v>0</v>
      </c>
      <c r="AH2402">
        <v>0</v>
      </c>
      <c r="AI2402" s="4">
        <v>41142</v>
      </c>
    </row>
    <row r="2403" spans="1:35">
      <c r="A2403">
        <v>2402</v>
      </c>
      <c r="B2403" t="str">
        <f>"300338"</f>
        <v>300338</v>
      </c>
      <c r="C2403" t="s">
        <v>11457</v>
      </c>
      <c r="D2403" s="4">
        <v>43190</v>
      </c>
      <c r="E2403" t="s">
        <v>344</v>
      </c>
      <c r="F2403" t="s">
        <v>2769</v>
      </c>
      <c r="G2403" t="s">
        <v>2980</v>
      </c>
      <c r="H2403">
        <v>0.05</v>
      </c>
      <c r="I2403">
        <v>6.25</v>
      </c>
      <c r="J2403">
        <v>0.79</v>
      </c>
      <c r="K2403" t="s">
        <v>916</v>
      </c>
      <c r="L2403">
        <v>174.96</v>
      </c>
      <c r="M2403" t="s">
        <v>5013</v>
      </c>
      <c r="N2403" t="s">
        <v>7289</v>
      </c>
      <c r="O2403" t="s">
        <v>11458</v>
      </c>
      <c r="P2403" t="s">
        <v>10984</v>
      </c>
      <c r="Q2403">
        <v>32.71</v>
      </c>
      <c r="R2403" t="s">
        <v>1918</v>
      </c>
      <c r="S2403">
        <v>1.03</v>
      </c>
      <c r="T2403">
        <v>66.900000000000006</v>
      </c>
      <c r="U2403" t="s">
        <v>1205</v>
      </c>
      <c r="V2403" t="s">
        <v>59</v>
      </c>
      <c r="W2403" t="s">
        <v>1206</v>
      </c>
      <c r="X2403">
        <v>0.79</v>
      </c>
      <c r="Y2403" t="s">
        <v>6799</v>
      </c>
      <c r="Z2403" t="s">
        <v>805</v>
      </c>
      <c r="AA2403" t="s">
        <v>10881</v>
      </c>
      <c r="AB2403">
        <v>2.25</v>
      </c>
      <c r="AC2403" t="s">
        <v>514</v>
      </c>
      <c r="AD2403">
        <v>71.44</v>
      </c>
      <c r="AE2403" t="s">
        <v>624</v>
      </c>
      <c r="AF2403">
        <v>4.1100000000000003</v>
      </c>
      <c r="AG2403">
        <v>0</v>
      </c>
      <c r="AH2403">
        <v>0</v>
      </c>
      <c r="AI2403" s="4">
        <v>41116</v>
      </c>
    </row>
    <row r="2404" spans="1:35">
      <c r="A2404">
        <v>2403</v>
      </c>
      <c r="B2404" t="str">
        <f>"002469"</f>
        <v>002469</v>
      </c>
      <c r="C2404" t="s">
        <v>11459</v>
      </c>
      <c r="D2404" s="4">
        <v>43190</v>
      </c>
      <c r="E2404" t="s">
        <v>442</v>
      </c>
      <c r="F2404" t="s">
        <v>140</v>
      </c>
      <c r="G2404" t="s">
        <v>1448</v>
      </c>
      <c r="H2404">
        <v>0.02</v>
      </c>
      <c r="I2404">
        <v>2.33</v>
      </c>
      <c r="J2404">
        <v>0.79</v>
      </c>
      <c r="K2404" t="s">
        <v>1349</v>
      </c>
      <c r="L2404">
        <v>79.92</v>
      </c>
      <c r="M2404" t="s">
        <v>7137</v>
      </c>
      <c r="N2404" t="s">
        <v>11460</v>
      </c>
      <c r="O2404" t="s">
        <v>7137</v>
      </c>
      <c r="P2404" t="s">
        <v>10201</v>
      </c>
      <c r="Q2404">
        <v>48.17</v>
      </c>
      <c r="R2404" t="s">
        <v>735</v>
      </c>
      <c r="S2404">
        <v>0.88</v>
      </c>
      <c r="T2404">
        <v>31.86</v>
      </c>
      <c r="U2404" t="s">
        <v>847</v>
      </c>
      <c r="V2404" t="s">
        <v>971</v>
      </c>
      <c r="W2404" t="s">
        <v>993</v>
      </c>
      <c r="X2404">
        <v>0.79</v>
      </c>
      <c r="Y2404" t="s">
        <v>2132</v>
      </c>
      <c r="Z2404" t="s">
        <v>2132</v>
      </c>
      <c r="AA2404">
        <v>0</v>
      </c>
      <c r="AB2404">
        <v>1.71</v>
      </c>
      <c r="AC2404" t="s">
        <v>625</v>
      </c>
      <c r="AD2404">
        <v>74.95</v>
      </c>
      <c r="AE2404" t="s">
        <v>1936</v>
      </c>
      <c r="AF2404">
        <v>0.3</v>
      </c>
      <c r="AG2404">
        <v>0</v>
      </c>
      <c r="AH2404">
        <v>0</v>
      </c>
      <c r="AI2404" s="4">
        <v>40429</v>
      </c>
    </row>
    <row r="2405" spans="1:35">
      <c r="A2405">
        <v>2404</v>
      </c>
      <c r="B2405" t="str">
        <f>"002284"</f>
        <v>002284</v>
      </c>
      <c r="C2405" t="s">
        <v>11461</v>
      </c>
      <c r="D2405" s="4">
        <v>43190</v>
      </c>
      <c r="E2405" t="s">
        <v>3234</v>
      </c>
      <c r="F2405" t="s">
        <v>116</v>
      </c>
      <c r="G2405">
        <v>7809</v>
      </c>
      <c r="H2405">
        <v>0.03</v>
      </c>
      <c r="I2405">
        <v>3.54</v>
      </c>
      <c r="J2405">
        <v>0.79</v>
      </c>
      <c r="K2405" t="s">
        <v>1223</v>
      </c>
      <c r="L2405">
        <v>5.75</v>
      </c>
      <c r="M2405" t="s">
        <v>11462</v>
      </c>
      <c r="N2405" t="s">
        <v>11071</v>
      </c>
      <c r="O2405" t="s">
        <v>3727</v>
      </c>
      <c r="P2405" t="s">
        <v>9116</v>
      </c>
      <c r="Q2405">
        <v>-48.17</v>
      </c>
      <c r="R2405" t="s">
        <v>1898</v>
      </c>
      <c r="S2405">
        <v>0.8</v>
      </c>
      <c r="T2405">
        <v>12.67</v>
      </c>
      <c r="U2405" t="s">
        <v>10780</v>
      </c>
      <c r="V2405" t="s">
        <v>2541</v>
      </c>
      <c r="W2405" t="s">
        <v>1792</v>
      </c>
      <c r="X2405">
        <v>0.79</v>
      </c>
      <c r="Y2405" t="s">
        <v>3073</v>
      </c>
      <c r="Z2405" t="s">
        <v>1348</v>
      </c>
      <c r="AA2405" t="s">
        <v>5620</v>
      </c>
      <c r="AB2405">
        <v>1.65</v>
      </c>
      <c r="AC2405" t="s">
        <v>1542</v>
      </c>
      <c r="AD2405">
        <v>45.77</v>
      </c>
      <c r="AE2405" t="s">
        <v>354</v>
      </c>
      <c r="AF2405">
        <v>1.54</v>
      </c>
      <c r="AG2405">
        <v>0</v>
      </c>
      <c r="AH2405">
        <v>0</v>
      </c>
      <c r="AI2405" s="4">
        <v>40053</v>
      </c>
    </row>
    <row r="2406" spans="1:35">
      <c r="A2406">
        <v>2405</v>
      </c>
      <c r="B2406" t="str">
        <f>"002045"</f>
        <v>002045</v>
      </c>
      <c r="C2406" t="s">
        <v>11463</v>
      </c>
      <c r="D2406" s="4">
        <v>43190</v>
      </c>
      <c r="E2406" t="s">
        <v>2284</v>
      </c>
      <c r="F2406" t="s">
        <v>104</v>
      </c>
      <c r="G2406" t="s">
        <v>4389</v>
      </c>
      <c r="H2406">
        <v>0.03</v>
      </c>
      <c r="I2406">
        <v>3.39</v>
      </c>
      <c r="J2406">
        <v>0.79</v>
      </c>
      <c r="K2406" t="s">
        <v>1780</v>
      </c>
      <c r="L2406">
        <v>30.7</v>
      </c>
      <c r="M2406" t="s">
        <v>4838</v>
      </c>
      <c r="N2406" t="s">
        <v>11464</v>
      </c>
      <c r="O2406" t="s">
        <v>8013</v>
      </c>
      <c r="P2406" t="s">
        <v>170</v>
      </c>
      <c r="Q2406">
        <v>-38.380000000000003</v>
      </c>
      <c r="R2406" t="s">
        <v>616</v>
      </c>
      <c r="S2406">
        <v>1.08</v>
      </c>
      <c r="T2406">
        <v>14.58</v>
      </c>
      <c r="U2406" t="s">
        <v>1170</v>
      </c>
      <c r="V2406" t="s">
        <v>2568</v>
      </c>
      <c r="W2406" t="s">
        <v>2177</v>
      </c>
      <c r="X2406">
        <v>0.79</v>
      </c>
      <c r="Y2406" t="s">
        <v>1881</v>
      </c>
      <c r="Z2406" t="s">
        <v>1062</v>
      </c>
      <c r="AA2406" t="s">
        <v>625</v>
      </c>
      <c r="AB2406">
        <v>1.96</v>
      </c>
      <c r="AC2406" t="s">
        <v>263</v>
      </c>
      <c r="AD2406">
        <v>33.44</v>
      </c>
      <c r="AE2406" t="s">
        <v>3119</v>
      </c>
      <c r="AF2406">
        <v>0.99</v>
      </c>
      <c r="AG2406">
        <v>0</v>
      </c>
      <c r="AH2406">
        <v>0</v>
      </c>
      <c r="AI2406" s="4">
        <v>38495</v>
      </c>
    </row>
    <row r="2407" spans="1:35">
      <c r="A2407">
        <v>2406</v>
      </c>
      <c r="B2407" t="str">
        <f>"000558"</f>
        <v>000558</v>
      </c>
      <c r="C2407" t="s">
        <v>11465</v>
      </c>
      <c r="D2407" s="4">
        <v>43190</v>
      </c>
      <c r="E2407" t="s">
        <v>101</v>
      </c>
      <c r="F2407" t="s">
        <v>101</v>
      </c>
      <c r="G2407" t="s">
        <v>6699</v>
      </c>
      <c r="H2407">
        <v>0.01</v>
      </c>
      <c r="I2407">
        <v>1.03</v>
      </c>
      <c r="J2407">
        <v>0.79</v>
      </c>
      <c r="K2407" t="s">
        <v>11466</v>
      </c>
      <c r="L2407">
        <v>-90.65</v>
      </c>
      <c r="M2407" t="s">
        <v>7091</v>
      </c>
      <c r="N2407" t="s">
        <v>11467</v>
      </c>
      <c r="O2407" t="s">
        <v>9266</v>
      </c>
      <c r="P2407" t="s">
        <v>11315</v>
      </c>
      <c r="Q2407">
        <v>15.17</v>
      </c>
      <c r="R2407" t="s">
        <v>11468</v>
      </c>
      <c r="S2407">
        <v>-7.0000000000000007E-2</v>
      </c>
      <c r="T2407">
        <v>51.58</v>
      </c>
      <c r="U2407" t="s">
        <v>402</v>
      </c>
      <c r="V2407" t="s">
        <v>1375</v>
      </c>
      <c r="W2407" t="s">
        <v>217</v>
      </c>
      <c r="X2407">
        <v>0.79</v>
      </c>
      <c r="Y2407" t="s">
        <v>613</v>
      </c>
      <c r="Z2407" t="s">
        <v>6120</v>
      </c>
      <c r="AA2407" t="s">
        <v>1596</v>
      </c>
      <c r="AB2407">
        <v>3.98</v>
      </c>
      <c r="AC2407" t="s">
        <v>124</v>
      </c>
      <c r="AD2407">
        <v>52.03</v>
      </c>
      <c r="AE2407" t="s">
        <v>11469</v>
      </c>
      <c r="AF2407">
        <v>0.05</v>
      </c>
      <c r="AG2407">
        <v>0</v>
      </c>
      <c r="AH2407">
        <v>0</v>
      </c>
      <c r="AI2407" s="4">
        <v>34463</v>
      </c>
    </row>
    <row r="2408" spans="1:35">
      <c r="A2408">
        <v>2407</v>
      </c>
      <c r="B2408" t="str">
        <f>"600797"</f>
        <v>600797</v>
      </c>
      <c r="C2408" t="s">
        <v>11470</v>
      </c>
      <c r="D2408" s="4">
        <v>43190</v>
      </c>
      <c r="E2408" t="s">
        <v>521</v>
      </c>
      <c r="F2408" t="s">
        <v>5930</v>
      </c>
      <c r="G2408">
        <v>7324</v>
      </c>
      <c r="H2408">
        <v>0.03</v>
      </c>
      <c r="I2408">
        <v>4.25</v>
      </c>
      <c r="J2408">
        <v>0.78</v>
      </c>
      <c r="K2408" t="s">
        <v>5080</v>
      </c>
      <c r="L2408">
        <v>17.489999999999998</v>
      </c>
      <c r="M2408" t="s">
        <v>5915</v>
      </c>
      <c r="N2408" t="s">
        <v>4480</v>
      </c>
      <c r="O2408" t="s">
        <v>7171</v>
      </c>
      <c r="P2408" t="s">
        <v>3880</v>
      </c>
      <c r="Q2408">
        <v>285.82</v>
      </c>
      <c r="R2408" t="s">
        <v>1223</v>
      </c>
      <c r="S2408">
        <v>1.04</v>
      </c>
      <c r="T2408">
        <v>27.24</v>
      </c>
      <c r="U2408" t="s">
        <v>2180</v>
      </c>
      <c r="V2408" t="s">
        <v>239</v>
      </c>
      <c r="W2408" t="s">
        <v>1709</v>
      </c>
      <c r="X2408">
        <v>0.78</v>
      </c>
      <c r="Y2408" t="s">
        <v>867</v>
      </c>
      <c r="Z2408" t="s">
        <v>1062</v>
      </c>
      <c r="AA2408" t="s">
        <v>209</v>
      </c>
      <c r="AB2408">
        <v>2.17</v>
      </c>
      <c r="AC2408" t="s">
        <v>830</v>
      </c>
      <c r="AD2408">
        <v>69.52</v>
      </c>
      <c r="AE2408" t="s">
        <v>2753</v>
      </c>
      <c r="AF2408">
        <v>2.06</v>
      </c>
      <c r="AG2408">
        <v>0</v>
      </c>
      <c r="AH2408">
        <v>0</v>
      </c>
      <c r="AI2408" s="4">
        <v>35538</v>
      </c>
    </row>
    <row r="2409" spans="1:35">
      <c r="A2409">
        <v>2408</v>
      </c>
      <c r="B2409" t="str">
        <f>"600775"</f>
        <v>600775</v>
      </c>
      <c r="C2409" t="s">
        <v>11471</v>
      </c>
      <c r="D2409" s="4">
        <v>43190</v>
      </c>
      <c r="E2409" t="s">
        <v>1198</v>
      </c>
      <c r="F2409" t="s">
        <v>675</v>
      </c>
      <c r="G2409">
        <v>0</v>
      </c>
      <c r="H2409">
        <v>0.03</v>
      </c>
      <c r="I2409">
        <v>3.71</v>
      </c>
      <c r="J2409">
        <v>0.78</v>
      </c>
      <c r="K2409" t="s">
        <v>978</v>
      </c>
      <c r="L2409">
        <v>20.58</v>
      </c>
      <c r="M2409" t="s">
        <v>11472</v>
      </c>
      <c r="N2409" t="s">
        <v>7327</v>
      </c>
      <c r="O2409" t="s">
        <v>4497</v>
      </c>
      <c r="P2409" t="s">
        <v>10642</v>
      </c>
      <c r="Q2409">
        <v>146.82</v>
      </c>
      <c r="R2409" t="s">
        <v>1938</v>
      </c>
      <c r="S2409">
        <v>0.83</v>
      </c>
      <c r="T2409">
        <v>14.32</v>
      </c>
      <c r="U2409" t="s">
        <v>1427</v>
      </c>
      <c r="V2409" t="s">
        <v>3125</v>
      </c>
      <c r="W2409" t="s">
        <v>4790</v>
      </c>
      <c r="X2409">
        <v>0.78</v>
      </c>
      <c r="Y2409" t="s">
        <v>1449</v>
      </c>
      <c r="Z2409" t="s">
        <v>728</v>
      </c>
      <c r="AA2409" t="s">
        <v>8923</v>
      </c>
      <c r="AB2409">
        <v>1.5</v>
      </c>
      <c r="AC2409" t="s">
        <v>884</v>
      </c>
      <c r="AD2409">
        <v>57.82</v>
      </c>
      <c r="AE2409" t="s">
        <v>584</v>
      </c>
      <c r="AF2409">
        <v>1.6</v>
      </c>
      <c r="AG2409">
        <v>0</v>
      </c>
      <c r="AH2409" t="s">
        <v>531</v>
      </c>
      <c r="AI2409" s="4">
        <v>35387</v>
      </c>
    </row>
    <row r="2410" spans="1:35">
      <c r="A2410">
        <v>2409</v>
      </c>
      <c r="B2410" t="str">
        <f>"600759"</f>
        <v>600759</v>
      </c>
      <c r="C2410" t="s">
        <v>11473</v>
      </c>
      <c r="D2410" s="4">
        <v>43190</v>
      </c>
      <c r="E2410" t="s">
        <v>1449</v>
      </c>
      <c r="F2410" t="s">
        <v>1449</v>
      </c>
      <c r="G2410" t="s">
        <v>2623</v>
      </c>
      <c r="H2410">
        <v>0.02</v>
      </c>
      <c r="I2410">
        <v>2.2799999999999998</v>
      </c>
      <c r="J2410">
        <v>0.78</v>
      </c>
      <c r="K2410" t="s">
        <v>3312</v>
      </c>
      <c r="L2410">
        <v>13.42</v>
      </c>
      <c r="M2410" t="s">
        <v>84</v>
      </c>
      <c r="N2410" t="s">
        <v>1466</v>
      </c>
      <c r="O2410" t="s">
        <v>1974</v>
      </c>
      <c r="P2410" t="s">
        <v>2950</v>
      </c>
      <c r="Q2410">
        <v>218.5</v>
      </c>
      <c r="R2410" t="s">
        <v>2792</v>
      </c>
      <c r="S2410">
        <v>0.21</v>
      </c>
      <c r="T2410">
        <v>60.53</v>
      </c>
      <c r="U2410" t="s">
        <v>3129</v>
      </c>
      <c r="V2410" t="s">
        <v>1205</v>
      </c>
      <c r="W2410" t="s">
        <v>147</v>
      </c>
      <c r="X2410">
        <v>0.78</v>
      </c>
      <c r="Y2410" t="s">
        <v>1820</v>
      </c>
      <c r="Z2410" t="s">
        <v>1110</v>
      </c>
      <c r="AA2410" t="s">
        <v>553</v>
      </c>
      <c r="AB2410">
        <v>1.73</v>
      </c>
      <c r="AC2410" t="s">
        <v>4218</v>
      </c>
      <c r="AD2410">
        <v>32.17</v>
      </c>
      <c r="AE2410" t="s">
        <v>706</v>
      </c>
      <c r="AF2410">
        <v>1.08</v>
      </c>
      <c r="AG2410">
        <v>0</v>
      </c>
      <c r="AH2410">
        <v>0</v>
      </c>
      <c r="AI2410" s="4">
        <v>35346</v>
      </c>
    </row>
    <row r="2411" spans="1:35">
      <c r="A2411">
        <v>2410</v>
      </c>
      <c r="B2411" t="str">
        <f>"600326"</f>
        <v>600326</v>
      </c>
      <c r="C2411" t="s">
        <v>11474</v>
      </c>
      <c r="D2411" s="4">
        <v>43190</v>
      </c>
      <c r="E2411" t="s">
        <v>906</v>
      </c>
      <c r="F2411" t="s">
        <v>906</v>
      </c>
      <c r="G2411">
        <v>7983</v>
      </c>
      <c r="H2411">
        <v>0.02</v>
      </c>
      <c r="I2411">
        <v>3.02</v>
      </c>
      <c r="J2411">
        <v>0.78</v>
      </c>
      <c r="K2411" t="s">
        <v>1346</v>
      </c>
      <c r="L2411">
        <v>8.76</v>
      </c>
      <c r="M2411" t="s">
        <v>11475</v>
      </c>
      <c r="N2411" t="s">
        <v>11476</v>
      </c>
      <c r="O2411" t="s">
        <v>11477</v>
      </c>
      <c r="P2411" t="s">
        <v>1916</v>
      </c>
      <c r="Q2411">
        <v>-49.69</v>
      </c>
      <c r="R2411" t="s">
        <v>5537</v>
      </c>
      <c r="S2411">
        <v>0.98</v>
      </c>
      <c r="T2411">
        <v>29.28</v>
      </c>
      <c r="U2411" t="s">
        <v>3458</v>
      </c>
      <c r="V2411" t="s">
        <v>1677</v>
      </c>
      <c r="W2411" t="s">
        <v>1661</v>
      </c>
      <c r="X2411">
        <v>0.78</v>
      </c>
      <c r="Y2411" t="s">
        <v>1517</v>
      </c>
      <c r="Z2411" t="s">
        <v>1039</v>
      </c>
      <c r="AA2411" t="s">
        <v>1343</v>
      </c>
      <c r="AB2411">
        <v>1.89</v>
      </c>
      <c r="AC2411" t="s">
        <v>2100</v>
      </c>
      <c r="AD2411">
        <v>34.54</v>
      </c>
      <c r="AE2411" t="s">
        <v>2984</v>
      </c>
      <c r="AF2411">
        <v>0.93</v>
      </c>
      <c r="AG2411">
        <v>0</v>
      </c>
      <c r="AH2411">
        <v>0</v>
      </c>
      <c r="AI2411" s="4">
        <v>36907</v>
      </c>
    </row>
    <row r="2412" spans="1:35">
      <c r="A2412">
        <v>2411</v>
      </c>
      <c r="B2412" t="str">
        <f>"300430"</f>
        <v>300430</v>
      </c>
      <c r="C2412" t="s">
        <v>11478</v>
      </c>
      <c r="D2412" s="4">
        <v>43190</v>
      </c>
      <c r="E2412" t="s">
        <v>1511</v>
      </c>
      <c r="F2412" t="s">
        <v>863</v>
      </c>
      <c r="G2412">
        <v>9166</v>
      </c>
      <c r="H2412">
        <v>0.04</v>
      </c>
      <c r="I2412">
        <v>5.64</v>
      </c>
      <c r="J2412">
        <v>0.78</v>
      </c>
      <c r="K2412" t="s">
        <v>600</v>
      </c>
      <c r="L2412">
        <v>32.25</v>
      </c>
      <c r="M2412" t="s">
        <v>11479</v>
      </c>
      <c r="N2412" t="s">
        <v>11480</v>
      </c>
      <c r="O2412" t="s">
        <v>10458</v>
      </c>
      <c r="P2412" t="s">
        <v>6303</v>
      </c>
      <c r="Q2412">
        <v>4.76</v>
      </c>
      <c r="R2412" t="s">
        <v>678</v>
      </c>
      <c r="S2412">
        <v>1.2</v>
      </c>
      <c r="T2412">
        <v>45.38</v>
      </c>
      <c r="U2412" t="s">
        <v>419</v>
      </c>
      <c r="V2412" t="s">
        <v>192</v>
      </c>
      <c r="W2412" t="s">
        <v>1624</v>
      </c>
      <c r="X2412">
        <v>0.78</v>
      </c>
      <c r="Y2412" t="s">
        <v>349</v>
      </c>
      <c r="Z2412" t="s">
        <v>150</v>
      </c>
      <c r="AA2412" t="s">
        <v>4716</v>
      </c>
      <c r="AB2412">
        <v>1.66</v>
      </c>
      <c r="AC2412" t="s">
        <v>833</v>
      </c>
      <c r="AD2412">
        <v>78.849999999999994</v>
      </c>
      <c r="AE2412" t="s">
        <v>2721</v>
      </c>
      <c r="AF2412">
        <v>3.32</v>
      </c>
      <c r="AG2412">
        <v>0</v>
      </c>
      <c r="AH2412">
        <v>0</v>
      </c>
      <c r="AI2412" s="4">
        <v>42082</v>
      </c>
    </row>
    <row r="2413" spans="1:35">
      <c r="A2413">
        <v>2412</v>
      </c>
      <c r="B2413" t="str">
        <f>"300281"</f>
        <v>300281</v>
      </c>
      <c r="C2413" t="s">
        <v>11481</v>
      </c>
      <c r="D2413" s="4">
        <v>43190</v>
      </c>
      <c r="E2413" t="s">
        <v>2581</v>
      </c>
      <c r="F2413" t="s">
        <v>682</v>
      </c>
      <c r="G2413" t="s">
        <v>3585</v>
      </c>
      <c r="H2413">
        <v>0.02</v>
      </c>
      <c r="I2413">
        <v>2.86</v>
      </c>
      <c r="J2413">
        <v>0.78</v>
      </c>
      <c r="K2413" t="s">
        <v>282</v>
      </c>
      <c r="L2413">
        <v>21.12</v>
      </c>
      <c r="M2413" t="s">
        <v>7101</v>
      </c>
      <c r="N2413" t="s">
        <v>4557</v>
      </c>
      <c r="O2413" t="s">
        <v>5331</v>
      </c>
      <c r="P2413" t="s">
        <v>9468</v>
      </c>
      <c r="Q2413">
        <v>51.06</v>
      </c>
      <c r="R2413" t="s">
        <v>507</v>
      </c>
      <c r="S2413">
        <v>0.6</v>
      </c>
      <c r="T2413">
        <v>26.58</v>
      </c>
      <c r="U2413" t="s">
        <v>584</v>
      </c>
      <c r="V2413" t="s">
        <v>2955</v>
      </c>
      <c r="W2413" t="s">
        <v>188</v>
      </c>
      <c r="X2413">
        <v>0.78</v>
      </c>
      <c r="Y2413" t="s">
        <v>134</v>
      </c>
      <c r="Z2413" t="s">
        <v>2123</v>
      </c>
      <c r="AA2413" t="s">
        <v>11482</v>
      </c>
      <c r="AB2413">
        <v>2.2200000000000002</v>
      </c>
      <c r="AC2413" t="s">
        <v>264</v>
      </c>
      <c r="AD2413">
        <v>82.51</v>
      </c>
      <c r="AE2413" t="s">
        <v>1567</v>
      </c>
      <c r="AF2413">
        <v>1.18</v>
      </c>
      <c r="AG2413">
        <v>0</v>
      </c>
      <c r="AH2413">
        <v>0</v>
      </c>
      <c r="AI2413" s="4">
        <v>40906</v>
      </c>
    </row>
    <row r="2414" spans="1:35">
      <c r="A2414">
        <v>2413</v>
      </c>
      <c r="B2414" t="str">
        <f>"300278"</f>
        <v>300278</v>
      </c>
      <c r="C2414" t="s">
        <v>11483</v>
      </c>
      <c r="D2414" s="4">
        <v>43190</v>
      </c>
      <c r="E2414" t="s">
        <v>1166</v>
      </c>
      <c r="F2414" t="s">
        <v>1666</v>
      </c>
      <c r="G2414" t="s">
        <v>2531</v>
      </c>
      <c r="H2414">
        <v>0.02</v>
      </c>
      <c r="I2414">
        <v>3</v>
      </c>
      <c r="J2414">
        <v>0.78</v>
      </c>
      <c r="K2414" t="s">
        <v>123</v>
      </c>
      <c r="L2414">
        <v>-44.66</v>
      </c>
      <c r="M2414" t="s">
        <v>4761</v>
      </c>
      <c r="N2414">
        <v>-3607</v>
      </c>
      <c r="O2414" t="s">
        <v>7946</v>
      </c>
      <c r="P2414" t="s">
        <v>8013</v>
      </c>
      <c r="Q2414">
        <v>-66.59</v>
      </c>
      <c r="R2414" t="s">
        <v>623</v>
      </c>
      <c r="S2414">
        <v>0.75</v>
      </c>
      <c r="T2414">
        <v>21.56</v>
      </c>
      <c r="U2414" t="s">
        <v>4889</v>
      </c>
      <c r="V2414" t="s">
        <v>356</v>
      </c>
      <c r="W2414" t="s">
        <v>2255</v>
      </c>
      <c r="X2414">
        <v>0.78</v>
      </c>
      <c r="Y2414" t="s">
        <v>371</v>
      </c>
      <c r="Z2414" t="s">
        <v>2291</v>
      </c>
      <c r="AA2414" t="s">
        <v>2063</v>
      </c>
      <c r="AB2414">
        <v>2.56</v>
      </c>
      <c r="AC2414" t="s">
        <v>1244</v>
      </c>
      <c r="AD2414">
        <v>36.049999999999997</v>
      </c>
      <c r="AE2414" t="s">
        <v>1319</v>
      </c>
      <c r="AF2414">
        <v>1.26</v>
      </c>
      <c r="AG2414">
        <v>0</v>
      </c>
      <c r="AH2414">
        <v>0</v>
      </c>
      <c r="AI2414" s="4">
        <v>40893</v>
      </c>
    </row>
    <row r="2415" spans="1:35">
      <c r="A2415">
        <v>2414</v>
      </c>
      <c r="B2415" t="str">
        <f>"002898"</f>
        <v>002898</v>
      </c>
      <c r="C2415" t="s">
        <v>11484</v>
      </c>
      <c r="D2415" s="4">
        <v>43190</v>
      </c>
      <c r="E2415" t="s">
        <v>1203</v>
      </c>
      <c r="F2415" t="s">
        <v>4429</v>
      </c>
      <c r="G2415">
        <v>1340</v>
      </c>
      <c r="H2415">
        <v>0.04</v>
      </c>
      <c r="I2415">
        <v>3.9</v>
      </c>
      <c r="J2415">
        <v>0.78</v>
      </c>
      <c r="K2415" t="s">
        <v>11485</v>
      </c>
      <c r="L2415">
        <v>108.32</v>
      </c>
      <c r="M2415" t="s">
        <v>2108</v>
      </c>
      <c r="N2415">
        <v>0</v>
      </c>
      <c r="O2415" t="s">
        <v>7252</v>
      </c>
      <c r="P2415" t="s">
        <v>1407</v>
      </c>
      <c r="Q2415">
        <v>319.27999999999997</v>
      </c>
      <c r="R2415" t="s">
        <v>1936</v>
      </c>
      <c r="S2415">
        <v>0.95</v>
      </c>
      <c r="T2415">
        <v>48.96</v>
      </c>
      <c r="U2415" t="s">
        <v>201</v>
      </c>
      <c r="V2415" t="s">
        <v>1721</v>
      </c>
      <c r="W2415" t="s">
        <v>1009</v>
      </c>
      <c r="X2415">
        <v>0.78</v>
      </c>
      <c r="Y2415" t="s">
        <v>2307</v>
      </c>
      <c r="Z2415" t="s">
        <v>5420</v>
      </c>
      <c r="AA2415" t="s">
        <v>536</v>
      </c>
      <c r="AB2415">
        <v>5.27</v>
      </c>
      <c r="AC2415" t="s">
        <v>857</v>
      </c>
      <c r="AD2415">
        <v>86.18</v>
      </c>
      <c r="AE2415" t="s">
        <v>145</v>
      </c>
      <c r="AF2415">
        <v>1.9</v>
      </c>
      <c r="AG2415">
        <v>0</v>
      </c>
      <c r="AH2415">
        <v>0</v>
      </c>
      <c r="AI2415" s="4">
        <v>42990</v>
      </c>
    </row>
    <row r="2416" spans="1:35">
      <c r="A2416">
        <v>2415</v>
      </c>
      <c r="B2416" t="str">
        <f>"002797"</f>
        <v>002797</v>
      </c>
      <c r="C2416" t="s">
        <v>11486</v>
      </c>
      <c r="D2416" s="4">
        <v>43190</v>
      </c>
      <c r="E2416" t="s">
        <v>1174</v>
      </c>
      <c r="F2416" t="s">
        <v>702</v>
      </c>
      <c r="G2416">
        <v>7175</v>
      </c>
      <c r="H2416">
        <v>0.02</v>
      </c>
      <c r="I2416">
        <v>2.5499999999999998</v>
      </c>
      <c r="J2416">
        <v>0.78</v>
      </c>
      <c r="K2416" t="s">
        <v>1563</v>
      </c>
      <c r="L2416">
        <v>20.23</v>
      </c>
      <c r="M2416" t="s">
        <v>8187</v>
      </c>
      <c r="N2416" t="s">
        <v>711</v>
      </c>
      <c r="O2416" t="s">
        <v>11487</v>
      </c>
      <c r="P2416" t="s">
        <v>11488</v>
      </c>
      <c r="Q2416">
        <v>0.55000000000000004</v>
      </c>
      <c r="R2416" t="s">
        <v>867</v>
      </c>
      <c r="S2416">
        <v>0.5</v>
      </c>
      <c r="T2416">
        <v>0</v>
      </c>
      <c r="U2416" t="s">
        <v>4455</v>
      </c>
      <c r="V2416">
        <v>0</v>
      </c>
      <c r="W2416" t="s">
        <v>920</v>
      </c>
      <c r="X2416">
        <v>0.78</v>
      </c>
      <c r="Y2416" t="s">
        <v>2896</v>
      </c>
      <c r="Z2416">
        <v>0</v>
      </c>
      <c r="AA2416">
        <v>0</v>
      </c>
      <c r="AB2416">
        <v>2.65</v>
      </c>
      <c r="AC2416" t="s">
        <v>2668</v>
      </c>
      <c r="AD2416">
        <v>25.3</v>
      </c>
      <c r="AE2416" t="s">
        <v>512</v>
      </c>
      <c r="AF2416">
        <v>0.74</v>
      </c>
      <c r="AG2416">
        <v>0</v>
      </c>
      <c r="AH2416">
        <v>0</v>
      </c>
      <c r="AI2416" s="4">
        <v>42501</v>
      </c>
    </row>
    <row r="2417" spans="1:35">
      <c r="A2417">
        <v>2416</v>
      </c>
      <c r="B2417" t="str">
        <f>"002684"</f>
        <v>002684</v>
      </c>
      <c r="C2417" t="s">
        <v>11489</v>
      </c>
      <c r="D2417" s="4">
        <v>43190</v>
      </c>
      <c r="E2417" t="s">
        <v>3420</v>
      </c>
      <c r="F2417" t="s">
        <v>69</v>
      </c>
      <c r="G2417" t="s">
        <v>5991</v>
      </c>
      <c r="H2417">
        <v>0.04</v>
      </c>
      <c r="I2417">
        <v>4.78</v>
      </c>
      <c r="J2417">
        <v>0.78</v>
      </c>
      <c r="K2417" t="s">
        <v>3368</v>
      </c>
      <c r="L2417">
        <v>34.68</v>
      </c>
      <c r="M2417" t="s">
        <v>11490</v>
      </c>
      <c r="N2417" t="s">
        <v>11491</v>
      </c>
      <c r="O2417" t="s">
        <v>11492</v>
      </c>
      <c r="P2417" t="s">
        <v>10396</v>
      </c>
      <c r="Q2417">
        <v>504.76</v>
      </c>
      <c r="R2417" t="s">
        <v>677</v>
      </c>
      <c r="S2417">
        <v>0.21</v>
      </c>
      <c r="T2417">
        <v>24.54</v>
      </c>
      <c r="U2417" t="s">
        <v>2066</v>
      </c>
      <c r="V2417" t="s">
        <v>6982</v>
      </c>
      <c r="W2417" t="s">
        <v>2291</v>
      </c>
      <c r="X2417">
        <v>0.78</v>
      </c>
      <c r="Y2417" t="s">
        <v>4188</v>
      </c>
      <c r="Z2417" t="s">
        <v>1281</v>
      </c>
      <c r="AA2417" t="s">
        <v>141</v>
      </c>
      <c r="AB2417">
        <v>1.64</v>
      </c>
      <c r="AC2417" t="s">
        <v>1386</v>
      </c>
      <c r="AD2417">
        <v>24.56</v>
      </c>
      <c r="AE2417" t="s">
        <v>1255</v>
      </c>
      <c r="AF2417">
        <v>3.54</v>
      </c>
      <c r="AG2417">
        <v>0</v>
      </c>
      <c r="AH2417">
        <v>0</v>
      </c>
      <c r="AI2417" s="4">
        <v>41072</v>
      </c>
    </row>
    <row r="2418" spans="1:35">
      <c r="A2418">
        <v>2417</v>
      </c>
      <c r="B2418" t="str">
        <f>"002577"</f>
        <v>002577</v>
      </c>
      <c r="C2418" t="s">
        <v>11493</v>
      </c>
      <c r="D2418" s="4">
        <v>43190</v>
      </c>
      <c r="E2418" t="s">
        <v>1067</v>
      </c>
      <c r="F2418" t="s">
        <v>1609</v>
      </c>
      <c r="G2418">
        <v>7141</v>
      </c>
      <c r="H2418">
        <v>0.03</v>
      </c>
      <c r="I2418">
        <v>4.21</v>
      </c>
      <c r="J2418">
        <v>0.78</v>
      </c>
      <c r="K2418" t="s">
        <v>2115</v>
      </c>
      <c r="L2418">
        <v>-15.07</v>
      </c>
      <c r="M2418" t="s">
        <v>8277</v>
      </c>
      <c r="N2418" t="s">
        <v>5235</v>
      </c>
      <c r="O2418" t="s">
        <v>9462</v>
      </c>
      <c r="P2418" t="s">
        <v>9316</v>
      </c>
      <c r="Q2418">
        <v>-18.02</v>
      </c>
      <c r="R2418" t="s">
        <v>11494</v>
      </c>
      <c r="S2418">
        <v>-0.28999999999999998</v>
      </c>
      <c r="T2418">
        <v>26.7</v>
      </c>
      <c r="U2418" t="s">
        <v>1307</v>
      </c>
      <c r="V2418" t="s">
        <v>1722</v>
      </c>
      <c r="W2418" t="s">
        <v>1733</v>
      </c>
      <c r="X2418">
        <v>0.78</v>
      </c>
      <c r="Y2418" t="s">
        <v>84</v>
      </c>
      <c r="Z2418" t="s">
        <v>2115</v>
      </c>
      <c r="AA2418" t="s">
        <v>7598</v>
      </c>
      <c r="AB2418">
        <v>3.3</v>
      </c>
      <c r="AC2418" t="s">
        <v>1033</v>
      </c>
      <c r="AD2418">
        <v>90.28</v>
      </c>
      <c r="AE2418" t="s">
        <v>2678</v>
      </c>
      <c r="AF2418">
        <v>3.39</v>
      </c>
      <c r="AG2418">
        <v>0</v>
      </c>
      <c r="AH2418">
        <v>0</v>
      </c>
      <c r="AI2418" s="4">
        <v>40661</v>
      </c>
    </row>
    <row r="2419" spans="1:35">
      <c r="A2419">
        <v>2418</v>
      </c>
      <c r="B2419" t="str">
        <f>"002071"</f>
        <v>002071</v>
      </c>
      <c r="C2419" t="s">
        <v>11495</v>
      </c>
      <c r="D2419" s="4">
        <v>43190</v>
      </c>
      <c r="E2419" t="s">
        <v>1565</v>
      </c>
      <c r="F2419" t="s">
        <v>2230</v>
      </c>
      <c r="G2419" t="s">
        <v>2135</v>
      </c>
      <c r="H2419">
        <v>0.04</v>
      </c>
      <c r="I2419">
        <v>1.28</v>
      </c>
      <c r="J2419">
        <v>0.78</v>
      </c>
      <c r="K2419" t="s">
        <v>1245</v>
      </c>
      <c r="L2419">
        <v>100.23</v>
      </c>
      <c r="M2419" t="s">
        <v>8404</v>
      </c>
      <c r="N2419" t="s">
        <v>11496</v>
      </c>
      <c r="O2419" t="s">
        <v>2129</v>
      </c>
      <c r="P2419" t="s">
        <v>4323</v>
      </c>
      <c r="Q2419">
        <v>49.31</v>
      </c>
      <c r="R2419" t="s">
        <v>496</v>
      </c>
      <c r="S2419">
        <v>1.44</v>
      </c>
      <c r="T2419">
        <v>37.21</v>
      </c>
      <c r="U2419" t="s">
        <v>1164</v>
      </c>
      <c r="V2419" t="s">
        <v>76</v>
      </c>
      <c r="W2419" t="s">
        <v>36</v>
      </c>
      <c r="X2419">
        <v>0.78</v>
      </c>
      <c r="Y2419" t="s">
        <v>1313</v>
      </c>
      <c r="Z2419" t="s">
        <v>1213</v>
      </c>
      <c r="AA2419" t="s">
        <v>1939</v>
      </c>
      <c r="AB2419">
        <v>6.13</v>
      </c>
      <c r="AC2419" t="s">
        <v>4552</v>
      </c>
      <c r="AD2419">
        <v>18.02</v>
      </c>
      <c r="AE2419" t="s">
        <v>1398</v>
      </c>
      <c r="AF2419">
        <v>-1.1599999999999999</v>
      </c>
      <c r="AG2419">
        <v>0</v>
      </c>
      <c r="AH2419">
        <v>0</v>
      </c>
      <c r="AI2419" s="4">
        <v>39002</v>
      </c>
    </row>
    <row r="2420" spans="1:35">
      <c r="A2420">
        <v>2419</v>
      </c>
      <c r="B2420" t="str">
        <f>"600982"</f>
        <v>600982</v>
      </c>
      <c r="C2420" t="s">
        <v>11497</v>
      </c>
      <c r="D2420" s="4">
        <v>43190</v>
      </c>
      <c r="E2420" t="s">
        <v>3632</v>
      </c>
      <c r="F2420" t="s">
        <v>3632</v>
      </c>
      <c r="G2420" t="s">
        <v>4774</v>
      </c>
      <c r="H2420">
        <v>0.03</v>
      </c>
      <c r="I2420">
        <v>3.34</v>
      </c>
      <c r="J2420">
        <v>0.77</v>
      </c>
      <c r="K2420" t="s">
        <v>800</v>
      </c>
      <c r="L2420">
        <v>-10.4</v>
      </c>
      <c r="M2420" t="s">
        <v>3798</v>
      </c>
      <c r="N2420" t="s">
        <v>6026</v>
      </c>
      <c r="O2420" t="s">
        <v>9370</v>
      </c>
      <c r="P2420" t="s">
        <v>4894</v>
      </c>
      <c r="Q2420">
        <v>-46.23</v>
      </c>
      <c r="R2420" t="s">
        <v>1935</v>
      </c>
      <c r="S2420">
        <v>0.71</v>
      </c>
      <c r="T2420">
        <v>12.94</v>
      </c>
      <c r="U2420" t="s">
        <v>2694</v>
      </c>
      <c r="V2420" t="s">
        <v>826</v>
      </c>
      <c r="W2420" t="s">
        <v>782</v>
      </c>
      <c r="X2420">
        <v>0.77</v>
      </c>
      <c r="Y2420" t="s">
        <v>141</v>
      </c>
      <c r="Z2420" t="s">
        <v>1084</v>
      </c>
      <c r="AA2420" t="s">
        <v>2230</v>
      </c>
      <c r="AB2420">
        <v>0.92</v>
      </c>
      <c r="AC2420" t="s">
        <v>1943</v>
      </c>
      <c r="AD2420">
        <v>59.83</v>
      </c>
      <c r="AE2420" t="s">
        <v>407</v>
      </c>
      <c r="AF2420">
        <v>1.4</v>
      </c>
      <c r="AG2420">
        <v>0</v>
      </c>
      <c r="AH2420">
        <v>0</v>
      </c>
      <c r="AI2420" s="4">
        <v>38174</v>
      </c>
    </row>
    <row r="2421" spans="1:35">
      <c r="A2421">
        <v>2420</v>
      </c>
      <c r="B2421" t="str">
        <f>"600967"</f>
        <v>600967</v>
      </c>
      <c r="C2421" t="s">
        <v>11498</v>
      </c>
      <c r="D2421" s="4">
        <v>43190</v>
      </c>
      <c r="E2421" t="s">
        <v>115</v>
      </c>
      <c r="F2421" t="s">
        <v>4539</v>
      </c>
      <c r="G2421" t="s">
        <v>5500</v>
      </c>
      <c r="H2421">
        <v>0.04</v>
      </c>
      <c r="I2421">
        <v>4.66</v>
      </c>
      <c r="J2421">
        <v>0.77</v>
      </c>
      <c r="K2421" t="s">
        <v>833</v>
      </c>
      <c r="L2421">
        <v>0.35</v>
      </c>
      <c r="M2421" t="s">
        <v>11499</v>
      </c>
      <c r="N2421" t="s">
        <v>11500</v>
      </c>
      <c r="O2421" t="s">
        <v>1356</v>
      </c>
      <c r="P2421" t="s">
        <v>11501</v>
      </c>
      <c r="Q2421">
        <v>-13.22</v>
      </c>
      <c r="R2421" t="s">
        <v>1843</v>
      </c>
      <c r="S2421">
        <v>1.21</v>
      </c>
      <c r="T2421">
        <v>11.69</v>
      </c>
      <c r="U2421" t="s">
        <v>3952</v>
      </c>
      <c r="V2421" t="s">
        <v>1741</v>
      </c>
      <c r="W2421" t="s">
        <v>418</v>
      </c>
      <c r="X2421">
        <v>0.77</v>
      </c>
      <c r="Y2421" t="s">
        <v>1089</v>
      </c>
      <c r="Z2421" t="s">
        <v>466</v>
      </c>
      <c r="AA2421" t="s">
        <v>2110</v>
      </c>
      <c r="AB2421">
        <v>2.36</v>
      </c>
      <c r="AC2421" t="s">
        <v>5177</v>
      </c>
      <c r="AD2421">
        <v>39.56</v>
      </c>
      <c r="AE2421" t="s">
        <v>588</v>
      </c>
      <c r="AF2421">
        <v>2.34</v>
      </c>
      <c r="AG2421">
        <v>0</v>
      </c>
      <c r="AH2421">
        <v>0</v>
      </c>
      <c r="AI2421" s="4">
        <v>38125</v>
      </c>
    </row>
    <row r="2422" spans="1:35">
      <c r="A2422">
        <v>2421</v>
      </c>
      <c r="B2422" t="str">
        <f>"600836"</f>
        <v>600836</v>
      </c>
      <c r="C2422" t="s">
        <v>11502</v>
      </c>
      <c r="D2422" s="4">
        <v>43190</v>
      </c>
      <c r="E2422" t="s">
        <v>1898</v>
      </c>
      <c r="F2422" t="s">
        <v>1898</v>
      </c>
      <c r="G2422">
        <v>8467</v>
      </c>
      <c r="H2422">
        <v>0.01</v>
      </c>
      <c r="I2422">
        <v>1.34</v>
      </c>
      <c r="J2422">
        <v>0.77</v>
      </c>
      <c r="K2422" t="s">
        <v>2608</v>
      </c>
      <c r="L2422">
        <v>61.33</v>
      </c>
      <c r="M2422" t="s">
        <v>6848</v>
      </c>
      <c r="N2422" t="s">
        <v>6402</v>
      </c>
      <c r="O2422" t="s">
        <v>8474</v>
      </c>
      <c r="P2422" t="s">
        <v>10410</v>
      </c>
      <c r="Q2422">
        <v>229.47</v>
      </c>
      <c r="R2422" t="s">
        <v>1365</v>
      </c>
      <c r="S2422">
        <v>0.17</v>
      </c>
      <c r="T2422">
        <v>17.07</v>
      </c>
      <c r="U2422" t="s">
        <v>249</v>
      </c>
      <c r="V2422" t="s">
        <v>712</v>
      </c>
      <c r="W2422" t="s">
        <v>1436</v>
      </c>
      <c r="X2422">
        <v>0.77</v>
      </c>
      <c r="Y2422" t="s">
        <v>316</v>
      </c>
      <c r="Z2422" t="s">
        <v>691</v>
      </c>
      <c r="AA2422" t="s">
        <v>1964</v>
      </c>
      <c r="AB2422">
        <v>2.82</v>
      </c>
      <c r="AC2422" t="s">
        <v>1215</v>
      </c>
      <c r="AD2422">
        <v>27.72</v>
      </c>
      <c r="AE2422" t="s">
        <v>2307</v>
      </c>
      <c r="AF2422">
        <v>0.15</v>
      </c>
      <c r="AG2422">
        <v>0</v>
      </c>
      <c r="AH2422">
        <v>0</v>
      </c>
      <c r="AI2422" s="4">
        <v>34389</v>
      </c>
    </row>
    <row r="2423" spans="1:35">
      <c r="A2423">
        <v>2422</v>
      </c>
      <c r="B2423" t="str">
        <f>"600783"</f>
        <v>600783</v>
      </c>
      <c r="C2423" t="s">
        <v>11503</v>
      </c>
      <c r="D2423" s="4">
        <v>43190</v>
      </c>
      <c r="E2423" t="s">
        <v>568</v>
      </c>
      <c r="F2423" t="s">
        <v>568</v>
      </c>
      <c r="G2423" t="s">
        <v>2323</v>
      </c>
      <c r="H2423">
        <v>0.04</v>
      </c>
      <c r="I2423">
        <v>4.82</v>
      </c>
      <c r="J2423">
        <v>0.77</v>
      </c>
      <c r="K2423" t="s">
        <v>11504</v>
      </c>
      <c r="L2423">
        <v>5.42</v>
      </c>
      <c r="M2423" t="s">
        <v>5756</v>
      </c>
      <c r="N2423" t="s">
        <v>11505</v>
      </c>
      <c r="O2423" t="s">
        <v>11240</v>
      </c>
      <c r="P2423" t="s">
        <v>11462</v>
      </c>
      <c r="Q2423">
        <v>63.57</v>
      </c>
      <c r="R2423" t="s">
        <v>747</v>
      </c>
      <c r="S2423">
        <v>2.08</v>
      </c>
      <c r="T2423">
        <v>25.87</v>
      </c>
      <c r="U2423" t="s">
        <v>1947</v>
      </c>
      <c r="V2423" t="s">
        <v>926</v>
      </c>
      <c r="W2423" t="s">
        <v>372</v>
      </c>
      <c r="X2423">
        <v>0.77</v>
      </c>
      <c r="Y2423" t="s">
        <v>1449</v>
      </c>
      <c r="Z2423" t="s">
        <v>2733</v>
      </c>
      <c r="AA2423" t="s">
        <v>1843</v>
      </c>
      <c r="AB2423">
        <v>2.0099999999999998</v>
      </c>
      <c r="AC2423" t="s">
        <v>1593</v>
      </c>
      <c r="AD2423">
        <v>59.81</v>
      </c>
      <c r="AE2423" t="s">
        <v>323</v>
      </c>
      <c r="AF2423">
        <v>1.49</v>
      </c>
      <c r="AG2423">
        <v>0</v>
      </c>
      <c r="AH2423">
        <v>0</v>
      </c>
      <c r="AI2423" s="4">
        <v>35424</v>
      </c>
    </row>
    <row r="2424" spans="1:35">
      <c r="A2424">
        <v>2423</v>
      </c>
      <c r="B2424" t="str">
        <f>"600171"</f>
        <v>600171</v>
      </c>
      <c r="C2424" t="s">
        <v>11506</v>
      </c>
      <c r="D2424" s="4">
        <v>43190</v>
      </c>
      <c r="E2424" t="s">
        <v>489</v>
      </c>
      <c r="F2424" t="s">
        <v>2089</v>
      </c>
      <c r="G2424">
        <v>7456</v>
      </c>
      <c r="H2424">
        <v>0.03</v>
      </c>
      <c r="I2424">
        <v>3.42</v>
      </c>
      <c r="J2424">
        <v>0.77</v>
      </c>
      <c r="K2424" t="s">
        <v>64</v>
      </c>
      <c r="L2424">
        <v>45.3</v>
      </c>
      <c r="M2424" t="s">
        <v>8643</v>
      </c>
      <c r="N2424" t="s">
        <v>11507</v>
      </c>
      <c r="O2424" t="s">
        <v>11340</v>
      </c>
      <c r="P2424" t="s">
        <v>9770</v>
      </c>
      <c r="Q2424">
        <v>26.01</v>
      </c>
      <c r="R2424" t="s">
        <v>335</v>
      </c>
      <c r="S2424">
        <v>0.55000000000000004</v>
      </c>
      <c r="T2424">
        <v>26.36</v>
      </c>
      <c r="U2424" t="s">
        <v>158</v>
      </c>
      <c r="V2424" t="s">
        <v>183</v>
      </c>
      <c r="W2424" t="s">
        <v>11508</v>
      </c>
      <c r="X2424">
        <v>0.77</v>
      </c>
      <c r="Y2424" t="s">
        <v>682</v>
      </c>
      <c r="Z2424" t="s">
        <v>321</v>
      </c>
      <c r="AA2424" t="s">
        <v>11509</v>
      </c>
      <c r="AB2424">
        <v>3.52</v>
      </c>
      <c r="AC2424" t="s">
        <v>706</v>
      </c>
      <c r="AD2424">
        <v>90.78</v>
      </c>
      <c r="AE2424" t="s">
        <v>613</v>
      </c>
      <c r="AF2424">
        <v>1.66</v>
      </c>
      <c r="AG2424">
        <v>0</v>
      </c>
      <c r="AH2424">
        <v>0</v>
      </c>
      <c r="AI2424" s="4">
        <v>36062</v>
      </c>
    </row>
    <row r="2425" spans="1:35">
      <c r="A2425">
        <v>2424</v>
      </c>
      <c r="B2425" t="str">
        <f>"300420"</f>
        <v>300420</v>
      </c>
      <c r="C2425" t="s">
        <v>11510</v>
      </c>
      <c r="D2425" s="4">
        <v>43190</v>
      </c>
      <c r="E2425" t="s">
        <v>1872</v>
      </c>
      <c r="F2425" t="s">
        <v>218</v>
      </c>
      <c r="G2425" t="s">
        <v>3064</v>
      </c>
      <c r="H2425">
        <v>0.02</v>
      </c>
      <c r="I2425">
        <v>1.99</v>
      </c>
      <c r="J2425">
        <v>0.77</v>
      </c>
      <c r="K2425" t="s">
        <v>1724</v>
      </c>
      <c r="L2425">
        <v>42.65</v>
      </c>
      <c r="M2425" t="s">
        <v>11511</v>
      </c>
      <c r="N2425" t="s">
        <v>11512</v>
      </c>
      <c r="O2425" t="s">
        <v>7671</v>
      </c>
      <c r="P2425" t="s">
        <v>11513</v>
      </c>
      <c r="Q2425">
        <v>13.69</v>
      </c>
      <c r="R2425" t="s">
        <v>217</v>
      </c>
      <c r="S2425">
        <v>0.32</v>
      </c>
      <c r="T2425">
        <v>34.83</v>
      </c>
      <c r="U2425" t="s">
        <v>712</v>
      </c>
      <c r="V2425" t="s">
        <v>354</v>
      </c>
      <c r="W2425" t="s">
        <v>292</v>
      </c>
      <c r="X2425">
        <v>0.77</v>
      </c>
      <c r="Y2425" t="s">
        <v>318</v>
      </c>
      <c r="Z2425" t="s">
        <v>289</v>
      </c>
      <c r="AA2425" t="s">
        <v>9519</v>
      </c>
      <c r="AB2425">
        <v>2.0699999999999998</v>
      </c>
      <c r="AC2425" t="s">
        <v>584</v>
      </c>
      <c r="AD2425">
        <v>72</v>
      </c>
      <c r="AE2425" t="s">
        <v>1405</v>
      </c>
      <c r="AF2425">
        <v>0.66</v>
      </c>
      <c r="AG2425">
        <v>0</v>
      </c>
      <c r="AH2425">
        <v>0</v>
      </c>
      <c r="AI2425" s="4">
        <v>42052</v>
      </c>
    </row>
    <row r="2426" spans="1:35">
      <c r="A2426">
        <v>2425</v>
      </c>
      <c r="B2426" t="str">
        <f>"300290"</f>
        <v>300290</v>
      </c>
      <c r="C2426" t="s">
        <v>11514</v>
      </c>
      <c r="D2426" s="4">
        <v>43190</v>
      </c>
      <c r="E2426" t="s">
        <v>1578</v>
      </c>
      <c r="F2426" t="s">
        <v>798</v>
      </c>
      <c r="G2426" t="s">
        <v>6659</v>
      </c>
      <c r="H2426">
        <v>0.02</v>
      </c>
      <c r="I2426">
        <v>2.6</v>
      </c>
      <c r="J2426">
        <v>0.77</v>
      </c>
      <c r="K2426" t="s">
        <v>2796</v>
      </c>
      <c r="L2426">
        <v>10.61</v>
      </c>
      <c r="M2426" t="s">
        <v>11419</v>
      </c>
      <c r="N2426">
        <v>0</v>
      </c>
      <c r="O2426" t="s">
        <v>2998</v>
      </c>
      <c r="P2426" t="s">
        <v>11515</v>
      </c>
      <c r="Q2426">
        <v>52.33</v>
      </c>
      <c r="R2426" t="s">
        <v>219</v>
      </c>
      <c r="S2426">
        <v>0.71</v>
      </c>
      <c r="T2426">
        <v>27.45</v>
      </c>
      <c r="U2426" t="s">
        <v>1496</v>
      </c>
      <c r="V2426" t="s">
        <v>2095</v>
      </c>
      <c r="W2426" t="s">
        <v>3111</v>
      </c>
      <c r="X2426">
        <v>0.77</v>
      </c>
      <c r="Y2426" t="s">
        <v>1152</v>
      </c>
      <c r="Z2426" t="s">
        <v>985</v>
      </c>
      <c r="AA2426" t="s">
        <v>9009</v>
      </c>
      <c r="AB2426">
        <v>2.59</v>
      </c>
      <c r="AC2426" t="s">
        <v>3802</v>
      </c>
      <c r="AD2426">
        <v>70.040000000000006</v>
      </c>
      <c r="AE2426" t="s">
        <v>642</v>
      </c>
      <c r="AF2426">
        <v>0.84</v>
      </c>
      <c r="AG2426">
        <v>0</v>
      </c>
      <c r="AH2426">
        <v>0</v>
      </c>
      <c r="AI2426" s="4">
        <v>40955</v>
      </c>
    </row>
    <row r="2427" spans="1:35">
      <c r="A2427">
        <v>2426</v>
      </c>
      <c r="B2427" t="str">
        <f>"300275"</f>
        <v>300275</v>
      </c>
      <c r="C2427" t="s">
        <v>11516</v>
      </c>
      <c r="D2427" s="4">
        <v>43190</v>
      </c>
      <c r="E2427" t="s">
        <v>2031</v>
      </c>
      <c r="F2427" t="s">
        <v>677</v>
      </c>
      <c r="G2427">
        <v>7676</v>
      </c>
      <c r="H2427">
        <v>0.03</v>
      </c>
      <c r="I2427">
        <v>3.32</v>
      </c>
      <c r="J2427">
        <v>0.77</v>
      </c>
      <c r="K2427" t="s">
        <v>11517</v>
      </c>
      <c r="L2427">
        <v>-74.61</v>
      </c>
      <c r="M2427" t="s">
        <v>7482</v>
      </c>
      <c r="N2427" t="s">
        <v>7600</v>
      </c>
      <c r="O2427" t="s">
        <v>5255</v>
      </c>
      <c r="P2427" t="s">
        <v>8409</v>
      </c>
      <c r="Q2427">
        <v>-84.82</v>
      </c>
      <c r="R2427" t="s">
        <v>1626</v>
      </c>
      <c r="S2427">
        <v>0.72</v>
      </c>
      <c r="T2427">
        <v>51.01</v>
      </c>
      <c r="U2427" t="s">
        <v>4754</v>
      </c>
      <c r="V2427" t="s">
        <v>616</v>
      </c>
      <c r="W2427" t="s">
        <v>1627</v>
      </c>
      <c r="X2427">
        <v>0.77</v>
      </c>
      <c r="Y2427" t="s">
        <v>1609</v>
      </c>
      <c r="Z2427" t="s">
        <v>203</v>
      </c>
      <c r="AA2427" t="s">
        <v>11518</v>
      </c>
      <c r="AB2427">
        <v>2.62</v>
      </c>
      <c r="AC2427" t="s">
        <v>1166</v>
      </c>
      <c r="AD2427">
        <v>54.9</v>
      </c>
      <c r="AE2427" t="s">
        <v>509</v>
      </c>
      <c r="AF2427">
        <v>1.37</v>
      </c>
      <c r="AG2427">
        <v>0</v>
      </c>
      <c r="AH2427">
        <v>0</v>
      </c>
      <c r="AI2427" s="4">
        <v>40849</v>
      </c>
    </row>
    <row r="2428" spans="1:35">
      <c r="A2428">
        <v>2427</v>
      </c>
      <c r="B2428" t="str">
        <f>"002902"</f>
        <v>002902</v>
      </c>
      <c r="C2428" t="s">
        <v>11519</v>
      </c>
      <c r="D2428" s="4">
        <v>43190</v>
      </c>
      <c r="E2428" t="s">
        <v>1974</v>
      </c>
      <c r="F2428" t="s">
        <v>7686</v>
      </c>
      <c r="G2428">
        <v>1440</v>
      </c>
      <c r="H2428">
        <v>0.06</v>
      </c>
      <c r="I2428">
        <v>7.38</v>
      </c>
      <c r="J2428">
        <v>0.77</v>
      </c>
      <c r="K2428" t="s">
        <v>139</v>
      </c>
      <c r="L2428">
        <v>-3.81</v>
      </c>
      <c r="M2428" t="s">
        <v>170</v>
      </c>
      <c r="N2428" t="s">
        <v>621</v>
      </c>
      <c r="O2428" t="s">
        <v>9081</v>
      </c>
      <c r="P2428" t="s">
        <v>10535</v>
      </c>
      <c r="Q2428">
        <v>-44.83</v>
      </c>
      <c r="R2428" t="s">
        <v>1378</v>
      </c>
      <c r="S2428">
        <v>2.33</v>
      </c>
      <c r="T2428">
        <v>15.79</v>
      </c>
      <c r="U2428" t="s">
        <v>646</v>
      </c>
      <c r="V2428" t="s">
        <v>176</v>
      </c>
      <c r="W2428" t="s">
        <v>2889</v>
      </c>
      <c r="X2428">
        <v>0.77</v>
      </c>
      <c r="Y2428" t="s">
        <v>2095</v>
      </c>
      <c r="Z2428" t="s">
        <v>2095</v>
      </c>
      <c r="AA2428" t="s">
        <v>11520</v>
      </c>
      <c r="AB2428">
        <v>3.86</v>
      </c>
      <c r="AC2428" t="s">
        <v>407</v>
      </c>
      <c r="AD2428">
        <v>61.82</v>
      </c>
      <c r="AE2428" t="s">
        <v>269</v>
      </c>
      <c r="AF2428">
        <v>3.74</v>
      </c>
      <c r="AG2428">
        <v>0</v>
      </c>
      <c r="AH2428">
        <v>0</v>
      </c>
      <c r="AI2428" s="4">
        <v>43007</v>
      </c>
    </row>
    <row r="2429" spans="1:35">
      <c r="A2429">
        <v>2428</v>
      </c>
      <c r="B2429" t="str">
        <f>"002719"</f>
        <v>002719</v>
      </c>
      <c r="C2429" t="s">
        <v>11521</v>
      </c>
      <c r="D2429" s="4">
        <v>43190</v>
      </c>
      <c r="E2429" t="s">
        <v>600</v>
      </c>
      <c r="F2429" t="s">
        <v>11522</v>
      </c>
      <c r="G2429">
        <v>8311</v>
      </c>
      <c r="H2429">
        <v>0.08</v>
      </c>
      <c r="I2429">
        <v>10.64</v>
      </c>
      <c r="J2429">
        <v>0.77</v>
      </c>
      <c r="K2429" t="s">
        <v>84</v>
      </c>
      <c r="L2429">
        <v>3.97</v>
      </c>
      <c r="M2429" t="s">
        <v>6746</v>
      </c>
      <c r="N2429" t="s">
        <v>8808</v>
      </c>
      <c r="O2429" t="s">
        <v>8552</v>
      </c>
      <c r="P2429" t="s">
        <v>11523</v>
      </c>
      <c r="Q2429">
        <v>194.38</v>
      </c>
      <c r="R2429" t="s">
        <v>1206</v>
      </c>
      <c r="S2429">
        <v>2.77</v>
      </c>
      <c r="T2429">
        <v>41.28</v>
      </c>
      <c r="U2429" t="s">
        <v>173</v>
      </c>
      <c r="V2429" t="s">
        <v>568</v>
      </c>
      <c r="W2429" t="s">
        <v>1364</v>
      </c>
      <c r="X2429">
        <v>0.77</v>
      </c>
      <c r="Y2429" t="s">
        <v>1995</v>
      </c>
      <c r="Z2429" t="s">
        <v>998</v>
      </c>
      <c r="AA2429" t="s">
        <v>6603</v>
      </c>
      <c r="AB2429">
        <v>2.31</v>
      </c>
      <c r="AC2429" t="s">
        <v>613</v>
      </c>
      <c r="AD2429">
        <v>81.39</v>
      </c>
      <c r="AE2429" t="s">
        <v>175</v>
      </c>
      <c r="AF2429">
        <v>6.8</v>
      </c>
      <c r="AG2429">
        <v>0</v>
      </c>
      <c r="AH2429">
        <v>0</v>
      </c>
      <c r="AI2429" s="4">
        <v>41667</v>
      </c>
    </row>
    <row r="2430" spans="1:35">
      <c r="A2430">
        <v>2429</v>
      </c>
      <c r="B2430" t="str">
        <f>"002467"</f>
        <v>002467</v>
      </c>
      <c r="C2430" t="s">
        <v>11524</v>
      </c>
      <c r="D2430" s="4">
        <v>43190</v>
      </c>
      <c r="E2430" t="s">
        <v>130</v>
      </c>
      <c r="F2430" t="s">
        <v>1941</v>
      </c>
      <c r="G2430">
        <v>7350</v>
      </c>
      <c r="H2430">
        <v>0.02</v>
      </c>
      <c r="I2430">
        <v>2.2999999999999998</v>
      </c>
      <c r="J2430">
        <v>0.77</v>
      </c>
      <c r="K2430" t="s">
        <v>293</v>
      </c>
      <c r="L2430">
        <v>-2.62</v>
      </c>
      <c r="M2430" t="s">
        <v>10604</v>
      </c>
      <c r="N2430" t="s">
        <v>10597</v>
      </c>
      <c r="O2430" t="s">
        <v>11525</v>
      </c>
      <c r="P2430" t="s">
        <v>6860</v>
      </c>
      <c r="Q2430">
        <v>-52.76</v>
      </c>
      <c r="R2430" t="s">
        <v>11526</v>
      </c>
      <c r="S2430">
        <v>0.1</v>
      </c>
      <c r="T2430">
        <v>61.65</v>
      </c>
      <c r="U2430" t="s">
        <v>1029</v>
      </c>
      <c r="V2430" t="s">
        <v>2813</v>
      </c>
      <c r="W2430" t="s">
        <v>2031</v>
      </c>
      <c r="X2430">
        <v>0.77</v>
      </c>
      <c r="Y2430" t="s">
        <v>365</v>
      </c>
      <c r="Z2430" t="s">
        <v>1682</v>
      </c>
      <c r="AA2430" t="s">
        <v>9414</v>
      </c>
      <c r="AB2430">
        <v>2.2999999999999998</v>
      </c>
      <c r="AC2430" t="s">
        <v>1455</v>
      </c>
      <c r="AD2430">
        <v>78.63</v>
      </c>
      <c r="AE2430" t="s">
        <v>1575</v>
      </c>
      <c r="AF2430">
        <v>1.06</v>
      </c>
      <c r="AG2430">
        <v>0</v>
      </c>
      <c r="AH2430">
        <v>0</v>
      </c>
      <c r="AI2430" s="4">
        <v>40429</v>
      </c>
    </row>
    <row r="2431" spans="1:35">
      <c r="A2431">
        <v>2430</v>
      </c>
      <c r="B2431" t="str">
        <f>"002413"</f>
        <v>002413</v>
      </c>
      <c r="C2431" t="s">
        <v>11527</v>
      </c>
      <c r="D2431" s="4">
        <v>43190</v>
      </c>
      <c r="E2431" t="s">
        <v>613</v>
      </c>
      <c r="F2431" t="s">
        <v>2790</v>
      </c>
      <c r="G2431" t="s">
        <v>5531</v>
      </c>
      <c r="H2431">
        <v>0.02</v>
      </c>
      <c r="I2431">
        <v>3.39</v>
      </c>
      <c r="J2431">
        <v>0.77</v>
      </c>
      <c r="K2431" t="s">
        <v>86</v>
      </c>
      <c r="L2431">
        <v>8.49</v>
      </c>
      <c r="M2431" t="s">
        <v>11528</v>
      </c>
      <c r="N2431" t="s">
        <v>11529</v>
      </c>
      <c r="O2431" t="s">
        <v>9217</v>
      </c>
      <c r="P2431" t="s">
        <v>11530</v>
      </c>
      <c r="Q2431">
        <v>3.6</v>
      </c>
      <c r="R2431" t="s">
        <v>1382</v>
      </c>
      <c r="S2431">
        <v>0.43</v>
      </c>
      <c r="T2431">
        <v>57.82</v>
      </c>
      <c r="U2431" t="s">
        <v>351</v>
      </c>
      <c r="V2431" t="s">
        <v>1920</v>
      </c>
      <c r="W2431" t="s">
        <v>9003</v>
      </c>
      <c r="X2431">
        <v>0.77</v>
      </c>
      <c r="Y2431" t="s">
        <v>2112</v>
      </c>
      <c r="Z2431" t="s">
        <v>349</v>
      </c>
      <c r="AA2431" t="s">
        <v>11531</v>
      </c>
      <c r="AB2431">
        <v>1.41</v>
      </c>
      <c r="AC2431" t="s">
        <v>2833</v>
      </c>
      <c r="AD2431">
        <v>87.13</v>
      </c>
      <c r="AE2431" t="s">
        <v>275</v>
      </c>
      <c r="AF2431">
        <v>1.92</v>
      </c>
      <c r="AG2431">
        <v>0</v>
      </c>
      <c r="AH2431">
        <v>0</v>
      </c>
      <c r="AI2431" s="4">
        <v>40326</v>
      </c>
    </row>
    <row r="2432" spans="1:35">
      <c r="A2432">
        <v>2431</v>
      </c>
      <c r="B2432" t="str">
        <f>"002328"</f>
        <v>002328</v>
      </c>
      <c r="C2432" t="s">
        <v>11532</v>
      </c>
      <c r="D2432" s="4">
        <v>43190</v>
      </c>
      <c r="E2432" t="s">
        <v>545</v>
      </c>
      <c r="F2432" t="s">
        <v>89</v>
      </c>
      <c r="G2432">
        <v>9184</v>
      </c>
      <c r="H2432">
        <v>0.04</v>
      </c>
      <c r="I2432">
        <v>5.39</v>
      </c>
      <c r="J2432">
        <v>0.77</v>
      </c>
      <c r="K2432" t="s">
        <v>5928</v>
      </c>
      <c r="L2432">
        <v>53.54</v>
      </c>
      <c r="M2432" t="s">
        <v>11533</v>
      </c>
      <c r="N2432" t="s">
        <v>5691</v>
      </c>
      <c r="O2432" t="s">
        <v>9578</v>
      </c>
      <c r="P2432" t="s">
        <v>4967</v>
      </c>
      <c r="Q2432">
        <v>1.96</v>
      </c>
      <c r="R2432" t="s">
        <v>4435</v>
      </c>
      <c r="S2432">
        <v>1.53</v>
      </c>
      <c r="T2432">
        <v>13.77</v>
      </c>
      <c r="U2432" t="s">
        <v>3122</v>
      </c>
      <c r="V2432" t="s">
        <v>187</v>
      </c>
      <c r="W2432" t="s">
        <v>1223</v>
      </c>
      <c r="X2432">
        <v>0.77</v>
      </c>
      <c r="Y2432" t="s">
        <v>1496</v>
      </c>
      <c r="Z2432" t="s">
        <v>3752</v>
      </c>
      <c r="AA2432" t="s">
        <v>11534</v>
      </c>
      <c r="AB2432">
        <v>0.96</v>
      </c>
      <c r="AC2432" t="s">
        <v>223</v>
      </c>
      <c r="AD2432">
        <v>61.9</v>
      </c>
      <c r="AE2432" t="s">
        <v>625</v>
      </c>
      <c r="AF2432">
        <v>2.69</v>
      </c>
      <c r="AG2432">
        <v>0</v>
      </c>
      <c r="AH2432">
        <v>0</v>
      </c>
      <c r="AI2432" s="4">
        <v>40177</v>
      </c>
    </row>
    <row r="2433" spans="1:35">
      <c r="A2433">
        <v>2432</v>
      </c>
      <c r="B2433" t="str">
        <f>"600615"</f>
        <v>600615</v>
      </c>
      <c r="C2433" t="s">
        <v>11535</v>
      </c>
      <c r="D2433" s="4">
        <v>43190</v>
      </c>
      <c r="E2433" t="s">
        <v>2769</v>
      </c>
      <c r="F2433" t="s">
        <v>2769</v>
      </c>
      <c r="G2433" t="s">
        <v>2589</v>
      </c>
      <c r="H2433">
        <v>0.02</v>
      </c>
      <c r="I2433">
        <v>3.16</v>
      </c>
      <c r="J2433">
        <v>0.76</v>
      </c>
      <c r="K2433" t="s">
        <v>11536</v>
      </c>
      <c r="L2433">
        <v>-0.64</v>
      </c>
      <c r="M2433" t="s">
        <v>6715</v>
      </c>
      <c r="N2433" t="s">
        <v>11537</v>
      </c>
      <c r="O2433" t="s">
        <v>6715</v>
      </c>
      <c r="P2433" t="s">
        <v>10834</v>
      </c>
      <c r="Q2433">
        <v>225.5</v>
      </c>
      <c r="R2433" t="s">
        <v>11538</v>
      </c>
      <c r="S2433">
        <v>-0.49</v>
      </c>
      <c r="T2433">
        <v>21.27</v>
      </c>
      <c r="U2433" t="s">
        <v>2921</v>
      </c>
      <c r="V2433" t="s">
        <v>5084</v>
      </c>
      <c r="W2433" t="s">
        <v>11539</v>
      </c>
      <c r="X2433">
        <v>0.76</v>
      </c>
      <c r="Y2433" t="s">
        <v>7887</v>
      </c>
      <c r="Z2433" t="s">
        <v>10237</v>
      </c>
      <c r="AA2433" t="s">
        <v>10654</v>
      </c>
      <c r="AB2433">
        <v>2.81</v>
      </c>
      <c r="AC2433" t="s">
        <v>1157</v>
      </c>
      <c r="AD2433">
        <v>90.85</v>
      </c>
      <c r="AE2433" t="s">
        <v>346</v>
      </c>
      <c r="AF2433">
        <v>2.3199999999999998</v>
      </c>
      <c r="AG2433">
        <v>0</v>
      </c>
      <c r="AH2433">
        <v>0</v>
      </c>
      <c r="AI2433" s="4">
        <v>33857</v>
      </c>
    </row>
    <row r="2434" spans="1:35">
      <c r="A2434">
        <v>2433</v>
      </c>
      <c r="B2434" t="str">
        <f>"603890"</f>
        <v>603890</v>
      </c>
      <c r="C2434" t="s">
        <v>11540</v>
      </c>
      <c r="D2434" s="4">
        <v>43190</v>
      </c>
      <c r="E2434" t="s">
        <v>255</v>
      </c>
      <c r="F2434" t="s">
        <v>10826</v>
      </c>
      <c r="G2434">
        <v>1604</v>
      </c>
      <c r="H2434">
        <v>0.05</v>
      </c>
      <c r="I2434">
        <v>6.84</v>
      </c>
      <c r="J2434">
        <v>0.76</v>
      </c>
      <c r="K2434" t="s">
        <v>1028</v>
      </c>
      <c r="L2434">
        <v>1.17</v>
      </c>
      <c r="M2434" t="s">
        <v>7114</v>
      </c>
      <c r="N2434" t="s">
        <v>11541</v>
      </c>
      <c r="O2434" t="s">
        <v>4135</v>
      </c>
      <c r="P2434" t="s">
        <v>10047</v>
      </c>
      <c r="Q2434">
        <v>-66.989999999999995</v>
      </c>
      <c r="R2434" t="s">
        <v>2185</v>
      </c>
      <c r="S2434">
        <v>1.49</v>
      </c>
      <c r="T2434">
        <v>18.59</v>
      </c>
      <c r="U2434" t="s">
        <v>2568</v>
      </c>
      <c r="V2434" t="s">
        <v>646</v>
      </c>
      <c r="W2434" t="s">
        <v>2769</v>
      </c>
      <c r="X2434">
        <v>0.76</v>
      </c>
      <c r="Y2434" t="s">
        <v>4952</v>
      </c>
      <c r="Z2434" t="s">
        <v>2486</v>
      </c>
      <c r="AA2434" t="s">
        <v>10086</v>
      </c>
      <c r="AB2434">
        <v>2.52</v>
      </c>
      <c r="AC2434" t="s">
        <v>924</v>
      </c>
      <c r="AD2434">
        <v>61.24</v>
      </c>
      <c r="AE2434" t="s">
        <v>2131</v>
      </c>
      <c r="AF2434">
        <v>4.2699999999999996</v>
      </c>
      <c r="AG2434">
        <v>0</v>
      </c>
      <c r="AH2434">
        <v>0</v>
      </c>
      <c r="AI2434" s="4">
        <v>43081</v>
      </c>
    </row>
    <row r="2435" spans="1:35">
      <c r="A2435">
        <v>2434</v>
      </c>
      <c r="B2435" t="str">
        <f>"600985"</f>
        <v>600985</v>
      </c>
      <c r="C2435" t="s">
        <v>11542</v>
      </c>
      <c r="D2435" s="4">
        <v>43190</v>
      </c>
      <c r="E2435" t="s">
        <v>120</v>
      </c>
      <c r="F2435" t="s">
        <v>2387</v>
      </c>
      <c r="G2435" t="s">
        <v>630</v>
      </c>
      <c r="H2435">
        <v>0.04</v>
      </c>
      <c r="I2435">
        <v>5.85</v>
      </c>
      <c r="J2435">
        <v>0.76</v>
      </c>
      <c r="K2435" t="s">
        <v>337</v>
      </c>
      <c r="L2435">
        <v>-9.02</v>
      </c>
      <c r="M2435" t="s">
        <v>3519</v>
      </c>
      <c r="N2435" t="s">
        <v>3225</v>
      </c>
      <c r="O2435" t="s">
        <v>10976</v>
      </c>
      <c r="P2435" t="s">
        <v>5332</v>
      </c>
      <c r="Q2435">
        <v>-1.97</v>
      </c>
      <c r="R2435" t="s">
        <v>128</v>
      </c>
      <c r="S2435">
        <v>1.79</v>
      </c>
      <c r="T2435">
        <v>32.03</v>
      </c>
      <c r="U2435" t="s">
        <v>223</v>
      </c>
      <c r="V2435" t="s">
        <v>1223</v>
      </c>
      <c r="W2435" t="s">
        <v>4185</v>
      </c>
      <c r="X2435">
        <v>0.76</v>
      </c>
      <c r="Y2435" t="s">
        <v>2304</v>
      </c>
      <c r="Z2435" t="s">
        <v>2178</v>
      </c>
      <c r="AA2435" t="s">
        <v>7079</v>
      </c>
      <c r="AB2435">
        <v>1.89</v>
      </c>
      <c r="AC2435" t="s">
        <v>775</v>
      </c>
      <c r="AD2435">
        <v>72.489999999999995</v>
      </c>
      <c r="AE2435" t="s">
        <v>1013</v>
      </c>
      <c r="AF2435">
        <v>2.68</v>
      </c>
      <c r="AG2435">
        <v>0</v>
      </c>
      <c r="AH2435">
        <v>0</v>
      </c>
      <c r="AI2435" s="4">
        <v>38105</v>
      </c>
    </row>
    <row r="2436" spans="1:35">
      <c r="A2436">
        <v>2435</v>
      </c>
      <c r="B2436" t="str">
        <f>"600960"</f>
        <v>600960</v>
      </c>
      <c r="C2436" t="s">
        <v>11543</v>
      </c>
      <c r="D2436" s="4">
        <v>43190</v>
      </c>
      <c r="E2436" t="s">
        <v>2959</v>
      </c>
      <c r="F2436" t="s">
        <v>3293</v>
      </c>
      <c r="G2436" t="s">
        <v>5462</v>
      </c>
      <c r="H2436">
        <v>0.04</v>
      </c>
      <c r="I2436">
        <v>4.78</v>
      </c>
      <c r="J2436">
        <v>0.76</v>
      </c>
      <c r="K2436" t="s">
        <v>1723</v>
      </c>
      <c r="L2436">
        <v>24.56</v>
      </c>
      <c r="M2436" t="s">
        <v>7125</v>
      </c>
      <c r="N2436" t="s">
        <v>11544</v>
      </c>
      <c r="O2436" t="s">
        <v>11545</v>
      </c>
      <c r="P2436" t="s">
        <v>2027</v>
      </c>
      <c r="Q2436">
        <v>-45.4</v>
      </c>
      <c r="R2436" t="s">
        <v>4952</v>
      </c>
      <c r="S2436">
        <v>0.89</v>
      </c>
      <c r="T2436">
        <v>18.12</v>
      </c>
      <c r="U2436" t="s">
        <v>951</v>
      </c>
      <c r="V2436" t="s">
        <v>2093</v>
      </c>
      <c r="W2436" t="s">
        <v>983</v>
      </c>
      <c r="X2436">
        <v>0.76</v>
      </c>
      <c r="Y2436" t="s">
        <v>576</v>
      </c>
      <c r="Z2436" t="s">
        <v>847</v>
      </c>
      <c r="AA2436" t="s">
        <v>1076</v>
      </c>
      <c r="AB2436">
        <v>1.1599999999999999</v>
      </c>
      <c r="AC2436" t="s">
        <v>2702</v>
      </c>
      <c r="AD2436">
        <v>65.88</v>
      </c>
      <c r="AE2436" t="s">
        <v>1661</v>
      </c>
      <c r="AF2436">
        <v>2.79</v>
      </c>
      <c r="AG2436">
        <v>0</v>
      </c>
      <c r="AH2436">
        <v>0</v>
      </c>
      <c r="AI2436" s="4">
        <v>38084</v>
      </c>
    </row>
    <row r="2437" spans="1:35">
      <c r="A2437">
        <v>2436</v>
      </c>
      <c r="B2437" t="str">
        <f>"600861"</f>
        <v>600861</v>
      </c>
      <c r="C2437" t="s">
        <v>11546</v>
      </c>
      <c r="D2437" s="4">
        <v>43190</v>
      </c>
      <c r="E2437" t="s">
        <v>1964</v>
      </c>
      <c r="F2437" t="s">
        <v>1964</v>
      </c>
      <c r="G2437" t="s">
        <v>4763</v>
      </c>
      <c r="H2437">
        <v>0.06</v>
      </c>
      <c r="I2437">
        <v>7.43</v>
      </c>
      <c r="J2437">
        <v>0.76</v>
      </c>
      <c r="K2437" t="s">
        <v>701</v>
      </c>
      <c r="L2437">
        <v>-19.23</v>
      </c>
      <c r="M2437" t="s">
        <v>8985</v>
      </c>
      <c r="N2437" t="s">
        <v>11547</v>
      </c>
      <c r="O2437" t="s">
        <v>5861</v>
      </c>
      <c r="P2437" t="s">
        <v>11548</v>
      </c>
      <c r="Q2437">
        <v>-46.08</v>
      </c>
      <c r="R2437" t="s">
        <v>1480</v>
      </c>
      <c r="S2437">
        <v>1.93</v>
      </c>
      <c r="T2437">
        <v>27.44</v>
      </c>
      <c r="U2437" t="s">
        <v>113</v>
      </c>
      <c r="V2437" t="s">
        <v>908</v>
      </c>
      <c r="W2437" t="s">
        <v>1792</v>
      </c>
      <c r="X2437">
        <v>0.76</v>
      </c>
      <c r="Y2437" t="s">
        <v>173</v>
      </c>
      <c r="Z2437" t="s">
        <v>521</v>
      </c>
      <c r="AA2437" t="s">
        <v>2029</v>
      </c>
      <c r="AB2437">
        <v>0.95</v>
      </c>
      <c r="AC2437" t="s">
        <v>244</v>
      </c>
      <c r="AD2437">
        <v>60.93</v>
      </c>
      <c r="AE2437" t="s">
        <v>1362</v>
      </c>
      <c r="AF2437">
        <v>2.4900000000000002</v>
      </c>
      <c r="AG2437">
        <v>0</v>
      </c>
      <c r="AH2437">
        <v>0</v>
      </c>
      <c r="AI2437" s="4">
        <v>34474</v>
      </c>
    </row>
    <row r="2438" spans="1:35">
      <c r="A2438">
        <v>2437</v>
      </c>
      <c r="B2438" t="str">
        <f>"600826"</f>
        <v>600826</v>
      </c>
      <c r="C2438" t="s">
        <v>11549</v>
      </c>
      <c r="D2438" s="4">
        <v>43190</v>
      </c>
      <c r="E2438" t="s">
        <v>202</v>
      </c>
      <c r="F2438" t="s">
        <v>202</v>
      </c>
      <c r="G2438" t="s">
        <v>5074</v>
      </c>
      <c r="H2438">
        <v>0.06</v>
      </c>
      <c r="I2438">
        <v>7.81</v>
      </c>
      <c r="J2438">
        <v>0.76</v>
      </c>
      <c r="K2438" t="s">
        <v>3549</v>
      </c>
      <c r="L2438">
        <v>27.56</v>
      </c>
      <c r="M2438" t="s">
        <v>10115</v>
      </c>
      <c r="N2438" t="s">
        <v>2279</v>
      </c>
      <c r="O2438" t="s">
        <v>8841</v>
      </c>
      <c r="P2438" t="s">
        <v>5179</v>
      </c>
      <c r="Q2438">
        <v>8.01</v>
      </c>
      <c r="R2438" t="s">
        <v>820</v>
      </c>
      <c r="S2438">
        <v>4.05</v>
      </c>
      <c r="T2438">
        <v>4.9400000000000004</v>
      </c>
      <c r="U2438" t="s">
        <v>5300</v>
      </c>
      <c r="V2438" t="s">
        <v>1308</v>
      </c>
      <c r="W2438" t="s">
        <v>11550</v>
      </c>
      <c r="X2438">
        <v>0.76</v>
      </c>
      <c r="Y2438" t="s">
        <v>323</v>
      </c>
      <c r="Z2438" t="s">
        <v>2035</v>
      </c>
      <c r="AA2438" t="s">
        <v>798</v>
      </c>
      <c r="AB2438">
        <v>1.74</v>
      </c>
      <c r="AC2438" t="s">
        <v>818</v>
      </c>
      <c r="AD2438">
        <v>73.510000000000005</v>
      </c>
      <c r="AE2438" t="s">
        <v>372</v>
      </c>
      <c r="AF2438">
        <v>0.32</v>
      </c>
      <c r="AG2438">
        <v>0</v>
      </c>
      <c r="AH2438">
        <v>0</v>
      </c>
      <c r="AI2438" s="4">
        <v>34369</v>
      </c>
    </row>
    <row r="2439" spans="1:35">
      <c r="A2439">
        <v>2438</v>
      </c>
      <c r="B2439" t="str">
        <f>"300490"</f>
        <v>300490</v>
      </c>
      <c r="C2439" t="s">
        <v>11551</v>
      </c>
      <c r="D2439" s="4">
        <v>43190</v>
      </c>
      <c r="E2439" t="s">
        <v>807</v>
      </c>
      <c r="F2439" t="s">
        <v>3844</v>
      </c>
      <c r="G2439">
        <v>5325</v>
      </c>
      <c r="H2439">
        <v>0.04</v>
      </c>
      <c r="I2439">
        <v>5.29</v>
      </c>
      <c r="J2439">
        <v>0.76</v>
      </c>
      <c r="K2439" t="s">
        <v>608</v>
      </c>
      <c r="L2439">
        <v>81.680000000000007</v>
      </c>
      <c r="M2439" t="s">
        <v>6186</v>
      </c>
      <c r="N2439" t="s">
        <v>8661</v>
      </c>
      <c r="O2439" t="s">
        <v>3042</v>
      </c>
      <c r="P2439" t="s">
        <v>4954</v>
      </c>
      <c r="Q2439">
        <v>34.36</v>
      </c>
      <c r="R2439" t="s">
        <v>1011</v>
      </c>
      <c r="S2439">
        <v>0.88</v>
      </c>
      <c r="T2439">
        <v>36.340000000000003</v>
      </c>
      <c r="U2439" t="s">
        <v>242</v>
      </c>
      <c r="V2439" t="s">
        <v>250</v>
      </c>
      <c r="W2439" t="s">
        <v>2424</v>
      </c>
      <c r="X2439">
        <v>0.76</v>
      </c>
      <c r="Y2439" t="s">
        <v>1223</v>
      </c>
      <c r="Z2439" t="s">
        <v>521</v>
      </c>
      <c r="AA2439" t="s">
        <v>11552</v>
      </c>
      <c r="AB2439">
        <v>2.92</v>
      </c>
      <c r="AC2439" t="s">
        <v>982</v>
      </c>
      <c r="AD2439">
        <v>52.13</v>
      </c>
      <c r="AE2439" t="s">
        <v>2908</v>
      </c>
      <c r="AF2439">
        <v>3.49</v>
      </c>
      <c r="AG2439">
        <v>0</v>
      </c>
      <c r="AH2439">
        <v>0</v>
      </c>
      <c r="AI2439" s="4">
        <v>42369</v>
      </c>
    </row>
    <row r="2440" spans="1:35">
      <c r="A2440">
        <v>2439</v>
      </c>
      <c r="B2440" t="str">
        <f>"300425"</f>
        <v>300425</v>
      </c>
      <c r="C2440" t="s">
        <v>11553</v>
      </c>
      <c r="D2440" s="4">
        <v>43190</v>
      </c>
      <c r="E2440" t="s">
        <v>883</v>
      </c>
      <c r="F2440" t="s">
        <v>6809</v>
      </c>
      <c r="G2440" t="s">
        <v>950</v>
      </c>
      <c r="H2440">
        <v>0.02</v>
      </c>
      <c r="I2440">
        <v>2.08</v>
      </c>
      <c r="J2440">
        <v>0.76</v>
      </c>
      <c r="K2440" t="s">
        <v>1974</v>
      </c>
      <c r="L2440">
        <v>45.72</v>
      </c>
      <c r="M2440" t="s">
        <v>5344</v>
      </c>
      <c r="N2440" t="s">
        <v>11554</v>
      </c>
      <c r="O2440" t="s">
        <v>6988</v>
      </c>
      <c r="P2440" t="s">
        <v>11513</v>
      </c>
      <c r="Q2440">
        <v>1839.25</v>
      </c>
      <c r="R2440" t="s">
        <v>1789</v>
      </c>
      <c r="S2440">
        <v>0.38</v>
      </c>
      <c r="T2440">
        <v>44.02</v>
      </c>
      <c r="U2440" t="s">
        <v>512</v>
      </c>
      <c r="V2440" t="s">
        <v>1214</v>
      </c>
      <c r="W2440" t="s">
        <v>144</v>
      </c>
      <c r="X2440">
        <v>0.76</v>
      </c>
      <c r="Y2440" t="s">
        <v>4345</v>
      </c>
      <c r="Z2440" t="s">
        <v>4796</v>
      </c>
      <c r="AA2440" t="s">
        <v>93</v>
      </c>
      <c r="AB2440">
        <v>2.06</v>
      </c>
      <c r="AC2440" t="s">
        <v>759</v>
      </c>
      <c r="AD2440">
        <v>57.48</v>
      </c>
      <c r="AE2440" t="s">
        <v>2790</v>
      </c>
      <c r="AF2440">
        <v>0.71</v>
      </c>
      <c r="AG2440">
        <v>0</v>
      </c>
      <c r="AH2440">
        <v>0</v>
      </c>
      <c r="AI2440" s="4">
        <v>42051</v>
      </c>
    </row>
    <row r="2441" spans="1:35">
      <c r="A2441">
        <v>2440</v>
      </c>
      <c r="B2441" t="str">
        <f>"300366"</f>
        <v>300366</v>
      </c>
      <c r="C2441" t="s">
        <v>11555</v>
      </c>
      <c r="D2441" s="4">
        <v>43190</v>
      </c>
      <c r="E2441" t="s">
        <v>666</v>
      </c>
      <c r="F2441" t="s">
        <v>507</v>
      </c>
      <c r="G2441" t="s">
        <v>4495</v>
      </c>
      <c r="H2441">
        <v>0.04</v>
      </c>
      <c r="I2441">
        <v>5.61</v>
      </c>
      <c r="J2441">
        <v>0.76</v>
      </c>
      <c r="K2441" t="s">
        <v>94</v>
      </c>
      <c r="L2441">
        <v>39.090000000000003</v>
      </c>
      <c r="M2441" t="s">
        <v>3522</v>
      </c>
      <c r="N2441" t="s">
        <v>11556</v>
      </c>
      <c r="O2441" t="s">
        <v>11557</v>
      </c>
      <c r="P2441" t="s">
        <v>4983</v>
      </c>
      <c r="Q2441">
        <v>-19.82</v>
      </c>
      <c r="R2441" t="s">
        <v>2789</v>
      </c>
      <c r="S2441">
        <v>0.89</v>
      </c>
      <c r="T2441">
        <v>30.61</v>
      </c>
      <c r="U2441" t="s">
        <v>4558</v>
      </c>
      <c r="V2441" t="s">
        <v>251</v>
      </c>
      <c r="W2441" t="s">
        <v>11558</v>
      </c>
      <c r="X2441">
        <v>0.76</v>
      </c>
      <c r="Y2441" t="s">
        <v>424</v>
      </c>
      <c r="Z2441" t="s">
        <v>2996</v>
      </c>
      <c r="AA2441" t="s">
        <v>7698</v>
      </c>
      <c r="AB2441">
        <v>1.49</v>
      </c>
      <c r="AC2441" t="s">
        <v>1205</v>
      </c>
      <c r="AD2441">
        <v>81.64</v>
      </c>
      <c r="AE2441" t="s">
        <v>389</v>
      </c>
      <c r="AF2441">
        <v>3.64</v>
      </c>
      <c r="AG2441">
        <v>0</v>
      </c>
      <c r="AH2441">
        <v>0</v>
      </c>
      <c r="AI2441" s="4">
        <v>41666</v>
      </c>
    </row>
    <row r="2442" spans="1:35">
      <c r="A2442">
        <v>2441</v>
      </c>
      <c r="B2442" t="str">
        <f>"300142"</f>
        <v>300142</v>
      </c>
      <c r="C2442" t="s">
        <v>11559</v>
      </c>
      <c r="D2442" s="4">
        <v>43190</v>
      </c>
      <c r="E2442" t="s">
        <v>833</v>
      </c>
      <c r="F2442" t="s">
        <v>1214</v>
      </c>
      <c r="G2442" t="s">
        <v>11560</v>
      </c>
      <c r="H2442">
        <v>0.02</v>
      </c>
      <c r="I2442">
        <v>2.1800000000000002</v>
      </c>
      <c r="J2442">
        <v>0.76</v>
      </c>
      <c r="K2442" t="s">
        <v>1626</v>
      </c>
      <c r="L2442">
        <v>36.590000000000003</v>
      </c>
      <c r="M2442" t="s">
        <v>2846</v>
      </c>
      <c r="N2442" t="s">
        <v>7251</v>
      </c>
      <c r="O2442" t="s">
        <v>11561</v>
      </c>
      <c r="P2442" t="s">
        <v>11562</v>
      </c>
      <c r="Q2442">
        <v>181.09</v>
      </c>
      <c r="R2442" t="s">
        <v>11563</v>
      </c>
      <c r="S2442">
        <v>-0.38</v>
      </c>
      <c r="T2442">
        <v>78.209999999999994</v>
      </c>
      <c r="U2442" t="s">
        <v>577</v>
      </c>
      <c r="V2442" t="s">
        <v>1832</v>
      </c>
      <c r="W2442" t="s">
        <v>3544</v>
      </c>
      <c r="X2442">
        <v>0.76</v>
      </c>
      <c r="Y2442" t="s">
        <v>1455</v>
      </c>
      <c r="Z2442" t="s">
        <v>1856</v>
      </c>
      <c r="AA2442" t="s">
        <v>605</v>
      </c>
      <c r="AB2442">
        <v>9.15</v>
      </c>
      <c r="AC2442" t="s">
        <v>4697</v>
      </c>
      <c r="AD2442">
        <v>55.54</v>
      </c>
      <c r="AE2442" t="s">
        <v>2273</v>
      </c>
      <c r="AF2442">
        <v>1.54</v>
      </c>
      <c r="AG2442">
        <v>0</v>
      </c>
      <c r="AH2442">
        <v>0</v>
      </c>
      <c r="AI2442" s="4">
        <v>40494</v>
      </c>
    </row>
    <row r="2443" spans="1:35">
      <c r="A2443">
        <v>2442</v>
      </c>
      <c r="B2443" t="str">
        <f>"002346"</f>
        <v>002346</v>
      </c>
      <c r="C2443" t="s">
        <v>11564</v>
      </c>
      <c r="D2443" s="4">
        <v>43190</v>
      </c>
      <c r="E2443" t="s">
        <v>540</v>
      </c>
      <c r="F2443" t="s">
        <v>184</v>
      </c>
      <c r="G2443" t="s">
        <v>2645</v>
      </c>
      <c r="H2443">
        <v>0.04</v>
      </c>
      <c r="I2443">
        <v>4.7699999999999996</v>
      </c>
      <c r="J2443">
        <v>0.76</v>
      </c>
      <c r="K2443" t="s">
        <v>2031</v>
      </c>
      <c r="L2443">
        <v>183.84</v>
      </c>
      <c r="M2443" t="s">
        <v>11565</v>
      </c>
      <c r="N2443" t="s">
        <v>2650</v>
      </c>
      <c r="O2443" t="s">
        <v>3583</v>
      </c>
      <c r="P2443" t="s">
        <v>11566</v>
      </c>
      <c r="Q2443">
        <v>-7.07</v>
      </c>
      <c r="R2443" t="s">
        <v>2358</v>
      </c>
      <c r="S2443">
        <v>1.71</v>
      </c>
      <c r="T2443">
        <v>17.27</v>
      </c>
      <c r="U2443" t="s">
        <v>352</v>
      </c>
      <c r="V2443" t="s">
        <v>2001</v>
      </c>
      <c r="W2443" t="s">
        <v>143</v>
      </c>
      <c r="X2443">
        <v>0.76</v>
      </c>
      <c r="Y2443" t="s">
        <v>1672</v>
      </c>
      <c r="Z2443" t="s">
        <v>1245</v>
      </c>
      <c r="AA2443" t="s">
        <v>9711</v>
      </c>
      <c r="AB2443">
        <v>2.7</v>
      </c>
      <c r="AC2443" t="s">
        <v>576</v>
      </c>
      <c r="AD2443">
        <v>86.28</v>
      </c>
      <c r="AE2443" t="s">
        <v>1611</v>
      </c>
      <c r="AF2443">
        <v>1.18</v>
      </c>
      <c r="AG2443">
        <v>0</v>
      </c>
      <c r="AH2443">
        <v>0</v>
      </c>
      <c r="AI2443" s="4">
        <v>40206</v>
      </c>
    </row>
    <row r="2444" spans="1:35">
      <c r="A2444">
        <v>2443</v>
      </c>
      <c r="B2444" t="str">
        <f>"002282"</f>
        <v>002282</v>
      </c>
      <c r="C2444" t="s">
        <v>11567</v>
      </c>
      <c r="D2444" s="4">
        <v>43190</v>
      </c>
      <c r="E2444" t="s">
        <v>3044</v>
      </c>
      <c r="F2444" t="s">
        <v>37</v>
      </c>
      <c r="G2444">
        <v>5925</v>
      </c>
      <c r="H2444">
        <v>0.03</v>
      </c>
      <c r="I2444">
        <v>4.76</v>
      </c>
      <c r="J2444">
        <v>0.76</v>
      </c>
      <c r="K2444" t="s">
        <v>676</v>
      </c>
      <c r="L2444">
        <v>95.72</v>
      </c>
      <c r="M2444" t="s">
        <v>10824</v>
      </c>
      <c r="N2444" t="s">
        <v>10434</v>
      </c>
      <c r="O2444" t="s">
        <v>8993</v>
      </c>
      <c r="P2444" t="s">
        <v>11568</v>
      </c>
      <c r="Q2444">
        <v>261.72000000000003</v>
      </c>
      <c r="R2444" t="s">
        <v>1366</v>
      </c>
      <c r="S2444">
        <v>0.42</v>
      </c>
      <c r="T2444">
        <v>30.22</v>
      </c>
      <c r="U2444" t="s">
        <v>1347</v>
      </c>
      <c r="V2444" t="s">
        <v>602</v>
      </c>
      <c r="W2444" t="s">
        <v>1918</v>
      </c>
      <c r="X2444">
        <v>0.76</v>
      </c>
      <c r="Y2444" t="s">
        <v>335</v>
      </c>
      <c r="Z2444" t="s">
        <v>202</v>
      </c>
      <c r="AA2444" t="s">
        <v>2576</v>
      </c>
      <c r="AB2444">
        <v>2.17</v>
      </c>
      <c r="AC2444" t="s">
        <v>877</v>
      </c>
      <c r="AD2444">
        <v>82.53</v>
      </c>
      <c r="AE2444" t="s">
        <v>161</v>
      </c>
      <c r="AF2444">
        <v>3.29</v>
      </c>
      <c r="AG2444">
        <v>0</v>
      </c>
      <c r="AH2444">
        <v>0</v>
      </c>
      <c r="AI2444" s="4">
        <v>40046</v>
      </c>
    </row>
    <row r="2445" spans="1:35">
      <c r="A2445">
        <v>2444</v>
      </c>
      <c r="B2445" t="str">
        <f>"000507"</f>
        <v>000507</v>
      </c>
      <c r="C2445" t="s">
        <v>11569</v>
      </c>
      <c r="D2445" s="4">
        <v>43190</v>
      </c>
      <c r="E2445" t="s">
        <v>285</v>
      </c>
      <c r="F2445" t="s">
        <v>6262</v>
      </c>
      <c r="G2445">
        <v>6117</v>
      </c>
      <c r="H2445">
        <v>0.03</v>
      </c>
      <c r="I2445">
        <v>3.46</v>
      </c>
      <c r="J2445">
        <v>0.76</v>
      </c>
      <c r="K2445" t="s">
        <v>501</v>
      </c>
      <c r="L2445">
        <v>-1.83</v>
      </c>
      <c r="M2445" t="s">
        <v>11570</v>
      </c>
      <c r="N2445" t="s">
        <v>9417</v>
      </c>
      <c r="O2445" t="s">
        <v>11571</v>
      </c>
      <c r="P2445" t="s">
        <v>9885</v>
      </c>
      <c r="Q2445">
        <v>36.39</v>
      </c>
      <c r="R2445" t="s">
        <v>919</v>
      </c>
      <c r="S2445">
        <v>1.28</v>
      </c>
      <c r="T2445">
        <v>28.44</v>
      </c>
      <c r="U2445" t="s">
        <v>367</v>
      </c>
      <c r="V2445" t="s">
        <v>1384</v>
      </c>
      <c r="W2445" t="s">
        <v>1347</v>
      </c>
      <c r="X2445">
        <v>0.76</v>
      </c>
      <c r="Y2445" t="s">
        <v>1404</v>
      </c>
      <c r="Z2445" t="s">
        <v>924</v>
      </c>
      <c r="AA2445" t="s">
        <v>754</v>
      </c>
      <c r="AB2445">
        <v>2.4300000000000002</v>
      </c>
      <c r="AC2445" t="s">
        <v>2523</v>
      </c>
      <c r="AD2445">
        <v>43.87</v>
      </c>
      <c r="AE2445" t="s">
        <v>1362</v>
      </c>
      <c r="AF2445">
        <v>1</v>
      </c>
      <c r="AG2445">
        <v>0</v>
      </c>
      <c r="AH2445">
        <v>0</v>
      </c>
      <c r="AI2445" s="4">
        <v>34054</v>
      </c>
    </row>
    <row r="2446" spans="1:35">
      <c r="A2446">
        <v>2445</v>
      </c>
      <c r="B2446" t="str">
        <f>"000035"</f>
        <v>000035</v>
      </c>
      <c r="C2446" t="s">
        <v>11572</v>
      </c>
      <c r="D2446" s="4">
        <v>43190</v>
      </c>
      <c r="E2446" t="s">
        <v>1214</v>
      </c>
      <c r="F2446" t="s">
        <v>192</v>
      </c>
      <c r="G2446" t="s">
        <v>1613</v>
      </c>
      <c r="H2446">
        <v>0.02</v>
      </c>
      <c r="I2446">
        <v>2.25</v>
      </c>
      <c r="J2446">
        <v>0.76</v>
      </c>
      <c r="K2446" t="s">
        <v>1124</v>
      </c>
      <c r="L2446">
        <v>22.23</v>
      </c>
      <c r="M2446" t="s">
        <v>11573</v>
      </c>
      <c r="N2446">
        <v>1962</v>
      </c>
      <c r="O2446" t="s">
        <v>11574</v>
      </c>
      <c r="P2446" t="s">
        <v>11575</v>
      </c>
      <c r="Q2446">
        <v>1.36</v>
      </c>
      <c r="R2446" t="s">
        <v>2073</v>
      </c>
      <c r="S2446">
        <v>0.68</v>
      </c>
      <c r="T2446">
        <v>31.25</v>
      </c>
      <c r="U2446" t="s">
        <v>5177</v>
      </c>
      <c r="V2446" t="s">
        <v>1343</v>
      </c>
      <c r="W2446" t="s">
        <v>1223</v>
      </c>
      <c r="X2446">
        <v>0.76</v>
      </c>
      <c r="Y2446" t="s">
        <v>1925</v>
      </c>
      <c r="Z2446" t="s">
        <v>576</v>
      </c>
      <c r="AA2446" t="s">
        <v>1908</v>
      </c>
      <c r="AB2446">
        <v>2.98</v>
      </c>
      <c r="AC2446" t="s">
        <v>1161</v>
      </c>
      <c r="AD2446">
        <v>38.64</v>
      </c>
      <c r="AE2446" t="s">
        <v>1569</v>
      </c>
      <c r="AF2446">
        <v>1.24</v>
      </c>
      <c r="AG2446">
        <v>0</v>
      </c>
      <c r="AH2446">
        <v>0</v>
      </c>
      <c r="AI2446" s="4">
        <v>34432</v>
      </c>
    </row>
    <row r="2447" spans="1:35">
      <c r="A2447">
        <v>2446</v>
      </c>
      <c r="B2447" t="str">
        <f>"600731"</f>
        <v>600731</v>
      </c>
      <c r="C2447" t="s">
        <v>11576</v>
      </c>
      <c r="D2447" s="4">
        <v>43190</v>
      </c>
      <c r="E2447" t="s">
        <v>139</v>
      </c>
      <c r="F2447" t="s">
        <v>1400</v>
      </c>
      <c r="G2447" t="s">
        <v>268</v>
      </c>
      <c r="H2447">
        <v>0.02</v>
      </c>
      <c r="I2447">
        <v>2.88</v>
      </c>
      <c r="J2447">
        <v>0.75</v>
      </c>
      <c r="K2447" t="s">
        <v>1621</v>
      </c>
      <c r="L2447">
        <v>-7.75</v>
      </c>
      <c r="M2447" t="s">
        <v>11577</v>
      </c>
      <c r="N2447" t="s">
        <v>11578</v>
      </c>
      <c r="O2447" t="s">
        <v>6695</v>
      </c>
      <c r="P2447" t="s">
        <v>10296</v>
      </c>
      <c r="Q2447">
        <v>8.74</v>
      </c>
      <c r="R2447" t="s">
        <v>11579</v>
      </c>
      <c r="S2447">
        <v>-0.1</v>
      </c>
      <c r="T2447">
        <v>24.68</v>
      </c>
      <c r="U2447" t="s">
        <v>877</v>
      </c>
      <c r="V2447" t="s">
        <v>894</v>
      </c>
      <c r="W2447" t="s">
        <v>1212</v>
      </c>
      <c r="X2447">
        <v>0.75</v>
      </c>
      <c r="Y2447" t="s">
        <v>3752</v>
      </c>
      <c r="Z2447" t="s">
        <v>515</v>
      </c>
      <c r="AA2447" t="s">
        <v>95</v>
      </c>
      <c r="AB2447">
        <v>1.63</v>
      </c>
      <c r="AC2447" t="s">
        <v>1496</v>
      </c>
      <c r="AD2447">
        <v>49.16</v>
      </c>
      <c r="AE2447" t="s">
        <v>1730</v>
      </c>
      <c r="AF2447">
        <v>1.86</v>
      </c>
      <c r="AG2447">
        <v>0</v>
      </c>
      <c r="AH2447">
        <v>0</v>
      </c>
      <c r="AI2447" s="4">
        <v>35279</v>
      </c>
    </row>
    <row r="2448" spans="1:35">
      <c r="A2448">
        <v>2447</v>
      </c>
      <c r="B2448" t="str">
        <f>"300282"</f>
        <v>300282</v>
      </c>
      <c r="C2448" t="s">
        <v>11580</v>
      </c>
      <c r="D2448" s="4">
        <v>43190</v>
      </c>
      <c r="E2448" t="s">
        <v>126</v>
      </c>
      <c r="F2448" t="s">
        <v>1435</v>
      </c>
      <c r="G2448" t="s">
        <v>11581</v>
      </c>
      <c r="H2448">
        <v>7.0000000000000007E-2</v>
      </c>
      <c r="I2448">
        <v>9.5500000000000007</v>
      </c>
      <c r="J2448">
        <v>0.75</v>
      </c>
      <c r="K2448" t="s">
        <v>1365</v>
      </c>
      <c r="L2448">
        <v>-68.319999999999993</v>
      </c>
      <c r="M2448" t="s">
        <v>5571</v>
      </c>
      <c r="N2448" t="s">
        <v>11582</v>
      </c>
      <c r="O2448" t="s">
        <v>10551</v>
      </c>
      <c r="P2448" t="s">
        <v>4657</v>
      </c>
      <c r="Q2448">
        <v>-11.93</v>
      </c>
      <c r="R2448" t="s">
        <v>600</v>
      </c>
      <c r="S2448">
        <v>0.44</v>
      </c>
      <c r="T2448">
        <v>39.9</v>
      </c>
      <c r="U2448" t="s">
        <v>774</v>
      </c>
      <c r="V2448" t="s">
        <v>4952</v>
      </c>
      <c r="W2448" t="s">
        <v>5955</v>
      </c>
      <c r="X2448">
        <v>0.75</v>
      </c>
      <c r="Y2448" t="s">
        <v>2034</v>
      </c>
      <c r="Z2448" t="s">
        <v>1016</v>
      </c>
      <c r="AA2448" t="s">
        <v>4990</v>
      </c>
      <c r="AB2448">
        <v>1.77</v>
      </c>
      <c r="AC2448" t="s">
        <v>1704</v>
      </c>
      <c r="AD2448">
        <v>93.58</v>
      </c>
      <c r="AE2448" t="s">
        <v>418</v>
      </c>
      <c r="AF2448">
        <v>8.08</v>
      </c>
      <c r="AG2448">
        <v>0</v>
      </c>
      <c r="AH2448">
        <v>0</v>
      </c>
      <c r="AI2448" s="4">
        <v>40906</v>
      </c>
    </row>
    <row r="2449" spans="1:35">
      <c r="A2449">
        <v>2448</v>
      </c>
      <c r="B2449" t="str">
        <f>"300147"</f>
        <v>300147</v>
      </c>
      <c r="C2449" t="s">
        <v>11583</v>
      </c>
      <c r="D2449" s="4">
        <v>43190</v>
      </c>
      <c r="E2449" t="s">
        <v>2110</v>
      </c>
      <c r="F2449" t="s">
        <v>1408</v>
      </c>
      <c r="G2449" t="s">
        <v>360</v>
      </c>
      <c r="H2449">
        <v>0.04</v>
      </c>
      <c r="I2449">
        <v>5.21</v>
      </c>
      <c r="J2449">
        <v>0.75</v>
      </c>
      <c r="K2449" t="s">
        <v>181</v>
      </c>
      <c r="L2449">
        <v>21.63</v>
      </c>
      <c r="M2449" t="s">
        <v>11584</v>
      </c>
      <c r="N2449" t="s">
        <v>6712</v>
      </c>
      <c r="O2449" t="s">
        <v>11585</v>
      </c>
      <c r="P2449" t="s">
        <v>3892</v>
      </c>
      <c r="Q2449">
        <v>15.51</v>
      </c>
      <c r="R2449" t="s">
        <v>494</v>
      </c>
      <c r="S2449">
        <v>0.91</v>
      </c>
      <c r="T2449">
        <v>34.369999999999997</v>
      </c>
      <c r="U2449" t="s">
        <v>9103</v>
      </c>
      <c r="V2449" t="s">
        <v>5794</v>
      </c>
      <c r="W2449">
        <v>0</v>
      </c>
      <c r="X2449">
        <v>0.75</v>
      </c>
      <c r="Y2449" t="s">
        <v>1858</v>
      </c>
      <c r="Z2449" t="s">
        <v>249</v>
      </c>
      <c r="AA2449" t="s">
        <v>1255</v>
      </c>
      <c r="AB2449">
        <v>1.38</v>
      </c>
      <c r="AC2449" t="s">
        <v>1248</v>
      </c>
      <c r="AD2449">
        <v>37.21</v>
      </c>
      <c r="AE2449" t="s">
        <v>514</v>
      </c>
      <c r="AF2449">
        <v>3.23</v>
      </c>
      <c r="AG2449">
        <v>0</v>
      </c>
      <c r="AH2449">
        <v>0</v>
      </c>
      <c r="AI2449" s="4">
        <v>40527</v>
      </c>
    </row>
    <row r="2450" spans="1:35">
      <c r="A2450">
        <v>2449</v>
      </c>
      <c r="B2450" t="str">
        <f>"002196"</f>
        <v>002196</v>
      </c>
      <c r="C2450" t="s">
        <v>11586</v>
      </c>
      <c r="D2450" s="4">
        <v>43190</v>
      </c>
      <c r="E2450" t="s">
        <v>4185</v>
      </c>
      <c r="F2450" t="s">
        <v>2551</v>
      </c>
      <c r="G2450">
        <v>7990</v>
      </c>
      <c r="H2450">
        <v>0.04</v>
      </c>
      <c r="I2450">
        <v>5.51</v>
      </c>
      <c r="J2450">
        <v>0.75</v>
      </c>
      <c r="K2450" t="s">
        <v>90</v>
      </c>
      <c r="L2450">
        <v>29.48</v>
      </c>
      <c r="M2450" t="s">
        <v>942</v>
      </c>
      <c r="N2450" t="s">
        <v>11587</v>
      </c>
      <c r="O2450" t="s">
        <v>7669</v>
      </c>
      <c r="P2450" t="s">
        <v>7426</v>
      </c>
      <c r="Q2450">
        <v>-14.68</v>
      </c>
      <c r="R2450" t="s">
        <v>2041</v>
      </c>
      <c r="S2450">
        <v>0.76</v>
      </c>
      <c r="T2450">
        <v>19.37</v>
      </c>
      <c r="U2450" t="s">
        <v>273</v>
      </c>
      <c r="V2450" t="s">
        <v>538</v>
      </c>
      <c r="W2450" t="s">
        <v>347</v>
      </c>
      <c r="X2450">
        <v>0.75</v>
      </c>
      <c r="Y2450" t="s">
        <v>1019</v>
      </c>
      <c r="Z2450" t="s">
        <v>568</v>
      </c>
      <c r="AA2450" t="s">
        <v>11588</v>
      </c>
      <c r="AB2450">
        <v>1.32</v>
      </c>
      <c r="AC2450" t="s">
        <v>253</v>
      </c>
      <c r="AD2450">
        <v>75.87</v>
      </c>
      <c r="AE2450" t="s">
        <v>115</v>
      </c>
      <c r="AF2450">
        <v>3.75</v>
      </c>
      <c r="AG2450">
        <v>0</v>
      </c>
      <c r="AH2450">
        <v>0</v>
      </c>
      <c r="AI2450" s="4">
        <v>39428</v>
      </c>
    </row>
    <row r="2451" spans="1:35">
      <c r="A2451">
        <v>2450</v>
      </c>
      <c r="B2451" t="str">
        <f>"002060"</f>
        <v>002060</v>
      </c>
      <c r="C2451" t="s">
        <v>11589</v>
      </c>
      <c r="D2451" s="4">
        <v>43190</v>
      </c>
      <c r="E2451" t="s">
        <v>625</v>
      </c>
      <c r="F2451" t="s">
        <v>625</v>
      </c>
      <c r="G2451" t="s">
        <v>4988</v>
      </c>
      <c r="H2451">
        <v>0.02</v>
      </c>
      <c r="I2451">
        <v>2.4</v>
      </c>
      <c r="J2451">
        <v>0.75</v>
      </c>
      <c r="K2451" t="s">
        <v>1455</v>
      </c>
      <c r="L2451">
        <v>21.86</v>
      </c>
      <c r="M2451" t="s">
        <v>11590</v>
      </c>
      <c r="N2451" t="s">
        <v>11591</v>
      </c>
      <c r="O2451" t="s">
        <v>7891</v>
      </c>
      <c r="P2451" t="s">
        <v>11592</v>
      </c>
      <c r="Q2451">
        <v>10.98</v>
      </c>
      <c r="R2451" t="s">
        <v>1917</v>
      </c>
      <c r="S2451">
        <v>0.71</v>
      </c>
      <c r="T2451">
        <v>8.99</v>
      </c>
      <c r="U2451" t="s">
        <v>928</v>
      </c>
      <c r="V2451" t="s">
        <v>8103</v>
      </c>
      <c r="W2451" t="s">
        <v>1107</v>
      </c>
      <c r="X2451">
        <v>0.75</v>
      </c>
      <c r="Y2451" t="s">
        <v>899</v>
      </c>
      <c r="Z2451" t="s">
        <v>4179</v>
      </c>
      <c r="AA2451" t="s">
        <v>367</v>
      </c>
      <c r="AB2451">
        <v>1.18</v>
      </c>
      <c r="AC2451" t="s">
        <v>1158</v>
      </c>
      <c r="AD2451">
        <v>16.43</v>
      </c>
      <c r="AE2451" t="s">
        <v>3293</v>
      </c>
      <c r="AF2451">
        <v>0.56999999999999995</v>
      </c>
      <c r="AG2451">
        <v>0</v>
      </c>
      <c r="AH2451">
        <v>0</v>
      </c>
      <c r="AI2451" s="4">
        <v>38939</v>
      </c>
    </row>
    <row r="2452" spans="1:35">
      <c r="A2452">
        <v>2451</v>
      </c>
      <c r="B2452" t="str">
        <f>"000977"</f>
        <v>000977</v>
      </c>
      <c r="C2452" t="s">
        <v>11593</v>
      </c>
      <c r="D2452" s="4">
        <v>43190</v>
      </c>
      <c r="E2452" t="s">
        <v>101</v>
      </c>
      <c r="F2452" t="s">
        <v>926</v>
      </c>
      <c r="G2452" t="s">
        <v>4763</v>
      </c>
      <c r="H2452">
        <v>0.04</v>
      </c>
      <c r="I2452">
        <v>5.63</v>
      </c>
      <c r="J2452">
        <v>0.75</v>
      </c>
      <c r="K2452" t="s">
        <v>3326</v>
      </c>
      <c r="L2452">
        <v>96.5</v>
      </c>
      <c r="M2452" t="s">
        <v>11594</v>
      </c>
      <c r="N2452" t="s">
        <v>11595</v>
      </c>
      <c r="O2452" t="s">
        <v>11596</v>
      </c>
      <c r="P2452" t="s">
        <v>11597</v>
      </c>
      <c r="Q2452">
        <v>-22.65</v>
      </c>
      <c r="R2452" t="s">
        <v>1062</v>
      </c>
      <c r="S2452">
        <v>1.21</v>
      </c>
      <c r="T2452">
        <v>11.99</v>
      </c>
      <c r="U2452" t="s">
        <v>1194</v>
      </c>
      <c r="V2452" t="s">
        <v>1097</v>
      </c>
      <c r="W2452" t="s">
        <v>267</v>
      </c>
      <c r="X2452">
        <v>0.75</v>
      </c>
      <c r="Y2452" t="s">
        <v>815</v>
      </c>
      <c r="Z2452" t="s">
        <v>404</v>
      </c>
      <c r="AA2452" t="s">
        <v>1040</v>
      </c>
      <c r="AB2452">
        <v>3.51</v>
      </c>
      <c r="AC2452" t="s">
        <v>3262</v>
      </c>
      <c r="AD2452">
        <v>38.24</v>
      </c>
      <c r="AE2452" t="s">
        <v>1312</v>
      </c>
      <c r="AF2452">
        <v>3.28</v>
      </c>
      <c r="AG2452">
        <v>0</v>
      </c>
      <c r="AH2452">
        <v>0</v>
      </c>
      <c r="AI2452" s="4">
        <v>36685</v>
      </c>
    </row>
    <row r="2453" spans="1:35">
      <c r="A2453">
        <v>2452</v>
      </c>
      <c r="B2453" t="str">
        <f>"000690"</f>
        <v>000690</v>
      </c>
      <c r="C2453" t="s">
        <v>11598</v>
      </c>
      <c r="D2453" s="4">
        <v>43190</v>
      </c>
      <c r="E2453" t="s">
        <v>789</v>
      </c>
      <c r="F2453" t="s">
        <v>1843</v>
      </c>
      <c r="G2453" t="s">
        <v>1691</v>
      </c>
      <c r="H2453">
        <v>0.03</v>
      </c>
      <c r="I2453">
        <v>3.92</v>
      </c>
      <c r="J2453">
        <v>0.75</v>
      </c>
      <c r="K2453" t="s">
        <v>1198</v>
      </c>
      <c r="L2453">
        <v>41.52</v>
      </c>
      <c r="M2453" t="s">
        <v>11599</v>
      </c>
      <c r="N2453" t="s">
        <v>7777</v>
      </c>
      <c r="O2453" t="s">
        <v>11599</v>
      </c>
      <c r="P2453" t="s">
        <v>2828</v>
      </c>
      <c r="Q2453">
        <v>144.37</v>
      </c>
      <c r="R2453" t="s">
        <v>1504</v>
      </c>
      <c r="S2453">
        <v>1.18</v>
      </c>
      <c r="T2453">
        <v>23.7</v>
      </c>
      <c r="U2453" t="s">
        <v>5782</v>
      </c>
      <c r="V2453" t="s">
        <v>3125</v>
      </c>
      <c r="W2453" t="s">
        <v>1164</v>
      </c>
      <c r="X2453">
        <v>0.75</v>
      </c>
      <c r="Y2453" t="s">
        <v>1655</v>
      </c>
      <c r="Z2453" t="s">
        <v>164</v>
      </c>
      <c r="AA2453" t="s">
        <v>4136</v>
      </c>
      <c r="AB2453">
        <v>1.8</v>
      </c>
      <c r="AC2453" t="s">
        <v>2677</v>
      </c>
      <c r="AD2453">
        <v>46.08</v>
      </c>
      <c r="AE2453" t="s">
        <v>1242</v>
      </c>
      <c r="AF2453">
        <v>1.35</v>
      </c>
      <c r="AG2453">
        <v>0</v>
      </c>
      <c r="AH2453">
        <v>0</v>
      </c>
      <c r="AI2453" s="4">
        <v>35458</v>
      </c>
    </row>
    <row r="2454" spans="1:35">
      <c r="A2454">
        <v>2453</v>
      </c>
      <c r="B2454" t="str">
        <f>"000530"</f>
        <v>000530</v>
      </c>
      <c r="C2454" t="s">
        <v>11600</v>
      </c>
      <c r="D2454" s="4">
        <v>43190</v>
      </c>
      <c r="E2454" t="s">
        <v>3643</v>
      </c>
      <c r="F2454" t="s">
        <v>2580</v>
      </c>
      <c r="G2454">
        <v>0</v>
      </c>
      <c r="H2454">
        <v>0.03</v>
      </c>
      <c r="I2454">
        <v>3.99</v>
      </c>
      <c r="J2454">
        <v>0.75</v>
      </c>
      <c r="K2454" t="s">
        <v>944</v>
      </c>
      <c r="L2454">
        <v>2.09</v>
      </c>
      <c r="M2454" t="s">
        <v>2847</v>
      </c>
      <c r="N2454" t="s">
        <v>7669</v>
      </c>
      <c r="O2454" t="s">
        <v>9149</v>
      </c>
      <c r="P2454" t="s">
        <v>5181</v>
      </c>
      <c r="Q2454">
        <v>-26.83</v>
      </c>
      <c r="R2454" t="s">
        <v>1979</v>
      </c>
      <c r="S2454">
        <v>0.91</v>
      </c>
      <c r="T2454">
        <v>17.72</v>
      </c>
      <c r="U2454" t="s">
        <v>3377</v>
      </c>
      <c r="V2454" t="s">
        <v>876</v>
      </c>
      <c r="W2454" t="s">
        <v>1852</v>
      </c>
      <c r="X2454">
        <v>0.75</v>
      </c>
      <c r="Y2454" t="s">
        <v>1752</v>
      </c>
      <c r="Z2454" t="s">
        <v>50</v>
      </c>
      <c r="AA2454" t="s">
        <v>89</v>
      </c>
      <c r="AB2454">
        <v>1.01</v>
      </c>
      <c r="AC2454" t="s">
        <v>817</v>
      </c>
      <c r="AD2454">
        <v>62.79</v>
      </c>
      <c r="AE2454" t="s">
        <v>1938</v>
      </c>
      <c r="AF2454">
        <v>0.89</v>
      </c>
      <c r="AG2454" t="s">
        <v>531</v>
      </c>
      <c r="AH2454">
        <v>0</v>
      </c>
      <c r="AI2454" s="4">
        <v>34311</v>
      </c>
    </row>
    <row r="2455" spans="1:35">
      <c r="A2455">
        <v>2454</v>
      </c>
      <c r="B2455" t="str">
        <f>"600714"</f>
        <v>600714</v>
      </c>
      <c r="C2455" t="s">
        <v>11601</v>
      </c>
      <c r="D2455" s="4">
        <v>43190</v>
      </c>
      <c r="E2455" t="s">
        <v>188</v>
      </c>
      <c r="F2455" t="s">
        <v>188</v>
      </c>
      <c r="G2455" t="s">
        <v>268</v>
      </c>
      <c r="H2455">
        <v>0.02</v>
      </c>
      <c r="I2455">
        <v>2.1</v>
      </c>
      <c r="J2455">
        <v>0.74</v>
      </c>
      <c r="K2455" t="s">
        <v>6107</v>
      </c>
      <c r="L2455">
        <v>215.52</v>
      </c>
      <c r="M2455" t="s">
        <v>333</v>
      </c>
      <c r="N2455">
        <v>0</v>
      </c>
      <c r="O2455" t="s">
        <v>11183</v>
      </c>
      <c r="P2455" t="s">
        <v>3993</v>
      </c>
      <c r="Q2455">
        <v>-56.46</v>
      </c>
      <c r="R2455" t="s">
        <v>11602</v>
      </c>
      <c r="S2455">
        <v>-0.04</v>
      </c>
      <c r="T2455">
        <v>35.049999999999997</v>
      </c>
      <c r="U2455" t="s">
        <v>2921</v>
      </c>
      <c r="V2455" t="s">
        <v>44</v>
      </c>
      <c r="W2455" t="s">
        <v>1830</v>
      </c>
      <c r="X2455">
        <v>0.74</v>
      </c>
      <c r="Y2455" t="s">
        <v>11603</v>
      </c>
      <c r="Z2455" t="s">
        <v>2776</v>
      </c>
      <c r="AA2455" t="s">
        <v>2658</v>
      </c>
      <c r="AB2455">
        <v>3.11</v>
      </c>
      <c r="AC2455" t="s">
        <v>1216</v>
      </c>
      <c r="AD2455">
        <v>92.55</v>
      </c>
      <c r="AE2455" t="s">
        <v>120</v>
      </c>
      <c r="AF2455">
        <v>1.04</v>
      </c>
      <c r="AG2455">
        <v>0</v>
      </c>
      <c r="AH2455">
        <v>0</v>
      </c>
      <c r="AI2455" s="4">
        <v>35222</v>
      </c>
    </row>
    <row r="2456" spans="1:35">
      <c r="A2456">
        <v>2455</v>
      </c>
      <c r="B2456" t="str">
        <f>"600189"</f>
        <v>600189</v>
      </c>
      <c r="C2456" t="s">
        <v>11604</v>
      </c>
      <c r="D2456" s="4">
        <v>43190</v>
      </c>
      <c r="E2456" t="s">
        <v>4176</v>
      </c>
      <c r="F2456" t="s">
        <v>1202</v>
      </c>
      <c r="G2456">
        <v>6778</v>
      </c>
      <c r="H2456">
        <v>0.03</v>
      </c>
      <c r="I2456">
        <v>5.34</v>
      </c>
      <c r="J2456">
        <v>0.74</v>
      </c>
      <c r="K2456" t="s">
        <v>1264</v>
      </c>
      <c r="L2456">
        <v>89</v>
      </c>
      <c r="M2456" t="s">
        <v>8779</v>
      </c>
      <c r="N2456" t="s">
        <v>11605</v>
      </c>
      <c r="O2456" t="s">
        <v>9872</v>
      </c>
      <c r="P2456" t="s">
        <v>9204</v>
      </c>
      <c r="Q2456">
        <v>125.6</v>
      </c>
      <c r="R2456" t="s">
        <v>998</v>
      </c>
      <c r="S2456">
        <v>0.46</v>
      </c>
      <c r="T2456">
        <v>37.32</v>
      </c>
      <c r="U2456" t="s">
        <v>879</v>
      </c>
      <c r="V2456" t="s">
        <v>1386</v>
      </c>
      <c r="W2456" t="s">
        <v>6611</v>
      </c>
      <c r="X2456">
        <v>0.74</v>
      </c>
      <c r="Y2456" t="s">
        <v>884</v>
      </c>
      <c r="Z2456" t="s">
        <v>1785</v>
      </c>
      <c r="AA2456" t="s">
        <v>1938</v>
      </c>
      <c r="AB2456">
        <v>1.41</v>
      </c>
      <c r="AC2456" t="s">
        <v>1252</v>
      </c>
      <c r="AD2456">
        <v>45.67</v>
      </c>
      <c r="AE2456" t="s">
        <v>275</v>
      </c>
      <c r="AF2456">
        <v>3.54</v>
      </c>
      <c r="AG2456">
        <v>0</v>
      </c>
      <c r="AH2456">
        <v>0</v>
      </c>
      <c r="AI2456" s="4">
        <v>36075</v>
      </c>
    </row>
    <row r="2457" spans="1:35">
      <c r="A2457">
        <v>2456</v>
      </c>
      <c r="B2457" t="str">
        <f>"300590"</f>
        <v>300590</v>
      </c>
      <c r="C2457" t="s">
        <v>11606</v>
      </c>
      <c r="D2457" s="4">
        <v>43190</v>
      </c>
      <c r="E2457" t="s">
        <v>1203</v>
      </c>
      <c r="F2457" t="s">
        <v>11607</v>
      </c>
      <c r="G2457">
        <v>4993</v>
      </c>
      <c r="H2457">
        <v>0.04</v>
      </c>
      <c r="I2457">
        <v>4.6399999999999997</v>
      </c>
      <c r="J2457">
        <v>0.74</v>
      </c>
      <c r="K2457" t="s">
        <v>11608</v>
      </c>
      <c r="L2457">
        <v>24.31</v>
      </c>
      <c r="M2457" t="s">
        <v>10802</v>
      </c>
      <c r="N2457" t="s">
        <v>11163</v>
      </c>
      <c r="O2457" t="s">
        <v>1966</v>
      </c>
      <c r="P2457" t="s">
        <v>11183</v>
      </c>
      <c r="Q2457">
        <v>-66.88</v>
      </c>
      <c r="R2457" t="s">
        <v>745</v>
      </c>
      <c r="S2457">
        <v>0.72</v>
      </c>
      <c r="T2457">
        <v>47.66</v>
      </c>
      <c r="U2457" t="s">
        <v>1774</v>
      </c>
      <c r="V2457" t="s">
        <v>3925</v>
      </c>
      <c r="W2457" t="s">
        <v>2485</v>
      </c>
      <c r="X2457">
        <v>0.74</v>
      </c>
      <c r="Y2457" t="s">
        <v>11609</v>
      </c>
      <c r="Z2457" t="s">
        <v>11610</v>
      </c>
      <c r="AA2457" t="s">
        <v>11582</v>
      </c>
      <c r="AB2457">
        <v>4.37</v>
      </c>
      <c r="AC2457" t="s">
        <v>2790</v>
      </c>
      <c r="AD2457">
        <v>90.89</v>
      </c>
      <c r="AE2457" t="s">
        <v>346</v>
      </c>
      <c r="AF2457">
        <v>2.72</v>
      </c>
      <c r="AG2457">
        <v>0</v>
      </c>
      <c r="AH2457">
        <v>0</v>
      </c>
      <c r="AI2457" s="4">
        <v>42746</v>
      </c>
    </row>
    <row r="2458" spans="1:35">
      <c r="A2458">
        <v>2457</v>
      </c>
      <c r="B2458" t="str">
        <f>"300510"</f>
        <v>300510</v>
      </c>
      <c r="C2458" t="s">
        <v>11611</v>
      </c>
      <c r="D2458" s="4">
        <v>43190</v>
      </c>
      <c r="E2458" t="s">
        <v>1699</v>
      </c>
      <c r="F2458" t="s">
        <v>11612</v>
      </c>
      <c r="G2458">
        <v>6297</v>
      </c>
      <c r="H2458">
        <v>0.06</v>
      </c>
      <c r="I2458">
        <v>14.02</v>
      </c>
      <c r="J2458">
        <v>0.74</v>
      </c>
      <c r="K2458" t="s">
        <v>609</v>
      </c>
      <c r="L2458">
        <v>140.43</v>
      </c>
      <c r="M2458" t="s">
        <v>8505</v>
      </c>
      <c r="N2458">
        <v>0</v>
      </c>
      <c r="O2458" t="s">
        <v>7356</v>
      </c>
      <c r="P2458" t="s">
        <v>11395</v>
      </c>
      <c r="Q2458">
        <v>250.24</v>
      </c>
      <c r="R2458" t="s">
        <v>499</v>
      </c>
      <c r="S2458">
        <v>1.1599999999999999</v>
      </c>
      <c r="T2458">
        <v>33.78</v>
      </c>
      <c r="U2458" t="s">
        <v>732</v>
      </c>
      <c r="V2458" t="s">
        <v>855</v>
      </c>
      <c r="W2458" t="s">
        <v>627</v>
      </c>
      <c r="X2458">
        <v>0.74</v>
      </c>
      <c r="Y2458" t="s">
        <v>124</v>
      </c>
      <c r="Z2458" t="s">
        <v>699</v>
      </c>
      <c r="AA2458" t="s">
        <v>219</v>
      </c>
      <c r="AB2458">
        <v>1.75</v>
      </c>
      <c r="AC2458" t="s">
        <v>1127</v>
      </c>
      <c r="AD2458">
        <v>71.23</v>
      </c>
      <c r="AE2458" t="s">
        <v>450</v>
      </c>
      <c r="AF2458">
        <v>11.85</v>
      </c>
      <c r="AG2458">
        <v>0</v>
      </c>
      <c r="AH2458">
        <v>0</v>
      </c>
      <c r="AI2458" s="4">
        <v>42496</v>
      </c>
    </row>
    <row r="2459" spans="1:35">
      <c r="A2459">
        <v>2458</v>
      </c>
      <c r="B2459" t="str">
        <f>"300496"</f>
        <v>300496</v>
      </c>
      <c r="C2459" t="s">
        <v>11613</v>
      </c>
      <c r="D2459" s="4">
        <v>43190</v>
      </c>
      <c r="E2459" t="s">
        <v>78</v>
      </c>
      <c r="F2459" t="s">
        <v>807</v>
      </c>
      <c r="G2459">
        <v>4834</v>
      </c>
      <c r="H2459">
        <v>0.09</v>
      </c>
      <c r="I2459">
        <v>3.09</v>
      </c>
      <c r="J2459">
        <v>0.74</v>
      </c>
      <c r="K2459" t="s">
        <v>1609</v>
      </c>
      <c r="L2459">
        <v>26.37</v>
      </c>
      <c r="M2459" t="s">
        <v>11614</v>
      </c>
      <c r="N2459" t="s">
        <v>11615</v>
      </c>
      <c r="O2459" t="s">
        <v>2129</v>
      </c>
      <c r="P2459" t="s">
        <v>11616</v>
      </c>
      <c r="Q2459">
        <v>43.32</v>
      </c>
      <c r="R2459" t="s">
        <v>1682</v>
      </c>
      <c r="S2459">
        <v>0.86</v>
      </c>
      <c r="T2459">
        <v>44.54</v>
      </c>
      <c r="U2459" t="s">
        <v>242</v>
      </c>
      <c r="V2459" t="s">
        <v>1025</v>
      </c>
      <c r="W2459" t="s">
        <v>11617</v>
      </c>
      <c r="X2459">
        <v>0.74</v>
      </c>
      <c r="Y2459" t="s">
        <v>1094</v>
      </c>
      <c r="Z2459" t="s">
        <v>1162</v>
      </c>
      <c r="AA2459" t="s">
        <v>1210</v>
      </c>
      <c r="AB2459">
        <v>8.26</v>
      </c>
      <c r="AC2459" t="s">
        <v>926</v>
      </c>
      <c r="AD2459">
        <v>54.74</v>
      </c>
      <c r="AE2459" t="s">
        <v>3900</v>
      </c>
      <c r="AF2459">
        <v>1.53</v>
      </c>
      <c r="AG2459">
        <v>0</v>
      </c>
      <c r="AH2459">
        <v>0</v>
      </c>
      <c r="AI2459" s="4">
        <v>42348</v>
      </c>
    </row>
    <row r="2460" spans="1:35">
      <c r="A2460">
        <v>2459</v>
      </c>
      <c r="B2460" t="str">
        <f>"002634"</f>
        <v>002634</v>
      </c>
      <c r="C2460" t="s">
        <v>11618</v>
      </c>
      <c r="D2460" s="4">
        <v>43190</v>
      </c>
      <c r="E2460" t="s">
        <v>348</v>
      </c>
      <c r="F2460" t="s">
        <v>1977</v>
      </c>
      <c r="G2460">
        <v>7995</v>
      </c>
      <c r="H2460">
        <v>0.01</v>
      </c>
      <c r="I2460">
        <v>1.46</v>
      </c>
      <c r="J2460">
        <v>0.74</v>
      </c>
      <c r="K2460" t="s">
        <v>11619</v>
      </c>
      <c r="L2460">
        <v>15.67</v>
      </c>
      <c r="M2460" t="s">
        <v>1185</v>
      </c>
      <c r="N2460" t="s">
        <v>9706</v>
      </c>
      <c r="O2460" t="s">
        <v>8579</v>
      </c>
      <c r="P2460" t="s">
        <v>3225</v>
      </c>
      <c r="Q2460">
        <v>-36.42</v>
      </c>
      <c r="R2460" t="s">
        <v>698</v>
      </c>
      <c r="S2460">
        <v>0.36</v>
      </c>
      <c r="T2460">
        <v>26.69</v>
      </c>
      <c r="U2460" t="s">
        <v>835</v>
      </c>
      <c r="V2460" t="s">
        <v>104</v>
      </c>
      <c r="W2460" t="s">
        <v>258</v>
      </c>
      <c r="X2460">
        <v>0.74</v>
      </c>
      <c r="Y2460" t="s">
        <v>293</v>
      </c>
      <c r="Z2460" t="s">
        <v>1624</v>
      </c>
      <c r="AA2460" t="s">
        <v>8651</v>
      </c>
      <c r="AB2460">
        <v>3.09</v>
      </c>
      <c r="AC2460" t="s">
        <v>1993</v>
      </c>
      <c r="AD2460">
        <v>61.61</v>
      </c>
      <c r="AE2460" t="s">
        <v>10877</v>
      </c>
      <c r="AF2460">
        <v>0.03</v>
      </c>
      <c r="AG2460">
        <v>0</v>
      </c>
      <c r="AH2460">
        <v>0</v>
      </c>
      <c r="AI2460" s="4">
        <v>40882</v>
      </c>
    </row>
    <row r="2461" spans="1:35">
      <c r="A2461">
        <v>2460</v>
      </c>
      <c r="B2461" t="str">
        <f>"002330"</f>
        <v>002330</v>
      </c>
      <c r="C2461" t="s">
        <v>11620</v>
      </c>
      <c r="D2461" s="4">
        <v>43190</v>
      </c>
      <c r="E2461" t="s">
        <v>1346</v>
      </c>
      <c r="F2461" t="s">
        <v>1346</v>
      </c>
      <c r="G2461" t="s">
        <v>5462</v>
      </c>
      <c r="H2461">
        <v>0.02</v>
      </c>
      <c r="I2461">
        <v>2.66</v>
      </c>
      <c r="J2461">
        <v>0.74</v>
      </c>
      <c r="K2461" t="s">
        <v>2398</v>
      </c>
      <c r="L2461">
        <v>41.58</v>
      </c>
      <c r="M2461" t="s">
        <v>9016</v>
      </c>
      <c r="N2461">
        <v>0</v>
      </c>
      <c r="O2461" t="s">
        <v>10710</v>
      </c>
      <c r="P2461" t="s">
        <v>9421</v>
      </c>
      <c r="Q2461">
        <v>27.57</v>
      </c>
      <c r="R2461" t="s">
        <v>1400</v>
      </c>
      <c r="S2461">
        <v>0.65</v>
      </c>
      <c r="T2461">
        <v>11.89</v>
      </c>
      <c r="U2461" t="s">
        <v>1052</v>
      </c>
      <c r="V2461" t="s">
        <v>1168</v>
      </c>
      <c r="W2461" t="s">
        <v>2781</v>
      </c>
      <c r="X2461">
        <v>0.74</v>
      </c>
      <c r="Y2461" t="s">
        <v>1048</v>
      </c>
      <c r="Z2461" t="s">
        <v>325</v>
      </c>
      <c r="AA2461" t="s">
        <v>9407</v>
      </c>
      <c r="AB2461">
        <v>1.88</v>
      </c>
      <c r="AC2461" t="s">
        <v>924</v>
      </c>
      <c r="AD2461">
        <v>80.959999999999994</v>
      </c>
      <c r="AE2461" t="s">
        <v>1703</v>
      </c>
      <c r="AF2461">
        <v>0.97</v>
      </c>
      <c r="AG2461">
        <v>0</v>
      </c>
      <c r="AH2461">
        <v>0</v>
      </c>
      <c r="AI2461" s="4">
        <v>40184</v>
      </c>
    </row>
    <row r="2462" spans="1:35">
      <c r="A2462">
        <v>2461</v>
      </c>
      <c r="B2462" t="str">
        <f>"002103"</f>
        <v>002103</v>
      </c>
      <c r="C2462" t="s">
        <v>11621</v>
      </c>
      <c r="D2462" s="4">
        <v>43190</v>
      </c>
      <c r="E2462" t="s">
        <v>2413</v>
      </c>
      <c r="F2462" t="s">
        <v>3197</v>
      </c>
      <c r="G2462" t="s">
        <v>5500</v>
      </c>
      <c r="H2462">
        <v>0.02</v>
      </c>
      <c r="I2462">
        <v>3.24</v>
      </c>
      <c r="J2462">
        <v>0.74</v>
      </c>
      <c r="K2462" t="s">
        <v>381</v>
      </c>
      <c r="L2462">
        <v>1.85</v>
      </c>
      <c r="M2462" t="s">
        <v>11622</v>
      </c>
      <c r="N2462" t="s">
        <v>10370</v>
      </c>
      <c r="O2462" t="s">
        <v>4391</v>
      </c>
      <c r="P2462" t="s">
        <v>2839</v>
      </c>
      <c r="Q2462">
        <v>-45.7</v>
      </c>
      <c r="R2462" t="s">
        <v>545</v>
      </c>
      <c r="S2462">
        <v>0.79</v>
      </c>
      <c r="T2462">
        <v>17.670000000000002</v>
      </c>
      <c r="U2462" t="s">
        <v>2515</v>
      </c>
      <c r="V2462" t="s">
        <v>926</v>
      </c>
      <c r="W2462" t="s">
        <v>91</v>
      </c>
      <c r="X2462">
        <v>0.74</v>
      </c>
      <c r="Y2462" t="s">
        <v>1575</v>
      </c>
      <c r="Z2462" t="s">
        <v>4796</v>
      </c>
      <c r="AA2462" t="s">
        <v>8888</v>
      </c>
      <c r="AB2462">
        <v>1.57</v>
      </c>
      <c r="AC2462" t="s">
        <v>303</v>
      </c>
      <c r="AD2462">
        <v>68.23</v>
      </c>
      <c r="AE2462" t="s">
        <v>46</v>
      </c>
      <c r="AF2462">
        <v>1.34</v>
      </c>
      <c r="AG2462">
        <v>0</v>
      </c>
      <c r="AH2462">
        <v>0</v>
      </c>
      <c r="AI2462" s="4">
        <v>39092</v>
      </c>
    </row>
    <row r="2463" spans="1:35">
      <c r="A2463">
        <v>2462</v>
      </c>
      <c r="B2463" t="str">
        <f>"000990"</f>
        <v>000990</v>
      </c>
      <c r="C2463" t="s">
        <v>11623</v>
      </c>
      <c r="D2463" s="4">
        <v>43190</v>
      </c>
      <c r="E2463" t="s">
        <v>300</v>
      </c>
      <c r="F2463" t="s">
        <v>2098</v>
      </c>
      <c r="G2463" t="s">
        <v>224</v>
      </c>
      <c r="H2463">
        <v>0.09</v>
      </c>
      <c r="I2463">
        <v>12.64</v>
      </c>
      <c r="J2463">
        <v>0.74</v>
      </c>
      <c r="K2463" t="s">
        <v>971</v>
      </c>
      <c r="L2463">
        <v>-1.07</v>
      </c>
      <c r="M2463" t="s">
        <v>1974</v>
      </c>
      <c r="N2463" t="s">
        <v>11624</v>
      </c>
      <c r="O2463" t="s">
        <v>711</v>
      </c>
      <c r="P2463" t="s">
        <v>1626</v>
      </c>
      <c r="Q2463">
        <v>-42.39</v>
      </c>
      <c r="R2463" t="s">
        <v>1343</v>
      </c>
      <c r="S2463">
        <v>1.25</v>
      </c>
      <c r="T2463">
        <v>28.63</v>
      </c>
      <c r="U2463" t="s">
        <v>1749</v>
      </c>
      <c r="V2463" t="s">
        <v>2180</v>
      </c>
      <c r="W2463" t="s">
        <v>1583</v>
      </c>
      <c r="X2463">
        <v>0.74</v>
      </c>
      <c r="Y2463" t="s">
        <v>2702</v>
      </c>
      <c r="Z2463" t="s">
        <v>1205</v>
      </c>
      <c r="AA2463" t="s">
        <v>747</v>
      </c>
      <c r="AB2463">
        <v>1.08</v>
      </c>
      <c r="AC2463" t="s">
        <v>3129</v>
      </c>
      <c r="AD2463">
        <v>77.349999999999994</v>
      </c>
      <c r="AE2463" t="s">
        <v>1929</v>
      </c>
      <c r="AF2463">
        <v>10.3</v>
      </c>
      <c r="AG2463">
        <v>0</v>
      </c>
      <c r="AH2463">
        <v>0</v>
      </c>
      <c r="AI2463" s="4">
        <v>36713</v>
      </c>
    </row>
    <row r="2464" spans="1:35">
      <c r="A2464">
        <v>2463</v>
      </c>
      <c r="B2464" t="str">
        <f>"000736"</f>
        <v>000736</v>
      </c>
      <c r="C2464" t="s">
        <v>11625</v>
      </c>
      <c r="D2464" s="4">
        <v>43190</v>
      </c>
      <c r="E2464" t="s">
        <v>2132</v>
      </c>
      <c r="F2464" t="s">
        <v>2132</v>
      </c>
      <c r="G2464" t="s">
        <v>3699</v>
      </c>
      <c r="H2464">
        <v>0.05</v>
      </c>
      <c r="I2464">
        <v>7.11</v>
      </c>
      <c r="J2464">
        <v>0.74</v>
      </c>
      <c r="K2464" t="s">
        <v>381</v>
      </c>
      <c r="L2464">
        <v>37.21</v>
      </c>
      <c r="M2464" t="s">
        <v>7311</v>
      </c>
      <c r="N2464" t="s">
        <v>10440</v>
      </c>
      <c r="O2464" t="s">
        <v>11626</v>
      </c>
      <c r="P2464" t="s">
        <v>8494</v>
      </c>
      <c r="Q2464">
        <v>136.38999999999999</v>
      </c>
      <c r="R2464" t="s">
        <v>300</v>
      </c>
      <c r="S2464">
        <v>4.22</v>
      </c>
      <c r="T2464">
        <v>39.72</v>
      </c>
      <c r="U2464" t="s">
        <v>9574</v>
      </c>
      <c r="V2464" t="s">
        <v>1983</v>
      </c>
      <c r="W2464" t="s">
        <v>7530</v>
      </c>
      <c r="X2464">
        <v>0.74</v>
      </c>
      <c r="Y2464" t="s">
        <v>9198</v>
      </c>
      <c r="Z2464" t="s">
        <v>1098</v>
      </c>
      <c r="AA2464" t="s">
        <v>232</v>
      </c>
      <c r="AB2464">
        <v>2.4</v>
      </c>
      <c r="AC2464" t="s">
        <v>576</v>
      </c>
      <c r="AD2464">
        <v>6.18</v>
      </c>
      <c r="AE2464" t="s">
        <v>771</v>
      </c>
      <c r="AF2464">
        <v>1.57</v>
      </c>
      <c r="AG2464">
        <v>0</v>
      </c>
      <c r="AH2464">
        <v>0</v>
      </c>
      <c r="AI2464" s="4">
        <v>35545</v>
      </c>
    </row>
    <row r="2465" spans="1:35">
      <c r="A2465">
        <v>2464</v>
      </c>
      <c r="B2465" t="str">
        <f>"600429"</f>
        <v>600429</v>
      </c>
      <c r="C2465" t="s">
        <v>11627</v>
      </c>
      <c r="D2465" s="4">
        <v>43190</v>
      </c>
      <c r="E2465" t="s">
        <v>855</v>
      </c>
      <c r="F2465" t="s">
        <v>274</v>
      </c>
      <c r="G2465" t="s">
        <v>5085</v>
      </c>
      <c r="H2465">
        <v>0.02</v>
      </c>
      <c r="I2465">
        <v>3.24</v>
      </c>
      <c r="J2465">
        <v>0.74</v>
      </c>
      <c r="K2465" t="s">
        <v>1343</v>
      </c>
      <c r="L2465">
        <v>26.71</v>
      </c>
      <c r="M2465" t="s">
        <v>11628</v>
      </c>
      <c r="N2465" t="s">
        <v>11629</v>
      </c>
      <c r="O2465" t="s">
        <v>8337</v>
      </c>
      <c r="P2465" t="s">
        <v>11630</v>
      </c>
      <c r="Q2465">
        <v>171.07</v>
      </c>
      <c r="R2465" t="s">
        <v>11631</v>
      </c>
      <c r="S2465">
        <v>-0.04</v>
      </c>
      <c r="T2465">
        <v>31.96</v>
      </c>
      <c r="U2465" t="s">
        <v>1149</v>
      </c>
      <c r="V2465" t="s">
        <v>245</v>
      </c>
      <c r="W2465" t="s">
        <v>1832</v>
      </c>
      <c r="X2465">
        <v>0.74</v>
      </c>
      <c r="Y2465" t="s">
        <v>4463</v>
      </c>
      <c r="Z2465" t="s">
        <v>2059</v>
      </c>
      <c r="AA2465" t="s">
        <v>3562</v>
      </c>
      <c r="AB2465">
        <v>2.06</v>
      </c>
      <c r="AC2465" t="s">
        <v>1050</v>
      </c>
      <c r="AD2465">
        <v>34.6</v>
      </c>
      <c r="AE2465" t="s">
        <v>638</v>
      </c>
      <c r="AF2465">
        <v>2.21</v>
      </c>
      <c r="AG2465">
        <v>0</v>
      </c>
      <c r="AH2465">
        <v>0</v>
      </c>
      <c r="AI2465" s="4">
        <v>37879</v>
      </c>
    </row>
    <row r="2466" spans="1:35">
      <c r="A2466">
        <v>2465</v>
      </c>
      <c r="B2466" t="str">
        <f>"603321"</f>
        <v>603321</v>
      </c>
      <c r="C2466" t="s">
        <v>11632</v>
      </c>
      <c r="D2466" s="4">
        <v>43190</v>
      </c>
      <c r="E2466" t="s">
        <v>3297</v>
      </c>
      <c r="F2466" t="s">
        <v>4476</v>
      </c>
      <c r="G2466">
        <v>2531</v>
      </c>
      <c r="H2466">
        <v>0.02</v>
      </c>
      <c r="I2466">
        <v>3.21</v>
      </c>
      <c r="J2466">
        <v>0.73</v>
      </c>
      <c r="K2466" t="s">
        <v>71</v>
      </c>
      <c r="L2466">
        <v>13.4</v>
      </c>
      <c r="M2466" t="s">
        <v>11515</v>
      </c>
      <c r="N2466" t="s">
        <v>9855</v>
      </c>
      <c r="O2466" t="s">
        <v>10712</v>
      </c>
      <c r="P2466" t="s">
        <v>937</v>
      </c>
      <c r="Q2466">
        <v>23.23</v>
      </c>
      <c r="R2466" t="s">
        <v>301</v>
      </c>
      <c r="S2466">
        <v>0.94</v>
      </c>
      <c r="T2466">
        <v>28.07</v>
      </c>
      <c r="U2466" t="s">
        <v>759</v>
      </c>
      <c r="V2466" t="s">
        <v>323</v>
      </c>
      <c r="W2466" t="s">
        <v>1699</v>
      </c>
      <c r="X2466">
        <v>0.73</v>
      </c>
      <c r="Y2466" t="s">
        <v>362</v>
      </c>
      <c r="Z2466" t="s">
        <v>771</v>
      </c>
      <c r="AA2466" t="s">
        <v>11633</v>
      </c>
      <c r="AB2466">
        <v>2.99</v>
      </c>
      <c r="AC2466" t="s">
        <v>1094</v>
      </c>
      <c r="AD2466">
        <v>67.959999999999994</v>
      </c>
      <c r="AE2466" t="s">
        <v>1378</v>
      </c>
      <c r="AF2466">
        <v>1.1299999999999999</v>
      </c>
      <c r="AG2466">
        <v>0</v>
      </c>
      <c r="AH2466">
        <v>0</v>
      </c>
      <c r="AI2466" s="4">
        <v>42993</v>
      </c>
    </row>
    <row r="2467" spans="1:35">
      <c r="A2467">
        <v>2466</v>
      </c>
      <c r="B2467" t="str">
        <f>"600773"</f>
        <v>600773</v>
      </c>
      <c r="C2467" t="s">
        <v>11634</v>
      </c>
      <c r="D2467" s="4">
        <v>43190</v>
      </c>
      <c r="E2467" t="s">
        <v>4354</v>
      </c>
      <c r="F2467" t="s">
        <v>2637</v>
      </c>
      <c r="G2467" t="s">
        <v>915</v>
      </c>
      <c r="H2467">
        <v>0.03</v>
      </c>
      <c r="I2467">
        <v>3.94</v>
      </c>
      <c r="J2467">
        <v>0.73</v>
      </c>
      <c r="K2467" t="s">
        <v>1964</v>
      </c>
      <c r="L2467">
        <v>46.13</v>
      </c>
      <c r="M2467" t="s">
        <v>8358</v>
      </c>
      <c r="N2467" t="s">
        <v>11635</v>
      </c>
      <c r="O2467" t="s">
        <v>5852</v>
      </c>
      <c r="P2467" t="s">
        <v>7669</v>
      </c>
      <c r="Q2467">
        <v>76.010000000000005</v>
      </c>
      <c r="R2467" t="s">
        <v>3712</v>
      </c>
      <c r="S2467">
        <v>0.93</v>
      </c>
      <c r="T2467">
        <v>36.5</v>
      </c>
      <c r="U2467" t="s">
        <v>815</v>
      </c>
      <c r="V2467" t="s">
        <v>900</v>
      </c>
      <c r="W2467" t="s">
        <v>216</v>
      </c>
      <c r="X2467">
        <v>0.73</v>
      </c>
      <c r="Y2467" t="s">
        <v>873</v>
      </c>
      <c r="Z2467" t="s">
        <v>2057</v>
      </c>
      <c r="AA2467" t="s">
        <v>3645</v>
      </c>
      <c r="AB2467">
        <v>1.83</v>
      </c>
      <c r="AC2467" t="s">
        <v>236</v>
      </c>
      <c r="AD2467">
        <v>27.44</v>
      </c>
      <c r="AE2467" t="s">
        <v>76</v>
      </c>
      <c r="AF2467">
        <v>2</v>
      </c>
      <c r="AG2467">
        <v>0</v>
      </c>
      <c r="AH2467">
        <v>0</v>
      </c>
      <c r="AI2467" s="4">
        <v>35377</v>
      </c>
    </row>
    <row r="2468" spans="1:35">
      <c r="A2468">
        <v>2467</v>
      </c>
      <c r="B2468" t="str">
        <f>"600765"</f>
        <v>600765</v>
      </c>
      <c r="C2468" t="s">
        <v>11636</v>
      </c>
      <c r="D2468" s="4">
        <v>43190</v>
      </c>
      <c r="E2468" t="s">
        <v>515</v>
      </c>
      <c r="F2468" t="s">
        <v>515</v>
      </c>
      <c r="G2468" t="s">
        <v>70</v>
      </c>
      <c r="H2468">
        <v>0.04</v>
      </c>
      <c r="I2468">
        <v>4.8499999999999996</v>
      </c>
      <c r="J2468">
        <v>0.73</v>
      </c>
      <c r="K2468" t="s">
        <v>521</v>
      </c>
      <c r="L2468">
        <v>-18.260000000000002</v>
      </c>
      <c r="M2468" t="s">
        <v>6109</v>
      </c>
      <c r="N2468" t="s">
        <v>11637</v>
      </c>
      <c r="O2468" t="s">
        <v>3614</v>
      </c>
      <c r="P2468" t="s">
        <v>4193</v>
      </c>
      <c r="Q2468">
        <v>-44.42</v>
      </c>
      <c r="R2468" t="s">
        <v>971</v>
      </c>
      <c r="S2468">
        <v>1.76</v>
      </c>
      <c r="T2468">
        <v>25.14</v>
      </c>
      <c r="U2468" t="s">
        <v>1745</v>
      </c>
      <c r="V2468" t="s">
        <v>2641</v>
      </c>
      <c r="W2468" t="s">
        <v>728</v>
      </c>
      <c r="X2468">
        <v>0.73</v>
      </c>
      <c r="Y2468" t="s">
        <v>3775</v>
      </c>
      <c r="Z2468" t="s">
        <v>4513</v>
      </c>
      <c r="AA2468" t="s">
        <v>924</v>
      </c>
      <c r="AB2468">
        <v>1.83</v>
      </c>
      <c r="AC2468" t="s">
        <v>1211</v>
      </c>
      <c r="AD2468">
        <v>30.33</v>
      </c>
      <c r="AE2468" t="s">
        <v>759</v>
      </c>
      <c r="AF2468">
        <v>1.91</v>
      </c>
      <c r="AG2468">
        <v>0</v>
      </c>
      <c r="AH2468">
        <v>0</v>
      </c>
      <c r="AI2468" s="4">
        <v>35375</v>
      </c>
    </row>
    <row r="2469" spans="1:35">
      <c r="A2469">
        <v>2468</v>
      </c>
      <c r="B2469" t="str">
        <f>"600739"</f>
        <v>600739</v>
      </c>
      <c r="C2469" t="s">
        <v>11638</v>
      </c>
      <c r="D2469" s="4">
        <v>43190</v>
      </c>
      <c r="E2469" t="s">
        <v>391</v>
      </c>
      <c r="F2469" t="s">
        <v>391</v>
      </c>
      <c r="G2469" t="s">
        <v>2323</v>
      </c>
      <c r="H2469">
        <v>0.1</v>
      </c>
      <c r="I2469">
        <v>13.18</v>
      </c>
      <c r="J2469">
        <v>0.73</v>
      </c>
      <c r="K2469" t="s">
        <v>1312</v>
      </c>
      <c r="L2469">
        <v>28.92</v>
      </c>
      <c r="M2469" t="s">
        <v>1360</v>
      </c>
      <c r="N2469" t="s">
        <v>1049</v>
      </c>
      <c r="O2469" t="s">
        <v>136</v>
      </c>
      <c r="P2469" t="s">
        <v>93</v>
      </c>
      <c r="Q2469">
        <v>-78.95</v>
      </c>
      <c r="R2469" t="s">
        <v>3449</v>
      </c>
      <c r="S2469">
        <v>7.29</v>
      </c>
      <c r="T2469">
        <v>10.69</v>
      </c>
      <c r="U2469" t="s">
        <v>2346</v>
      </c>
      <c r="V2469" t="s">
        <v>2013</v>
      </c>
      <c r="W2469" t="s">
        <v>1380</v>
      </c>
      <c r="X2469">
        <v>0.73</v>
      </c>
      <c r="Y2469" t="s">
        <v>587</v>
      </c>
      <c r="Z2469" t="s">
        <v>525</v>
      </c>
      <c r="AA2469" t="s">
        <v>428</v>
      </c>
      <c r="AB2469">
        <v>1.1000000000000001</v>
      </c>
      <c r="AC2469" t="s">
        <v>1495</v>
      </c>
      <c r="AD2469">
        <v>54.24</v>
      </c>
      <c r="AE2469" t="s">
        <v>1087</v>
      </c>
      <c r="AF2469">
        <v>4.1900000000000004</v>
      </c>
      <c r="AG2469">
        <v>0</v>
      </c>
      <c r="AH2469">
        <v>0</v>
      </c>
      <c r="AI2469" s="4">
        <v>35296</v>
      </c>
    </row>
    <row r="2470" spans="1:35">
      <c r="A2470">
        <v>2469</v>
      </c>
      <c r="B2470" t="str">
        <f>"600190"</f>
        <v>600190</v>
      </c>
      <c r="C2470" t="s">
        <v>11639</v>
      </c>
      <c r="D2470" s="4">
        <v>43190</v>
      </c>
      <c r="E2470" t="s">
        <v>1000</v>
      </c>
      <c r="F2470" t="s">
        <v>1678</v>
      </c>
      <c r="G2470">
        <v>0</v>
      </c>
      <c r="H2470">
        <v>0.02</v>
      </c>
      <c r="I2470">
        <v>3.03</v>
      </c>
      <c r="J2470">
        <v>0.73</v>
      </c>
      <c r="K2470" t="s">
        <v>538</v>
      </c>
      <c r="L2470">
        <v>62.19</v>
      </c>
      <c r="M2470" t="s">
        <v>7958</v>
      </c>
      <c r="N2470" t="s">
        <v>4885</v>
      </c>
      <c r="O2470" t="s">
        <v>11640</v>
      </c>
      <c r="P2470" t="s">
        <v>11641</v>
      </c>
      <c r="Q2470">
        <v>6.47</v>
      </c>
      <c r="R2470" t="s">
        <v>895</v>
      </c>
      <c r="S2470">
        <v>0.5</v>
      </c>
      <c r="T2470">
        <v>10.32</v>
      </c>
      <c r="U2470" t="s">
        <v>587</v>
      </c>
      <c r="V2470" t="s">
        <v>817</v>
      </c>
      <c r="W2470" t="s">
        <v>7220</v>
      </c>
      <c r="X2470">
        <v>0.73</v>
      </c>
      <c r="Y2470" t="s">
        <v>8883</v>
      </c>
      <c r="Z2470" t="s">
        <v>886</v>
      </c>
      <c r="AA2470" t="s">
        <v>3926</v>
      </c>
      <c r="AB2470">
        <v>1.01</v>
      </c>
      <c r="AC2470" t="s">
        <v>4162</v>
      </c>
      <c r="AD2470">
        <v>38.72</v>
      </c>
      <c r="AE2470" t="s">
        <v>1308</v>
      </c>
      <c r="AF2470">
        <v>1.33</v>
      </c>
      <c r="AG2470" t="s">
        <v>1435</v>
      </c>
      <c r="AH2470">
        <v>0</v>
      </c>
      <c r="AI2470" s="4">
        <v>36320</v>
      </c>
    </row>
    <row r="2471" spans="1:35">
      <c r="A2471">
        <v>2470</v>
      </c>
      <c r="B2471" t="str">
        <f>"300061"</f>
        <v>300061</v>
      </c>
      <c r="C2471" t="s">
        <v>11642</v>
      </c>
      <c r="D2471" s="4">
        <v>43190</v>
      </c>
      <c r="E2471" t="s">
        <v>1382</v>
      </c>
      <c r="F2471" t="s">
        <v>293</v>
      </c>
      <c r="G2471" t="s">
        <v>2738</v>
      </c>
      <c r="H2471">
        <v>0.05</v>
      </c>
      <c r="I2471">
        <v>6.71</v>
      </c>
      <c r="J2471">
        <v>0.73</v>
      </c>
      <c r="K2471" t="s">
        <v>2811</v>
      </c>
      <c r="L2471">
        <v>4.9800000000000004</v>
      </c>
      <c r="M2471" t="s">
        <v>8503</v>
      </c>
      <c r="N2471" t="s">
        <v>1598</v>
      </c>
      <c r="O2471" t="s">
        <v>10951</v>
      </c>
      <c r="P2471" t="s">
        <v>8168</v>
      </c>
      <c r="Q2471">
        <v>-52.51</v>
      </c>
      <c r="R2471" t="s">
        <v>1972</v>
      </c>
      <c r="S2471">
        <v>1.05</v>
      </c>
      <c r="T2471">
        <v>43.89</v>
      </c>
      <c r="U2471" t="s">
        <v>1669</v>
      </c>
      <c r="V2471" t="s">
        <v>1384</v>
      </c>
      <c r="W2471" t="s">
        <v>314</v>
      </c>
      <c r="X2471">
        <v>0.73</v>
      </c>
      <c r="Y2471" t="s">
        <v>675</v>
      </c>
      <c r="Z2471" t="s">
        <v>348</v>
      </c>
      <c r="AA2471" t="s">
        <v>862</v>
      </c>
      <c r="AB2471">
        <v>1.44</v>
      </c>
      <c r="AC2471" t="s">
        <v>816</v>
      </c>
      <c r="AD2471">
        <v>82.51</v>
      </c>
      <c r="AE2471" t="s">
        <v>352</v>
      </c>
      <c r="AF2471">
        <v>4.6399999999999997</v>
      </c>
      <c r="AG2471">
        <v>0</v>
      </c>
      <c r="AH2471">
        <v>0</v>
      </c>
      <c r="AI2471" s="4">
        <v>40256</v>
      </c>
    </row>
    <row r="2472" spans="1:35">
      <c r="A2472">
        <v>2471</v>
      </c>
      <c r="B2472" t="str">
        <f>"002783"</f>
        <v>002783</v>
      </c>
      <c r="C2472" t="s">
        <v>11643</v>
      </c>
      <c r="D2472" s="4">
        <v>43190</v>
      </c>
      <c r="E2472" t="s">
        <v>1967</v>
      </c>
      <c r="F2472" t="s">
        <v>368</v>
      </c>
      <c r="G2472">
        <v>5238</v>
      </c>
      <c r="H2472">
        <v>0.03</v>
      </c>
      <c r="I2472">
        <v>4.09</v>
      </c>
      <c r="J2472">
        <v>0.73</v>
      </c>
      <c r="K2472" t="s">
        <v>679</v>
      </c>
      <c r="L2472">
        <v>34.15</v>
      </c>
      <c r="M2472" t="s">
        <v>7426</v>
      </c>
      <c r="N2472" t="s">
        <v>4949</v>
      </c>
      <c r="O2472" t="s">
        <v>10695</v>
      </c>
      <c r="P2472" t="s">
        <v>1696</v>
      </c>
      <c r="Q2472">
        <v>-45.09</v>
      </c>
      <c r="R2472" t="s">
        <v>2445</v>
      </c>
      <c r="S2472">
        <v>1.69</v>
      </c>
      <c r="T2472">
        <v>28.01</v>
      </c>
      <c r="U2472" t="s">
        <v>1242</v>
      </c>
      <c r="V2472" t="s">
        <v>625</v>
      </c>
      <c r="W2472" t="s">
        <v>869</v>
      </c>
      <c r="X2472">
        <v>0.73</v>
      </c>
      <c r="Y2472" t="s">
        <v>300</v>
      </c>
      <c r="Z2472" t="s">
        <v>1590</v>
      </c>
      <c r="AA2472" t="s">
        <v>999</v>
      </c>
      <c r="AB2472">
        <v>1.96</v>
      </c>
      <c r="AC2472" t="s">
        <v>1384</v>
      </c>
      <c r="AD2472">
        <v>47.69</v>
      </c>
      <c r="AE2472" t="s">
        <v>78</v>
      </c>
      <c r="AF2472">
        <v>0.84</v>
      </c>
      <c r="AG2472">
        <v>0</v>
      </c>
      <c r="AH2472">
        <v>0</v>
      </c>
      <c r="AI2472" s="4">
        <v>42347</v>
      </c>
    </row>
    <row r="2473" spans="1:35">
      <c r="A2473">
        <v>2472</v>
      </c>
      <c r="B2473" t="str">
        <f>"002666"</f>
        <v>002666</v>
      </c>
      <c r="C2473" t="s">
        <v>11644</v>
      </c>
      <c r="D2473" s="4">
        <v>43190</v>
      </c>
      <c r="E2473" t="s">
        <v>4306</v>
      </c>
      <c r="F2473" t="s">
        <v>4962</v>
      </c>
      <c r="G2473" t="s">
        <v>4216</v>
      </c>
      <c r="H2473">
        <v>0.03</v>
      </c>
      <c r="I2473">
        <v>3.82</v>
      </c>
      <c r="J2473">
        <v>0.73</v>
      </c>
      <c r="K2473" t="s">
        <v>489</v>
      </c>
      <c r="L2473">
        <v>54.27</v>
      </c>
      <c r="M2473" t="s">
        <v>7259</v>
      </c>
      <c r="N2473" t="s">
        <v>9398</v>
      </c>
      <c r="O2473" t="s">
        <v>11645</v>
      </c>
      <c r="P2473" t="s">
        <v>7122</v>
      </c>
      <c r="Q2473">
        <v>-31.49</v>
      </c>
      <c r="R2473" t="s">
        <v>1223</v>
      </c>
      <c r="S2473">
        <v>1.45</v>
      </c>
      <c r="T2473">
        <v>14.06</v>
      </c>
      <c r="U2473" t="s">
        <v>2498</v>
      </c>
      <c r="V2473" t="s">
        <v>1213</v>
      </c>
      <c r="W2473" t="s">
        <v>592</v>
      </c>
      <c r="X2473">
        <v>0.73</v>
      </c>
      <c r="Y2473" t="s">
        <v>1044</v>
      </c>
      <c r="Z2473" t="s">
        <v>1444</v>
      </c>
      <c r="AA2473" t="s">
        <v>4328</v>
      </c>
      <c r="AB2473">
        <v>1.07</v>
      </c>
      <c r="AC2473" t="s">
        <v>371</v>
      </c>
      <c r="AD2473">
        <v>81.510000000000005</v>
      </c>
      <c r="AE2473" t="s">
        <v>5543</v>
      </c>
      <c r="AF2473">
        <v>1.3</v>
      </c>
      <c r="AG2473">
        <v>0</v>
      </c>
      <c r="AH2473">
        <v>0</v>
      </c>
      <c r="AI2473" s="4">
        <v>40995</v>
      </c>
    </row>
    <row r="2474" spans="1:35">
      <c r="A2474">
        <v>2473</v>
      </c>
      <c r="B2474" t="str">
        <f>"603019"</f>
        <v>603019</v>
      </c>
      <c r="C2474" t="s">
        <v>11646</v>
      </c>
      <c r="D2474" s="4">
        <v>43190</v>
      </c>
      <c r="E2474" t="s">
        <v>1714</v>
      </c>
      <c r="F2474" t="s">
        <v>1714</v>
      </c>
      <c r="G2474">
        <v>8246</v>
      </c>
      <c r="H2474">
        <v>0.04</v>
      </c>
      <c r="I2474">
        <v>4.82</v>
      </c>
      <c r="J2474">
        <v>0.72</v>
      </c>
      <c r="K2474" t="s">
        <v>80</v>
      </c>
      <c r="L2474">
        <v>78.91</v>
      </c>
      <c r="M2474" t="s">
        <v>5490</v>
      </c>
      <c r="N2474" t="s">
        <v>11647</v>
      </c>
      <c r="O2474" t="s">
        <v>9214</v>
      </c>
      <c r="P2474" t="s">
        <v>6510</v>
      </c>
      <c r="Q2474">
        <v>20.329999999999998</v>
      </c>
      <c r="R2474" t="s">
        <v>4194</v>
      </c>
      <c r="S2474">
        <v>1.27</v>
      </c>
      <c r="T2474">
        <v>17.62</v>
      </c>
      <c r="U2474" t="s">
        <v>4045</v>
      </c>
      <c r="V2474" t="s">
        <v>6368</v>
      </c>
      <c r="W2474" t="s">
        <v>1223</v>
      </c>
      <c r="X2474">
        <v>0.72</v>
      </c>
      <c r="Y2474" t="s">
        <v>1160</v>
      </c>
      <c r="Z2474" t="s">
        <v>3886</v>
      </c>
      <c r="AA2474" t="s">
        <v>1025</v>
      </c>
      <c r="AB2474">
        <v>8.7100000000000009</v>
      </c>
      <c r="AC2474" t="s">
        <v>907</v>
      </c>
      <c r="AD2474">
        <v>33.81</v>
      </c>
      <c r="AE2474" t="s">
        <v>848</v>
      </c>
      <c r="AF2474">
        <v>2.44</v>
      </c>
      <c r="AG2474">
        <v>0</v>
      </c>
      <c r="AH2474">
        <v>0</v>
      </c>
      <c r="AI2474" s="4">
        <v>41949</v>
      </c>
    </row>
    <row r="2475" spans="1:35">
      <c r="A2475">
        <v>2474</v>
      </c>
      <c r="B2475" t="str">
        <f>"603011"</f>
        <v>603011</v>
      </c>
      <c r="C2475" t="s">
        <v>11648</v>
      </c>
      <c r="D2475" s="4">
        <v>43190</v>
      </c>
      <c r="E2475" t="s">
        <v>4044</v>
      </c>
      <c r="F2475" t="s">
        <v>349</v>
      </c>
      <c r="G2475" t="s">
        <v>3620</v>
      </c>
      <c r="H2475">
        <v>0.03</v>
      </c>
      <c r="I2475">
        <v>3.78</v>
      </c>
      <c r="J2475">
        <v>0.72</v>
      </c>
      <c r="K2475" t="s">
        <v>2069</v>
      </c>
      <c r="L2475">
        <v>-1.71</v>
      </c>
      <c r="M2475" t="s">
        <v>6695</v>
      </c>
      <c r="N2475" t="s">
        <v>3991</v>
      </c>
      <c r="O2475" t="s">
        <v>11649</v>
      </c>
      <c r="P2475" t="s">
        <v>9476</v>
      </c>
      <c r="Q2475">
        <v>38.17</v>
      </c>
      <c r="R2475" t="s">
        <v>986</v>
      </c>
      <c r="S2475">
        <v>0.46</v>
      </c>
      <c r="T2475">
        <v>33.26</v>
      </c>
      <c r="U2475" t="s">
        <v>243</v>
      </c>
      <c r="V2475" t="s">
        <v>264</v>
      </c>
      <c r="W2475" t="s">
        <v>3726</v>
      </c>
      <c r="X2475">
        <v>0.72</v>
      </c>
      <c r="Y2475" t="s">
        <v>2111</v>
      </c>
      <c r="Z2475" t="s">
        <v>1436</v>
      </c>
      <c r="AA2475" t="s">
        <v>11650</v>
      </c>
      <c r="AB2475">
        <v>1.34</v>
      </c>
      <c r="AC2475" t="s">
        <v>646</v>
      </c>
      <c r="AD2475">
        <v>76.17</v>
      </c>
      <c r="AE2475" t="s">
        <v>1094</v>
      </c>
      <c r="AF2475">
        <v>2.27</v>
      </c>
      <c r="AG2475">
        <v>0</v>
      </c>
      <c r="AH2475">
        <v>0</v>
      </c>
      <c r="AI2475" s="4">
        <v>41950</v>
      </c>
    </row>
    <row r="2476" spans="1:35">
      <c r="A2476">
        <v>2475</v>
      </c>
      <c r="B2476" t="str">
        <f>"300171"</f>
        <v>300171</v>
      </c>
      <c r="C2476" t="s">
        <v>11651</v>
      </c>
      <c r="D2476" s="4">
        <v>43190</v>
      </c>
      <c r="E2476" t="s">
        <v>2532</v>
      </c>
      <c r="F2476" t="s">
        <v>1967</v>
      </c>
      <c r="G2476" t="s">
        <v>5650</v>
      </c>
      <c r="H2476">
        <v>0.03</v>
      </c>
      <c r="I2476">
        <v>4.8</v>
      </c>
      <c r="J2476">
        <v>0.72</v>
      </c>
      <c r="K2476" t="s">
        <v>2112</v>
      </c>
      <c r="L2476">
        <v>2.31</v>
      </c>
      <c r="M2476" t="s">
        <v>5097</v>
      </c>
      <c r="N2476" t="s">
        <v>11652</v>
      </c>
      <c r="O2476" t="s">
        <v>5740</v>
      </c>
      <c r="P2476" t="s">
        <v>5561</v>
      </c>
      <c r="Q2476">
        <v>-58.3</v>
      </c>
      <c r="R2476" t="s">
        <v>1094</v>
      </c>
      <c r="S2476">
        <v>1.62</v>
      </c>
      <c r="T2476">
        <v>34.65</v>
      </c>
      <c r="U2476" t="s">
        <v>3770</v>
      </c>
      <c r="V2476" t="s">
        <v>2498</v>
      </c>
      <c r="W2476" t="s">
        <v>750</v>
      </c>
      <c r="X2476">
        <v>0.72</v>
      </c>
      <c r="Y2476" t="s">
        <v>164</v>
      </c>
      <c r="Z2476" t="s">
        <v>264</v>
      </c>
      <c r="AA2476" t="s">
        <v>11653</v>
      </c>
      <c r="AB2476">
        <v>1.4</v>
      </c>
      <c r="AC2476" t="s">
        <v>1625</v>
      </c>
      <c r="AD2476">
        <v>68.92</v>
      </c>
      <c r="AE2476" t="s">
        <v>835</v>
      </c>
      <c r="AF2476">
        <v>1.8</v>
      </c>
      <c r="AG2476">
        <v>0</v>
      </c>
      <c r="AH2476">
        <v>0</v>
      </c>
      <c r="AI2476" s="4">
        <v>40575</v>
      </c>
    </row>
    <row r="2477" spans="1:35">
      <c r="A2477">
        <v>2476</v>
      </c>
      <c r="B2477" t="str">
        <f>"002779"</f>
        <v>002779</v>
      </c>
      <c r="C2477" t="s">
        <v>11654</v>
      </c>
      <c r="D2477" s="4">
        <v>43190</v>
      </c>
      <c r="E2477" t="s">
        <v>2306</v>
      </c>
      <c r="F2477" t="s">
        <v>11655</v>
      </c>
      <c r="G2477">
        <v>3332</v>
      </c>
      <c r="H2477">
        <v>0.03</v>
      </c>
      <c r="I2477">
        <v>4.8099999999999996</v>
      </c>
      <c r="J2477">
        <v>0.72</v>
      </c>
      <c r="K2477" t="s">
        <v>804</v>
      </c>
      <c r="L2477">
        <v>-13.76</v>
      </c>
      <c r="M2477" t="s">
        <v>4594</v>
      </c>
      <c r="N2477" t="s">
        <v>2075</v>
      </c>
      <c r="O2477" t="s">
        <v>5757</v>
      </c>
      <c r="P2477" t="s">
        <v>7944</v>
      </c>
      <c r="Q2477">
        <v>-45.32</v>
      </c>
      <c r="R2477" t="s">
        <v>2774</v>
      </c>
      <c r="S2477">
        <v>2.0699999999999998</v>
      </c>
      <c r="T2477">
        <v>18.66</v>
      </c>
      <c r="U2477" t="s">
        <v>1978</v>
      </c>
      <c r="V2477" t="s">
        <v>944</v>
      </c>
      <c r="W2477" t="s">
        <v>1077</v>
      </c>
      <c r="X2477">
        <v>0.72</v>
      </c>
      <c r="Y2477" t="s">
        <v>603</v>
      </c>
      <c r="Z2477" t="s">
        <v>284</v>
      </c>
      <c r="AA2477" t="s">
        <v>2748</v>
      </c>
      <c r="AB2477">
        <v>4.01</v>
      </c>
      <c r="AC2477" t="s">
        <v>2295</v>
      </c>
      <c r="AD2477">
        <v>78.28</v>
      </c>
      <c r="AE2477" t="s">
        <v>200</v>
      </c>
      <c r="AF2477">
        <v>1.48</v>
      </c>
      <c r="AG2477">
        <v>0</v>
      </c>
      <c r="AH2477">
        <v>0</v>
      </c>
      <c r="AI2477" s="4">
        <v>42347</v>
      </c>
    </row>
    <row r="2478" spans="1:35">
      <c r="A2478">
        <v>2477</v>
      </c>
      <c r="B2478" t="str">
        <f>"600200"</f>
        <v>600200</v>
      </c>
      <c r="C2478" t="s">
        <v>11656</v>
      </c>
      <c r="D2478" s="4">
        <v>43190</v>
      </c>
      <c r="E2478" t="s">
        <v>3859</v>
      </c>
      <c r="F2478" t="s">
        <v>1787</v>
      </c>
      <c r="G2478">
        <v>9679</v>
      </c>
      <c r="H2478">
        <v>0.03</v>
      </c>
      <c r="I2478">
        <v>4.0199999999999996</v>
      </c>
      <c r="J2478">
        <v>0.71</v>
      </c>
      <c r="K2478" t="s">
        <v>1121</v>
      </c>
      <c r="L2478">
        <v>-43.46</v>
      </c>
      <c r="M2478" t="s">
        <v>5766</v>
      </c>
      <c r="N2478" t="s">
        <v>11657</v>
      </c>
      <c r="O2478" t="s">
        <v>11658</v>
      </c>
      <c r="P2478" t="s">
        <v>11659</v>
      </c>
      <c r="Q2478">
        <v>-16.940000000000001</v>
      </c>
      <c r="R2478" t="s">
        <v>645</v>
      </c>
      <c r="S2478">
        <v>0.56999999999999995</v>
      </c>
      <c r="T2478">
        <v>34.54</v>
      </c>
      <c r="U2478" t="s">
        <v>811</v>
      </c>
      <c r="V2478" t="s">
        <v>1943</v>
      </c>
      <c r="W2478" t="s">
        <v>92</v>
      </c>
      <c r="X2478">
        <v>0.71</v>
      </c>
      <c r="Y2478" t="s">
        <v>867</v>
      </c>
      <c r="Z2478" t="s">
        <v>908</v>
      </c>
      <c r="AA2478" t="s">
        <v>262</v>
      </c>
      <c r="AB2478">
        <v>2</v>
      </c>
      <c r="AC2478" t="s">
        <v>1252</v>
      </c>
      <c r="AD2478">
        <v>62.66</v>
      </c>
      <c r="AE2478" t="s">
        <v>263</v>
      </c>
      <c r="AF2478">
        <v>2</v>
      </c>
      <c r="AG2478">
        <v>0</v>
      </c>
      <c r="AH2478">
        <v>0</v>
      </c>
      <c r="AI2478" s="4">
        <v>36251</v>
      </c>
    </row>
    <row r="2479" spans="1:35">
      <c r="A2479">
        <v>2478</v>
      </c>
      <c r="B2479" t="str">
        <f>"300057"</f>
        <v>300057</v>
      </c>
      <c r="C2479" t="s">
        <v>11660</v>
      </c>
      <c r="D2479" s="4">
        <v>43190</v>
      </c>
      <c r="E2479" t="s">
        <v>1768</v>
      </c>
      <c r="F2479" t="s">
        <v>205</v>
      </c>
      <c r="G2479" t="s">
        <v>4225</v>
      </c>
      <c r="H2479">
        <v>0.04</v>
      </c>
      <c r="I2479">
        <v>5.41</v>
      </c>
      <c r="J2479">
        <v>0.71</v>
      </c>
      <c r="K2479" t="s">
        <v>1198</v>
      </c>
      <c r="L2479">
        <v>48.37</v>
      </c>
      <c r="M2479" t="s">
        <v>11661</v>
      </c>
      <c r="N2479">
        <v>-4159</v>
      </c>
      <c r="O2479" t="s">
        <v>11662</v>
      </c>
      <c r="P2479" t="s">
        <v>4845</v>
      </c>
      <c r="Q2479">
        <v>3.12</v>
      </c>
      <c r="R2479" t="s">
        <v>5080</v>
      </c>
      <c r="S2479">
        <v>1.48</v>
      </c>
      <c r="T2479">
        <v>10.53</v>
      </c>
      <c r="U2479" t="s">
        <v>1064</v>
      </c>
      <c r="V2479" t="s">
        <v>1313</v>
      </c>
      <c r="W2479" t="s">
        <v>418</v>
      </c>
      <c r="X2479">
        <v>0.71</v>
      </c>
      <c r="Y2479" t="s">
        <v>1386</v>
      </c>
      <c r="Z2479" t="s">
        <v>1687</v>
      </c>
      <c r="AA2479" t="s">
        <v>668</v>
      </c>
      <c r="AB2479">
        <v>1.17</v>
      </c>
      <c r="AC2479" t="s">
        <v>1348</v>
      </c>
      <c r="AD2479">
        <v>43.44</v>
      </c>
      <c r="AE2479" t="s">
        <v>405</v>
      </c>
      <c r="AF2479">
        <v>2.8</v>
      </c>
      <c r="AG2479">
        <v>0</v>
      </c>
      <c r="AH2479">
        <v>0</v>
      </c>
      <c r="AI2479" s="4">
        <v>40235</v>
      </c>
    </row>
    <row r="2480" spans="1:35">
      <c r="A2480">
        <v>2479</v>
      </c>
      <c r="B2480" t="str">
        <f>"002523"</f>
        <v>002523</v>
      </c>
      <c r="C2480" t="s">
        <v>11663</v>
      </c>
      <c r="D2480" s="4">
        <v>43190</v>
      </c>
      <c r="E2480" t="s">
        <v>173</v>
      </c>
      <c r="F2480" t="s">
        <v>250</v>
      </c>
      <c r="G2480" t="s">
        <v>522</v>
      </c>
      <c r="H2480">
        <v>0.01</v>
      </c>
      <c r="I2480">
        <v>1.44</v>
      </c>
      <c r="J2480">
        <v>0.71</v>
      </c>
      <c r="K2480" t="s">
        <v>552</v>
      </c>
      <c r="L2480">
        <v>-0.31</v>
      </c>
      <c r="M2480" t="s">
        <v>7718</v>
      </c>
      <c r="N2480" t="s">
        <v>10628</v>
      </c>
      <c r="O2480" t="s">
        <v>7526</v>
      </c>
      <c r="P2480" t="s">
        <v>11664</v>
      </c>
      <c r="Q2480">
        <v>13.41</v>
      </c>
      <c r="R2480" t="s">
        <v>1827</v>
      </c>
      <c r="S2480">
        <v>0.27</v>
      </c>
      <c r="T2480">
        <v>29.03</v>
      </c>
      <c r="U2480" t="s">
        <v>4697</v>
      </c>
      <c r="V2480" t="s">
        <v>440</v>
      </c>
      <c r="W2480" t="s">
        <v>3119</v>
      </c>
      <c r="X2480">
        <v>0.71</v>
      </c>
      <c r="Y2480" t="s">
        <v>1033</v>
      </c>
      <c r="Z2480" t="s">
        <v>973</v>
      </c>
      <c r="AA2480" t="s">
        <v>7301</v>
      </c>
      <c r="AB2480">
        <v>2.15</v>
      </c>
      <c r="AC2480" t="s">
        <v>159</v>
      </c>
      <c r="AD2480">
        <v>62.3</v>
      </c>
      <c r="AE2480" t="s">
        <v>381</v>
      </c>
      <c r="AF2480">
        <v>0.04</v>
      </c>
      <c r="AG2480">
        <v>0</v>
      </c>
      <c r="AH2480">
        <v>0</v>
      </c>
      <c r="AI2480" s="4">
        <v>40522</v>
      </c>
    </row>
    <row r="2481" spans="1:35">
      <c r="A2481">
        <v>2480</v>
      </c>
      <c r="B2481" t="str">
        <f>"000797"</f>
        <v>000797</v>
      </c>
      <c r="C2481" t="s">
        <v>11665</v>
      </c>
      <c r="D2481" s="4">
        <v>43190</v>
      </c>
      <c r="E2481" t="s">
        <v>1094</v>
      </c>
      <c r="F2481" t="s">
        <v>910</v>
      </c>
      <c r="G2481" t="s">
        <v>11666</v>
      </c>
      <c r="H2481">
        <v>0.04</v>
      </c>
      <c r="I2481">
        <v>4.8</v>
      </c>
      <c r="J2481">
        <v>0.71</v>
      </c>
      <c r="K2481" t="s">
        <v>3238</v>
      </c>
      <c r="L2481">
        <v>2.92</v>
      </c>
      <c r="M2481" t="s">
        <v>8273</v>
      </c>
      <c r="N2481" t="s">
        <v>11667</v>
      </c>
      <c r="O2481" t="s">
        <v>11668</v>
      </c>
      <c r="P2481" t="s">
        <v>11669</v>
      </c>
      <c r="Q2481">
        <v>-38.18</v>
      </c>
      <c r="R2481" t="s">
        <v>2192</v>
      </c>
      <c r="S2481">
        <v>0.79</v>
      </c>
      <c r="T2481">
        <v>35.380000000000003</v>
      </c>
      <c r="U2481" t="s">
        <v>1453</v>
      </c>
      <c r="V2481" t="s">
        <v>463</v>
      </c>
      <c r="W2481" t="s">
        <v>1827</v>
      </c>
      <c r="X2481">
        <v>0.71</v>
      </c>
      <c r="Y2481" t="s">
        <v>1132</v>
      </c>
      <c r="Z2481" t="s">
        <v>367</v>
      </c>
      <c r="AA2481" t="s">
        <v>2941</v>
      </c>
      <c r="AB2481">
        <v>1.52</v>
      </c>
      <c r="AC2481" t="s">
        <v>3377</v>
      </c>
      <c r="AD2481">
        <v>37</v>
      </c>
      <c r="AE2481" t="s">
        <v>502</v>
      </c>
      <c r="AF2481">
        <v>2.77</v>
      </c>
      <c r="AG2481">
        <v>0</v>
      </c>
      <c r="AH2481">
        <v>0</v>
      </c>
      <c r="AI2481" s="4">
        <v>35626</v>
      </c>
    </row>
    <row r="2482" spans="1:35">
      <c r="A2482">
        <v>2481</v>
      </c>
      <c r="B2482" t="str">
        <f>"603637"</f>
        <v>603637</v>
      </c>
      <c r="C2482" t="s">
        <v>11670</v>
      </c>
      <c r="D2482" s="4">
        <v>43190</v>
      </c>
      <c r="E2482" t="s">
        <v>1855</v>
      </c>
      <c r="F2482" t="s">
        <v>11671</v>
      </c>
      <c r="G2482">
        <v>5048</v>
      </c>
      <c r="H2482">
        <v>0.03</v>
      </c>
      <c r="I2482">
        <v>4.07</v>
      </c>
      <c r="J2482">
        <v>0.7</v>
      </c>
      <c r="K2482" t="s">
        <v>2669</v>
      </c>
      <c r="L2482">
        <v>63.79</v>
      </c>
      <c r="M2482" t="s">
        <v>5972</v>
      </c>
      <c r="N2482" t="s">
        <v>11672</v>
      </c>
      <c r="O2482" t="s">
        <v>10219</v>
      </c>
      <c r="P2482" t="s">
        <v>9725</v>
      </c>
      <c r="Q2482">
        <v>435.04</v>
      </c>
      <c r="R2482" t="s">
        <v>66</v>
      </c>
      <c r="S2482">
        <v>1.1499999999999999</v>
      </c>
      <c r="T2482">
        <v>6.58</v>
      </c>
      <c r="U2482" t="s">
        <v>4861</v>
      </c>
      <c r="V2482" t="s">
        <v>649</v>
      </c>
      <c r="W2482" t="s">
        <v>7959</v>
      </c>
      <c r="X2482">
        <v>0.7</v>
      </c>
      <c r="Y2482" t="s">
        <v>1999</v>
      </c>
      <c r="Z2482" t="s">
        <v>1484</v>
      </c>
      <c r="AA2482" t="s">
        <v>8365</v>
      </c>
      <c r="AB2482">
        <v>2.94</v>
      </c>
      <c r="AC2482" t="s">
        <v>201</v>
      </c>
      <c r="AD2482">
        <v>75.48</v>
      </c>
      <c r="AE2482" t="s">
        <v>2729</v>
      </c>
      <c r="AF2482">
        <v>1.42</v>
      </c>
      <c r="AG2482">
        <v>0</v>
      </c>
      <c r="AH2482">
        <v>0</v>
      </c>
      <c r="AI2482" s="4">
        <v>42774</v>
      </c>
    </row>
    <row r="2483" spans="1:35">
      <c r="A2483">
        <v>2482</v>
      </c>
      <c r="B2483" t="str">
        <f>"603538"</f>
        <v>603538</v>
      </c>
      <c r="C2483" t="s">
        <v>11673</v>
      </c>
      <c r="D2483" s="4">
        <v>43190</v>
      </c>
      <c r="E2483" t="s">
        <v>280</v>
      </c>
      <c r="F2483" t="s">
        <v>11674</v>
      </c>
      <c r="G2483">
        <v>3057</v>
      </c>
      <c r="H2483">
        <v>7.0000000000000007E-2</v>
      </c>
      <c r="I2483">
        <v>9.3699999999999992</v>
      </c>
      <c r="J2483">
        <v>0.7</v>
      </c>
      <c r="K2483" t="s">
        <v>863</v>
      </c>
      <c r="L2483">
        <v>6.35</v>
      </c>
      <c r="M2483" t="s">
        <v>10350</v>
      </c>
      <c r="N2483" t="s">
        <v>854</v>
      </c>
      <c r="O2483" t="s">
        <v>7672</v>
      </c>
      <c r="P2483" t="s">
        <v>2223</v>
      </c>
      <c r="Q2483">
        <v>-40.770000000000003</v>
      </c>
      <c r="R2483" t="s">
        <v>1703</v>
      </c>
      <c r="S2483">
        <v>4.0599999999999996</v>
      </c>
      <c r="T2483">
        <v>26.58</v>
      </c>
      <c r="U2483" t="s">
        <v>298</v>
      </c>
      <c r="V2483" t="s">
        <v>1774</v>
      </c>
      <c r="W2483" t="s">
        <v>3674</v>
      </c>
      <c r="X2483">
        <v>0.7</v>
      </c>
      <c r="Y2483" t="s">
        <v>1436</v>
      </c>
      <c r="Z2483" t="s">
        <v>2685</v>
      </c>
      <c r="AA2483" t="s">
        <v>11226</v>
      </c>
      <c r="AB2483">
        <v>1.85</v>
      </c>
      <c r="AC2483" t="s">
        <v>147</v>
      </c>
      <c r="AD2483">
        <v>67.819999999999993</v>
      </c>
      <c r="AE2483" t="s">
        <v>1959</v>
      </c>
      <c r="AF2483">
        <v>4.22</v>
      </c>
      <c r="AG2483">
        <v>0</v>
      </c>
      <c r="AH2483">
        <v>0</v>
      </c>
      <c r="AI2483" s="4">
        <v>42832</v>
      </c>
    </row>
    <row r="2484" spans="1:35">
      <c r="A2484">
        <v>2483</v>
      </c>
      <c r="B2484" t="str">
        <f>"300256"</f>
        <v>300256</v>
      </c>
      <c r="C2484" t="s">
        <v>11675</v>
      </c>
      <c r="D2484" s="4">
        <v>43190</v>
      </c>
      <c r="E2484" t="s">
        <v>77</v>
      </c>
      <c r="F2484" t="s">
        <v>1652</v>
      </c>
      <c r="G2484" t="s">
        <v>708</v>
      </c>
      <c r="H2484">
        <v>0.02</v>
      </c>
      <c r="I2484">
        <v>3.53</v>
      </c>
      <c r="J2484">
        <v>0.7</v>
      </c>
      <c r="K2484" t="s">
        <v>835</v>
      </c>
      <c r="L2484">
        <v>-21.97</v>
      </c>
      <c r="M2484" t="s">
        <v>10088</v>
      </c>
      <c r="N2484" t="s">
        <v>11676</v>
      </c>
      <c r="O2484" t="s">
        <v>8339</v>
      </c>
      <c r="P2484" t="s">
        <v>6020</v>
      </c>
      <c r="Q2484">
        <v>144.09</v>
      </c>
      <c r="R2484" t="s">
        <v>95</v>
      </c>
      <c r="S2484">
        <v>0.19</v>
      </c>
      <c r="T2484">
        <v>17.3</v>
      </c>
      <c r="U2484" t="s">
        <v>7220</v>
      </c>
      <c r="V2484" t="s">
        <v>893</v>
      </c>
      <c r="W2484" t="s">
        <v>3356</v>
      </c>
      <c r="X2484">
        <v>0.7</v>
      </c>
      <c r="Y2484" t="s">
        <v>3645</v>
      </c>
      <c r="Z2484" t="s">
        <v>551</v>
      </c>
      <c r="AA2484" t="s">
        <v>6159</v>
      </c>
      <c r="AB2484">
        <v>1.0900000000000001</v>
      </c>
      <c r="AC2484" t="s">
        <v>457</v>
      </c>
      <c r="AD2484">
        <v>38.369999999999997</v>
      </c>
      <c r="AE2484" t="s">
        <v>1832</v>
      </c>
      <c r="AF2484">
        <v>2.36</v>
      </c>
      <c r="AG2484">
        <v>0</v>
      </c>
      <c r="AH2484">
        <v>0</v>
      </c>
      <c r="AI2484" s="4">
        <v>40774</v>
      </c>
    </row>
    <row r="2485" spans="1:35">
      <c r="A2485">
        <v>2484</v>
      </c>
      <c r="B2485" t="str">
        <f>"300036"</f>
        <v>300036</v>
      </c>
      <c r="C2485" t="s">
        <v>11677</v>
      </c>
      <c r="D2485" s="4">
        <v>43190</v>
      </c>
      <c r="E2485" t="s">
        <v>3321</v>
      </c>
      <c r="F2485" t="s">
        <v>593</v>
      </c>
      <c r="G2485">
        <v>9803</v>
      </c>
      <c r="H2485">
        <v>0.03</v>
      </c>
      <c r="I2485">
        <v>3.96</v>
      </c>
      <c r="J2485">
        <v>0.7</v>
      </c>
      <c r="K2485" t="s">
        <v>916</v>
      </c>
      <c r="L2485">
        <v>23.89</v>
      </c>
      <c r="M2485" t="s">
        <v>6903</v>
      </c>
      <c r="N2485" t="s">
        <v>11057</v>
      </c>
      <c r="O2485" t="s">
        <v>823</v>
      </c>
      <c r="P2485" t="s">
        <v>7302</v>
      </c>
      <c r="Q2485">
        <v>67.02</v>
      </c>
      <c r="R2485" t="s">
        <v>2563</v>
      </c>
      <c r="S2485">
        <v>1.03</v>
      </c>
      <c r="T2485">
        <v>52.72</v>
      </c>
      <c r="U2485" t="s">
        <v>1347</v>
      </c>
      <c r="V2485" t="s">
        <v>350</v>
      </c>
      <c r="W2485" t="s">
        <v>552</v>
      </c>
      <c r="X2485">
        <v>0.7</v>
      </c>
      <c r="Y2485" t="s">
        <v>3894</v>
      </c>
      <c r="Z2485" t="s">
        <v>4427</v>
      </c>
      <c r="AA2485" t="s">
        <v>368</v>
      </c>
      <c r="AB2485">
        <v>4.32</v>
      </c>
      <c r="AC2485" t="s">
        <v>754</v>
      </c>
      <c r="AD2485">
        <v>72.150000000000006</v>
      </c>
      <c r="AE2485" t="s">
        <v>1415</v>
      </c>
      <c r="AF2485">
        <v>1.85</v>
      </c>
      <c r="AG2485">
        <v>0</v>
      </c>
      <c r="AH2485">
        <v>0</v>
      </c>
      <c r="AI2485" s="4">
        <v>40172</v>
      </c>
    </row>
    <row r="2486" spans="1:35">
      <c r="A2486">
        <v>2485</v>
      </c>
      <c r="B2486" t="str">
        <f>"002682"</f>
        <v>002682</v>
      </c>
      <c r="C2486" t="s">
        <v>11678</v>
      </c>
      <c r="D2486" s="4">
        <v>43190</v>
      </c>
      <c r="E2486" t="s">
        <v>138</v>
      </c>
      <c r="F2486" t="s">
        <v>188</v>
      </c>
      <c r="G2486" t="s">
        <v>779</v>
      </c>
      <c r="H2486">
        <v>0.05</v>
      </c>
      <c r="I2486">
        <v>7.29</v>
      </c>
      <c r="J2486">
        <v>0.7</v>
      </c>
      <c r="K2486" t="s">
        <v>3157</v>
      </c>
      <c r="L2486">
        <v>44.48</v>
      </c>
      <c r="M2486" t="s">
        <v>1767</v>
      </c>
      <c r="N2486" t="s">
        <v>11679</v>
      </c>
      <c r="O2486" t="s">
        <v>11680</v>
      </c>
      <c r="P2486" t="s">
        <v>11681</v>
      </c>
      <c r="Q2486">
        <v>48.83</v>
      </c>
      <c r="R2486" t="s">
        <v>5415</v>
      </c>
      <c r="S2486">
        <v>1.87</v>
      </c>
      <c r="T2486">
        <v>15.12</v>
      </c>
      <c r="U2486" t="s">
        <v>2797</v>
      </c>
      <c r="V2486" t="s">
        <v>2541</v>
      </c>
      <c r="W2486" t="s">
        <v>263</v>
      </c>
      <c r="X2486">
        <v>0.7</v>
      </c>
      <c r="Y2486" t="s">
        <v>3303</v>
      </c>
      <c r="Z2486" t="s">
        <v>589</v>
      </c>
      <c r="AA2486" t="s">
        <v>835</v>
      </c>
      <c r="AB2486">
        <v>1.08</v>
      </c>
      <c r="AC2486" t="s">
        <v>426</v>
      </c>
      <c r="AD2486">
        <v>38</v>
      </c>
      <c r="AE2486" t="s">
        <v>1367</v>
      </c>
      <c r="AF2486">
        <v>4.22</v>
      </c>
      <c r="AG2486">
        <v>0</v>
      </c>
      <c r="AH2486">
        <v>0</v>
      </c>
      <c r="AI2486" s="4">
        <v>41072</v>
      </c>
    </row>
    <row r="2487" spans="1:35">
      <c r="A2487">
        <v>2486</v>
      </c>
      <c r="B2487" t="str">
        <f>"002500"</f>
        <v>002500</v>
      </c>
      <c r="C2487" t="s">
        <v>11682</v>
      </c>
      <c r="D2487" s="4">
        <v>43190</v>
      </c>
      <c r="E2487" t="s">
        <v>356</v>
      </c>
      <c r="F2487" t="s">
        <v>356</v>
      </c>
      <c r="G2487" t="s">
        <v>3438</v>
      </c>
      <c r="H2487">
        <v>0.03</v>
      </c>
      <c r="I2487">
        <v>4.3499999999999996</v>
      </c>
      <c r="J2487">
        <v>0.7</v>
      </c>
      <c r="K2487" t="s">
        <v>124</v>
      </c>
      <c r="L2487">
        <v>58.09</v>
      </c>
      <c r="M2487" t="s">
        <v>804</v>
      </c>
      <c r="N2487" t="s">
        <v>862</v>
      </c>
      <c r="O2487" t="s">
        <v>804</v>
      </c>
      <c r="P2487" t="s">
        <v>9720</v>
      </c>
      <c r="Q2487">
        <v>-37.47</v>
      </c>
      <c r="R2487" t="s">
        <v>855</v>
      </c>
      <c r="S2487">
        <v>0.44</v>
      </c>
      <c r="T2487">
        <v>0</v>
      </c>
      <c r="U2487" t="s">
        <v>3351</v>
      </c>
      <c r="V2487">
        <v>0</v>
      </c>
      <c r="W2487" t="s">
        <v>750</v>
      </c>
      <c r="X2487">
        <v>0.7</v>
      </c>
      <c r="Y2487" t="s">
        <v>397</v>
      </c>
      <c r="Z2487">
        <v>0</v>
      </c>
      <c r="AA2487">
        <v>0</v>
      </c>
      <c r="AB2487">
        <v>1.52</v>
      </c>
      <c r="AC2487" t="s">
        <v>932</v>
      </c>
      <c r="AD2487">
        <v>21.32</v>
      </c>
      <c r="AE2487" t="s">
        <v>247</v>
      </c>
      <c r="AF2487">
        <v>2.37</v>
      </c>
      <c r="AG2487">
        <v>0</v>
      </c>
      <c r="AH2487">
        <v>0</v>
      </c>
      <c r="AI2487" s="4">
        <v>40497</v>
      </c>
    </row>
    <row r="2488" spans="1:35">
      <c r="A2488">
        <v>2487</v>
      </c>
      <c r="B2488" t="str">
        <f>"000973"</f>
        <v>000973</v>
      </c>
      <c r="C2488" t="s">
        <v>11683</v>
      </c>
      <c r="D2488" s="4">
        <v>43190</v>
      </c>
      <c r="E2488" t="s">
        <v>77</v>
      </c>
      <c r="F2488" t="s">
        <v>77</v>
      </c>
      <c r="G2488">
        <v>9096</v>
      </c>
      <c r="H2488">
        <v>0.02</v>
      </c>
      <c r="I2488">
        <v>2.27</v>
      </c>
      <c r="J2488">
        <v>0.7</v>
      </c>
      <c r="K2488" t="s">
        <v>5842</v>
      </c>
      <c r="L2488">
        <v>-13.34</v>
      </c>
      <c r="M2488" t="s">
        <v>9730</v>
      </c>
      <c r="N2488" t="s">
        <v>9468</v>
      </c>
      <c r="O2488" t="s">
        <v>9730</v>
      </c>
      <c r="P2488" t="s">
        <v>8709</v>
      </c>
      <c r="Q2488">
        <v>-28.24</v>
      </c>
      <c r="R2488" t="s">
        <v>2637</v>
      </c>
      <c r="S2488">
        <v>0.72</v>
      </c>
      <c r="T2488">
        <v>21.22</v>
      </c>
      <c r="U2488" t="s">
        <v>1064</v>
      </c>
      <c r="V2488" t="s">
        <v>981</v>
      </c>
      <c r="W2488" t="s">
        <v>161</v>
      </c>
      <c r="X2488">
        <v>0.7</v>
      </c>
      <c r="Y2488" t="s">
        <v>946</v>
      </c>
      <c r="Z2488" t="s">
        <v>1347</v>
      </c>
      <c r="AA2488" t="s">
        <v>1935</v>
      </c>
      <c r="AB2488">
        <v>1.54</v>
      </c>
      <c r="AC2488" t="s">
        <v>261</v>
      </c>
      <c r="AD2488">
        <v>40.22</v>
      </c>
      <c r="AE2488" t="s">
        <v>90</v>
      </c>
      <c r="AF2488">
        <v>0.34</v>
      </c>
      <c r="AG2488">
        <v>0</v>
      </c>
      <c r="AH2488">
        <v>0</v>
      </c>
      <c r="AI2488" s="4">
        <v>36671</v>
      </c>
    </row>
    <row r="2489" spans="1:35">
      <c r="A2489">
        <v>2488</v>
      </c>
      <c r="B2489" t="str">
        <f>"000890"</f>
        <v>000890</v>
      </c>
      <c r="C2489" t="s">
        <v>11684</v>
      </c>
      <c r="D2489" s="4">
        <v>43190</v>
      </c>
      <c r="E2489" t="s">
        <v>1682</v>
      </c>
      <c r="F2489" t="s">
        <v>1682</v>
      </c>
      <c r="G2489" t="s">
        <v>103</v>
      </c>
      <c r="H2489">
        <v>0.02</v>
      </c>
      <c r="I2489">
        <v>2.4300000000000002</v>
      </c>
      <c r="J2489">
        <v>0.7</v>
      </c>
      <c r="K2489" t="s">
        <v>1731</v>
      </c>
      <c r="L2489">
        <v>-17.079999999999998</v>
      </c>
      <c r="M2489" t="s">
        <v>4729</v>
      </c>
      <c r="N2489" t="s">
        <v>11685</v>
      </c>
      <c r="O2489" t="s">
        <v>7701</v>
      </c>
      <c r="P2489" t="s">
        <v>11686</v>
      </c>
      <c r="Q2489">
        <v>-22.29</v>
      </c>
      <c r="R2489" t="s">
        <v>749</v>
      </c>
      <c r="S2489">
        <v>1.0900000000000001</v>
      </c>
      <c r="T2489">
        <v>5</v>
      </c>
      <c r="U2489" t="s">
        <v>252</v>
      </c>
      <c r="V2489" t="s">
        <v>3556</v>
      </c>
      <c r="W2489" t="s">
        <v>345</v>
      </c>
      <c r="X2489">
        <v>0.7</v>
      </c>
      <c r="Y2489" t="s">
        <v>8886</v>
      </c>
      <c r="Z2489" t="s">
        <v>6404</v>
      </c>
      <c r="AA2489" t="s">
        <v>616</v>
      </c>
      <c r="AB2489">
        <v>2.5499999999999998</v>
      </c>
      <c r="AC2489" t="s">
        <v>821</v>
      </c>
      <c r="AD2489">
        <v>8.8800000000000008</v>
      </c>
      <c r="AE2489" t="s">
        <v>5847</v>
      </c>
      <c r="AF2489">
        <v>0.04</v>
      </c>
      <c r="AG2489">
        <v>0</v>
      </c>
      <c r="AH2489">
        <v>0</v>
      </c>
      <c r="AI2489" s="4">
        <v>36179</v>
      </c>
    </row>
    <row r="2490" spans="1:35">
      <c r="A2490">
        <v>2489</v>
      </c>
      <c r="B2490" t="str">
        <f>"000016"</f>
        <v>000016</v>
      </c>
      <c r="C2490" t="s">
        <v>11687</v>
      </c>
      <c r="D2490" s="4">
        <v>43190</v>
      </c>
      <c r="E2490" t="s">
        <v>1213</v>
      </c>
      <c r="F2490" t="s">
        <v>847</v>
      </c>
      <c r="G2490">
        <v>0</v>
      </c>
      <c r="H2490">
        <v>0.02</v>
      </c>
      <c r="I2490">
        <v>3.19</v>
      </c>
      <c r="J2490">
        <v>0.7</v>
      </c>
      <c r="K2490" t="s">
        <v>3458</v>
      </c>
      <c r="L2490">
        <v>65.87</v>
      </c>
      <c r="M2490" t="s">
        <v>11688</v>
      </c>
      <c r="N2490" t="s">
        <v>11689</v>
      </c>
      <c r="O2490" t="s">
        <v>1365</v>
      </c>
      <c r="P2490" t="s">
        <v>11690</v>
      </c>
      <c r="Q2490">
        <v>112.45</v>
      </c>
      <c r="R2490" t="s">
        <v>2197</v>
      </c>
      <c r="S2490">
        <v>1.63</v>
      </c>
      <c r="T2490">
        <v>8.08</v>
      </c>
      <c r="U2490" t="s">
        <v>1468</v>
      </c>
      <c r="V2490" t="s">
        <v>432</v>
      </c>
      <c r="W2490" t="s">
        <v>983</v>
      </c>
      <c r="X2490">
        <v>0.7</v>
      </c>
      <c r="Y2490" t="s">
        <v>839</v>
      </c>
      <c r="Z2490" t="s">
        <v>899</v>
      </c>
      <c r="AA2490" t="s">
        <v>344</v>
      </c>
      <c r="AB2490">
        <v>1.4</v>
      </c>
      <c r="AC2490" t="s">
        <v>636</v>
      </c>
      <c r="AD2490">
        <v>34.29</v>
      </c>
      <c r="AE2490" t="s">
        <v>198</v>
      </c>
      <c r="AF2490">
        <v>0.04</v>
      </c>
      <c r="AG2490" t="s">
        <v>1644</v>
      </c>
      <c r="AH2490">
        <v>0</v>
      </c>
      <c r="AI2490" s="4">
        <v>33690</v>
      </c>
    </row>
    <row r="2491" spans="1:35">
      <c r="A2491">
        <v>2490</v>
      </c>
      <c r="B2491" t="str">
        <f>"603309"</f>
        <v>603309</v>
      </c>
      <c r="C2491" t="s">
        <v>11691</v>
      </c>
      <c r="D2491" s="4">
        <v>43190</v>
      </c>
      <c r="E2491" t="s">
        <v>293</v>
      </c>
      <c r="F2491" t="s">
        <v>293</v>
      </c>
      <c r="G2491" t="s">
        <v>4747</v>
      </c>
      <c r="H2491">
        <v>0.03</v>
      </c>
      <c r="I2491">
        <v>4.34</v>
      </c>
      <c r="J2491">
        <v>0.69</v>
      </c>
      <c r="K2491" t="s">
        <v>802</v>
      </c>
      <c r="L2491">
        <v>11.87</v>
      </c>
      <c r="M2491" t="s">
        <v>10371</v>
      </c>
      <c r="N2491" t="s">
        <v>3751</v>
      </c>
      <c r="O2491" t="s">
        <v>7568</v>
      </c>
      <c r="P2491" t="s">
        <v>2967</v>
      </c>
      <c r="Q2491">
        <v>-58.52</v>
      </c>
      <c r="R2491" t="s">
        <v>1712</v>
      </c>
      <c r="S2491">
        <v>1.61</v>
      </c>
      <c r="T2491">
        <v>33.03</v>
      </c>
      <c r="U2491" t="s">
        <v>895</v>
      </c>
      <c r="V2491" t="s">
        <v>695</v>
      </c>
      <c r="W2491" t="s">
        <v>669</v>
      </c>
      <c r="X2491">
        <v>0.69</v>
      </c>
      <c r="Y2491" t="s">
        <v>11692</v>
      </c>
      <c r="Z2491" t="s">
        <v>11693</v>
      </c>
      <c r="AA2491" t="s">
        <v>11694</v>
      </c>
      <c r="AB2491">
        <v>2.87</v>
      </c>
      <c r="AC2491" t="s">
        <v>8311</v>
      </c>
      <c r="AD2491">
        <v>89.4</v>
      </c>
      <c r="AE2491" t="s">
        <v>325</v>
      </c>
      <c r="AF2491">
        <v>1.54</v>
      </c>
      <c r="AG2491">
        <v>0</v>
      </c>
      <c r="AH2491">
        <v>0</v>
      </c>
      <c r="AI2491" s="4">
        <v>42065</v>
      </c>
    </row>
    <row r="2492" spans="1:35">
      <c r="A2492">
        <v>2491</v>
      </c>
      <c r="B2492" t="str">
        <f>"601600"</f>
        <v>601600</v>
      </c>
      <c r="C2492" t="s">
        <v>11695</v>
      </c>
      <c r="D2492" s="4">
        <v>43190</v>
      </c>
      <c r="E2492" t="s">
        <v>1741</v>
      </c>
      <c r="F2492" t="s">
        <v>2066</v>
      </c>
      <c r="G2492">
        <v>0</v>
      </c>
      <c r="H2492">
        <v>0.02</v>
      </c>
      <c r="I2492">
        <v>3.26</v>
      </c>
      <c r="J2492">
        <v>0.69</v>
      </c>
      <c r="K2492" t="s">
        <v>3512</v>
      </c>
      <c r="L2492">
        <v>-10.47</v>
      </c>
      <c r="M2492" t="s">
        <v>1394</v>
      </c>
      <c r="N2492" t="s">
        <v>986</v>
      </c>
      <c r="O2492" t="s">
        <v>5195</v>
      </c>
      <c r="P2492" t="s">
        <v>3441</v>
      </c>
      <c r="Q2492">
        <v>-19.399999999999999</v>
      </c>
      <c r="R2492" t="s">
        <v>11696</v>
      </c>
      <c r="S2492">
        <v>-0.21</v>
      </c>
      <c r="T2492">
        <v>7.67</v>
      </c>
      <c r="U2492" t="s">
        <v>11697</v>
      </c>
      <c r="V2492" t="s">
        <v>4372</v>
      </c>
      <c r="W2492" t="s">
        <v>11698</v>
      </c>
      <c r="X2492">
        <v>0.69</v>
      </c>
      <c r="Y2492" t="s">
        <v>11699</v>
      </c>
      <c r="Z2492" t="s">
        <v>11700</v>
      </c>
      <c r="AA2492" t="s">
        <v>11701</v>
      </c>
      <c r="AB2492">
        <v>1.17</v>
      </c>
      <c r="AC2492" t="s">
        <v>8821</v>
      </c>
      <c r="AD2492">
        <v>24.99</v>
      </c>
      <c r="AE2492" t="s">
        <v>11702</v>
      </c>
      <c r="AF2492">
        <v>2.0299999999999998</v>
      </c>
      <c r="AG2492">
        <v>0</v>
      </c>
      <c r="AH2492" t="s">
        <v>5550</v>
      </c>
      <c r="AI2492" s="4">
        <v>39202</v>
      </c>
    </row>
    <row r="2493" spans="1:35">
      <c r="A2493">
        <v>2492</v>
      </c>
      <c r="B2493" t="str">
        <f>"600458"</f>
        <v>600458</v>
      </c>
      <c r="C2493" t="s">
        <v>11703</v>
      </c>
      <c r="D2493" s="4">
        <v>43190</v>
      </c>
      <c r="E2493" t="s">
        <v>3157</v>
      </c>
      <c r="F2493" t="s">
        <v>2110</v>
      </c>
      <c r="G2493" t="s">
        <v>915</v>
      </c>
      <c r="H2493">
        <v>0.04</v>
      </c>
      <c r="I2493">
        <v>6.01</v>
      </c>
      <c r="J2493">
        <v>0.69</v>
      </c>
      <c r="K2493" t="s">
        <v>710</v>
      </c>
      <c r="L2493">
        <v>2.67</v>
      </c>
      <c r="M2493" t="s">
        <v>11704</v>
      </c>
      <c r="N2493">
        <v>0</v>
      </c>
      <c r="O2493" t="s">
        <v>4976</v>
      </c>
      <c r="P2493" t="s">
        <v>11268</v>
      </c>
      <c r="Q2493">
        <v>61.27</v>
      </c>
      <c r="R2493" t="s">
        <v>407</v>
      </c>
      <c r="S2493">
        <v>1.26</v>
      </c>
      <c r="T2493">
        <v>16.440000000000001</v>
      </c>
      <c r="U2493" t="s">
        <v>1741</v>
      </c>
      <c r="V2493" t="s">
        <v>5302</v>
      </c>
      <c r="W2493" t="s">
        <v>1252</v>
      </c>
      <c r="X2493">
        <v>0.69</v>
      </c>
      <c r="Y2493" t="s">
        <v>11002</v>
      </c>
      <c r="Z2493" t="s">
        <v>4672</v>
      </c>
      <c r="AA2493" t="s">
        <v>1391</v>
      </c>
      <c r="AB2493">
        <v>1.1399999999999999</v>
      </c>
      <c r="AC2493" t="s">
        <v>777</v>
      </c>
      <c r="AD2493">
        <v>32.65</v>
      </c>
      <c r="AE2493" t="s">
        <v>1515</v>
      </c>
      <c r="AF2493">
        <v>3.81</v>
      </c>
      <c r="AG2493">
        <v>0</v>
      </c>
      <c r="AH2493">
        <v>0</v>
      </c>
      <c r="AI2493" s="4">
        <v>37609</v>
      </c>
    </row>
    <row r="2494" spans="1:35">
      <c r="A2494">
        <v>2493</v>
      </c>
      <c r="B2494" t="str">
        <f>"600370"</f>
        <v>600370</v>
      </c>
      <c r="C2494" t="s">
        <v>11705</v>
      </c>
      <c r="D2494" s="4">
        <v>43190</v>
      </c>
      <c r="E2494" t="s">
        <v>2380</v>
      </c>
      <c r="F2494" t="s">
        <v>2380</v>
      </c>
      <c r="G2494" t="s">
        <v>6656</v>
      </c>
      <c r="H2494">
        <v>0.01</v>
      </c>
      <c r="I2494">
        <v>1.58</v>
      </c>
      <c r="J2494">
        <v>0.69</v>
      </c>
      <c r="K2494" t="s">
        <v>798</v>
      </c>
      <c r="L2494">
        <v>11.01</v>
      </c>
      <c r="M2494" t="s">
        <v>11706</v>
      </c>
      <c r="N2494">
        <v>0</v>
      </c>
      <c r="O2494" t="s">
        <v>11706</v>
      </c>
      <c r="P2494" t="s">
        <v>1740</v>
      </c>
      <c r="Q2494">
        <v>-42.06</v>
      </c>
      <c r="R2494" t="s">
        <v>2551</v>
      </c>
      <c r="S2494">
        <v>0.37</v>
      </c>
      <c r="T2494">
        <v>10.26</v>
      </c>
      <c r="U2494" t="s">
        <v>1455</v>
      </c>
      <c r="V2494" t="s">
        <v>855</v>
      </c>
      <c r="W2494" t="s">
        <v>4871</v>
      </c>
      <c r="X2494">
        <v>0.69</v>
      </c>
      <c r="Y2494" t="s">
        <v>1621</v>
      </c>
      <c r="Z2494" t="s">
        <v>1621</v>
      </c>
      <c r="AA2494">
        <v>0</v>
      </c>
      <c r="AB2494">
        <v>1.71</v>
      </c>
      <c r="AC2494" t="s">
        <v>926</v>
      </c>
      <c r="AD2494">
        <v>70.77</v>
      </c>
      <c r="AE2494" t="s">
        <v>11707</v>
      </c>
      <c r="AF2494">
        <v>7.0000000000000007E-2</v>
      </c>
      <c r="AG2494">
        <v>0</v>
      </c>
      <c r="AH2494">
        <v>0</v>
      </c>
      <c r="AI2494" s="4">
        <v>37686</v>
      </c>
    </row>
    <row r="2495" spans="1:35">
      <c r="A2495">
        <v>2494</v>
      </c>
      <c r="B2495" t="str">
        <f>"600228"</f>
        <v>600228</v>
      </c>
      <c r="C2495" t="s">
        <v>11708</v>
      </c>
      <c r="D2495" s="4">
        <v>43190</v>
      </c>
      <c r="E2495" t="s">
        <v>1489</v>
      </c>
      <c r="F2495" t="s">
        <v>1489</v>
      </c>
      <c r="G2495" t="s">
        <v>4495</v>
      </c>
      <c r="H2495">
        <v>0</v>
      </c>
      <c r="I2495">
        <v>0.22</v>
      </c>
      <c r="J2495">
        <v>0.69</v>
      </c>
      <c r="K2495" t="s">
        <v>86</v>
      </c>
      <c r="L2495">
        <v>10.72</v>
      </c>
      <c r="M2495" t="s">
        <v>6177</v>
      </c>
      <c r="N2495">
        <v>0</v>
      </c>
      <c r="O2495" t="s">
        <v>3460</v>
      </c>
      <c r="P2495" t="s">
        <v>11709</v>
      </c>
      <c r="Q2495">
        <v>105.43</v>
      </c>
      <c r="R2495" t="s">
        <v>11710</v>
      </c>
      <c r="S2495">
        <v>-2.31</v>
      </c>
      <c r="T2495">
        <v>14.75</v>
      </c>
      <c r="U2495" t="s">
        <v>342</v>
      </c>
      <c r="V2495" t="s">
        <v>1597</v>
      </c>
      <c r="W2495" t="s">
        <v>651</v>
      </c>
      <c r="X2495">
        <v>0.69</v>
      </c>
      <c r="Y2495" t="s">
        <v>1077</v>
      </c>
      <c r="Z2495" t="s">
        <v>2034</v>
      </c>
      <c r="AA2495" t="s">
        <v>6105</v>
      </c>
      <c r="AB2495">
        <v>36.71</v>
      </c>
      <c r="AC2495" t="s">
        <v>11711</v>
      </c>
      <c r="AD2495">
        <v>17.350000000000001</v>
      </c>
      <c r="AE2495" t="s">
        <v>678</v>
      </c>
      <c r="AF2495">
        <v>1.4</v>
      </c>
      <c r="AG2495">
        <v>0</v>
      </c>
      <c r="AH2495">
        <v>0</v>
      </c>
      <c r="AI2495" s="4">
        <v>36179</v>
      </c>
    </row>
    <row r="2496" spans="1:35">
      <c r="A2496">
        <v>2495</v>
      </c>
      <c r="B2496" t="str">
        <f>"600008"</f>
        <v>600008</v>
      </c>
      <c r="C2496" t="s">
        <v>11712</v>
      </c>
      <c r="D2496" s="4">
        <v>43190</v>
      </c>
      <c r="E2496" t="s">
        <v>1715</v>
      </c>
      <c r="F2496" t="s">
        <v>1715</v>
      </c>
      <c r="G2496" t="s">
        <v>853</v>
      </c>
      <c r="H2496">
        <v>0.02</v>
      </c>
      <c r="I2496">
        <v>1.62</v>
      </c>
      <c r="J2496">
        <v>0.69</v>
      </c>
      <c r="K2496" t="s">
        <v>1693</v>
      </c>
      <c r="L2496">
        <v>19.66</v>
      </c>
      <c r="M2496" t="s">
        <v>1855</v>
      </c>
      <c r="N2496" t="s">
        <v>6370</v>
      </c>
      <c r="O2496" t="s">
        <v>1200</v>
      </c>
      <c r="P2496" t="s">
        <v>9106</v>
      </c>
      <c r="Q2496">
        <v>-17.829999999999998</v>
      </c>
      <c r="R2496" t="s">
        <v>159</v>
      </c>
      <c r="S2496">
        <v>0.35</v>
      </c>
      <c r="T2496">
        <v>33.299999999999997</v>
      </c>
      <c r="U2496" t="s">
        <v>7032</v>
      </c>
      <c r="V2496" t="s">
        <v>2066</v>
      </c>
      <c r="W2496" t="s">
        <v>1050</v>
      </c>
      <c r="X2496">
        <v>0.69</v>
      </c>
      <c r="Y2496" t="s">
        <v>436</v>
      </c>
      <c r="Z2496" t="s">
        <v>1292</v>
      </c>
      <c r="AA2496" t="s">
        <v>5633</v>
      </c>
      <c r="AB2496">
        <v>2.73</v>
      </c>
      <c r="AC2496" t="s">
        <v>932</v>
      </c>
      <c r="AD2496">
        <v>23.72</v>
      </c>
      <c r="AE2496" t="s">
        <v>4008</v>
      </c>
      <c r="AF2496">
        <v>0.13</v>
      </c>
      <c r="AG2496">
        <v>0</v>
      </c>
      <c r="AH2496">
        <v>0</v>
      </c>
      <c r="AI2496" s="4">
        <v>36643</v>
      </c>
    </row>
    <row r="2497" spans="1:35">
      <c r="A2497">
        <v>2496</v>
      </c>
      <c r="B2497" t="str">
        <f>"300553"</f>
        <v>300553</v>
      </c>
      <c r="C2497" t="s">
        <v>11713</v>
      </c>
      <c r="D2497" s="4">
        <v>43190</v>
      </c>
      <c r="E2497" t="s">
        <v>2780</v>
      </c>
      <c r="F2497" t="s">
        <v>5191</v>
      </c>
      <c r="G2497">
        <v>1908</v>
      </c>
      <c r="H2497">
        <v>0.05</v>
      </c>
      <c r="I2497">
        <v>6.51</v>
      </c>
      <c r="J2497">
        <v>0.69</v>
      </c>
      <c r="K2497" t="s">
        <v>7825</v>
      </c>
      <c r="L2497">
        <v>53.19</v>
      </c>
      <c r="M2497" t="s">
        <v>2091</v>
      </c>
      <c r="N2497">
        <v>7014</v>
      </c>
      <c r="O2497" t="s">
        <v>2091</v>
      </c>
      <c r="P2497" t="s">
        <v>4467</v>
      </c>
      <c r="Q2497">
        <v>-53.35</v>
      </c>
      <c r="R2497" t="s">
        <v>11714</v>
      </c>
      <c r="S2497">
        <v>1.72</v>
      </c>
      <c r="T2497">
        <v>44.36</v>
      </c>
      <c r="U2497" t="s">
        <v>218</v>
      </c>
      <c r="V2497" t="s">
        <v>998</v>
      </c>
      <c r="W2497" t="s">
        <v>11715</v>
      </c>
      <c r="X2497">
        <v>0.69</v>
      </c>
      <c r="Y2497" t="s">
        <v>10704</v>
      </c>
      <c r="Z2497" t="s">
        <v>10704</v>
      </c>
      <c r="AA2497">
        <v>0</v>
      </c>
      <c r="AB2497">
        <v>5.35</v>
      </c>
      <c r="AC2497" t="s">
        <v>144</v>
      </c>
      <c r="AD2497">
        <v>92.7</v>
      </c>
      <c r="AE2497" t="s">
        <v>64</v>
      </c>
      <c r="AF2497">
        <v>3.43</v>
      </c>
      <c r="AG2497">
        <v>0</v>
      </c>
      <c r="AH2497">
        <v>0</v>
      </c>
      <c r="AI2497" s="4">
        <v>42664</v>
      </c>
    </row>
    <row r="2498" spans="1:35">
      <c r="A2498">
        <v>2497</v>
      </c>
      <c r="B2498" t="str">
        <f>"300337"</f>
        <v>300337</v>
      </c>
      <c r="C2498" t="s">
        <v>11716</v>
      </c>
      <c r="D2498" s="4">
        <v>43190</v>
      </c>
      <c r="E2498" t="s">
        <v>544</v>
      </c>
      <c r="F2498" t="s">
        <v>5415</v>
      </c>
      <c r="G2498" t="s">
        <v>11717</v>
      </c>
      <c r="H2498">
        <v>0.01</v>
      </c>
      <c r="I2498">
        <v>1.89</v>
      </c>
      <c r="J2498">
        <v>0.69</v>
      </c>
      <c r="K2498" t="s">
        <v>611</v>
      </c>
      <c r="L2498">
        <v>10.42</v>
      </c>
      <c r="M2498" t="s">
        <v>1635</v>
      </c>
      <c r="N2498" t="s">
        <v>11718</v>
      </c>
      <c r="O2498" t="s">
        <v>5331</v>
      </c>
      <c r="P2498" t="s">
        <v>5331</v>
      </c>
      <c r="Q2498">
        <v>-51.69</v>
      </c>
      <c r="R2498" t="s">
        <v>280</v>
      </c>
      <c r="S2498">
        <v>0.15</v>
      </c>
      <c r="T2498">
        <v>9.56</v>
      </c>
      <c r="U2498" t="s">
        <v>1881</v>
      </c>
      <c r="V2498" t="s">
        <v>1307</v>
      </c>
      <c r="W2498" t="s">
        <v>264</v>
      </c>
      <c r="X2498">
        <v>0.69</v>
      </c>
      <c r="Y2498" t="s">
        <v>1082</v>
      </c>
      <c r="Z2498" t="s">
        <v>3986</v>
      </c>
      <c r="AA2498" t="s">
        <v>2807</v>
      </c>
      <c r="AB2498">
        <v>3.36</v>
      </c>
      <c r="AC2498" t="s">
        <v>747</v>
      </c>
      <c r="AD2498">
        <v>54.9</v>
      </c>
      <c r="AE2498" t="s">
        <v>2490</v>
      </c>
      <c r="AF2498">
        <v>0.7</v>
      </c>
      <c r="AG2498">
        <v>0</v>
      </c>
      <c r="AH2498">
        <v>0</v>
      </c>
      <c r="AI2498" s="4">
        <v>41108</v>
      </c>
    </row>
    <row r="2499" spans="1:35">
      <c r="A2499">
        <v>2498</v>
      </c>
      <c r="B2499" t="str">
        <f>"002368"</f>
        <v>002368</v>
      </c>
      <c r="C2499" t="s">
        <v>11719</v>
      </c>
      <c r="D2499" s="4">
        <v>43190</v>
      </c>
      <c r="E2499" t="s">
        <v>749</v>
      </c>
      <c r="F2499" t="s">
        <v>150</v>
      </c>
      <c r="G2499" t="s">
        <v>3585</v>
      </c>
      <c r="H2499">
        <v>0.04</v>
      </c>
      <c r="I2499">
        <v>6.35</v>
      </c>
      <c r="J2499">
        <v>0.69</v>
      </c>
      <c r="K2499" t="s">
        <v>173</v>
      </c>
      <c r="L2499">
        <v>10.210000000000001</v>
      </c>
      <c r="M2499" t="s">
        <v>8944</v>
      </c>
      <c r="N2499" t="s">
        <v>11720</v>
      </c>
      <c r="O2499" t="s">
        <v>11721</v>
      </c>
      <c r="P2499" t="s">
        <v>4242</v>
      </c>
      <c r="Q2499">
        <v>8.06</v>
      </c>
      <c r="R2499" t="s">
        <v>973</v>
      </c>
      <c r="S2499">
        <v>2.77</v>
      </c>
      <c r="T2499">
        <v>18.04</v>
      </c>
      <c r="U2499" t="s">
        <v>1023</v>
      </c>
      <c r="V2499" t="s">
        <v>110</v>
      </c>
      <c r="W2499" t="s">
        <v>846</v>
      </c>
      <c r="X2499">
        <v>0.69</v>
      </c>
      <c r="Y2499" t="s">
        <v>886</v>
      </c>
      <c r="Z2499" t="s">
        <v>1233</v>
      </c>
      <c r="AA2499" t="s">
        <v>2468</v>
      </c>
      <c r="AB2499">
        <v>3.89</v>
      </c>
      <c r="AC2499" t="s">
        <v>1785</v>
      </c>
      <c r="AD2499">
        <v>34.44</v>
      </c>
      <c r="AE2499" t="s">
        <v>5928</v>
      </c>
      <c r="AF2499">
        <v>2.36</v>
      </c>
      <c r="AG2499">
        <v>0</v>
      </c>
      <c r="AH2499">
        <v>0</v>
      </c>
      <c r="AI2499" s="4">
        <v>40249</v>
      </c>
    </row>
    <row r="2500" spans="1:35">
      <c r="A2500">
        <v>2499</v>
      </c>
      <c r="B2500" t="str">
        <f>"002041"</f>
        <v>002041</v>
      </c>
      <c r="C2500" t="s">
        <v>11722</v>
      </c>
      <c r="D2500" s="4">
        <v>43190</v>
      </c>
      <c r="E2500" t="s">
        <v>4194</v>
      </c>
      <c r="F2500" t="s">
        <v>2131</v>
      </c>
      <c r="G2500" t="s">
        <v>7516</v>
      </c>
      <c r="H2500">
        <v>0.02</v>
      </c>
      <c r="I2500">
        <v>3.16</v>
      </c>
      <c r="J2500">
        <v>0.69</v>
      </c>
      <c r="K2500" t="s">
        <v>657</v>
      </c>
      <c r="L2500">
        <v>-31.34</v>
      </c>
      <c r="M2500" t="s">
        <v>9560</v>
      </c>
      <c r="N2500" t="s">
        <v>11723</v>
      </c>
      <c r="O2500" t="s">
        <v>7767</v>
      </c>
      <c r="P2500" t="s">
        <v>11724</v>
      </c>
      <c r="Q2500">
        <v>-56.84</v>
      </c>
      <c r="R2500" t="s">
        <v>115</v>
      </c>
      <c r="S2500">
        <v>1.87</v>
      </c>
      <c r="T2500">
        <v>35.32</v>
      </c>
      <c r="U2500" t="s">
        <v>1419</v>
      </c>
      <c r="V2500" t="s">
        <v>1242</v>
      </c>
      <c r="W2500" t="s">
        <v>1056</v>
      </c>
      <c r="X2500">
        <v>0.69</v>
      </c>
      <c r="Y2500" t="s">
        <v>2685</v>
      </c>
      <c r="Z2500" t="s">
        <v>806</v>
      </c>
      <c r="AA2500" t="s">
        <v>6635</v>
      </c>
      <c r="AB2500">
        <v>2.5</v>
      </c>
      <c r="AC2500" t="s">
        <v>1881</v>
      </c>
      <c r="AD2500">
        <v>74.23</v>
      </c>
      <c r="AE2500" t="s">
        <v>9974</v>
      </c>
      <c r="AF2500">
        <v>0.03</v>
      </c>
      <c r="AG2500">
        <v>0</v>
      </c>
      <c r="AH2500">
        <v>0</v>
      </c>
      <c r="AI2500" s="4">
        <v>38460</v>
      </c>
    </row>
    <row r="2501" spans="1:35">
      <c r="A2501">
        <v>2500</v>
      </c>
      <c r="B2501" t="str">
        <f>"000722"</f>
        <v>000722</v>
      </c>
      <c r="C2501" t="s">
        <v>11725</v>
      </c>
      <c r="D2501" s="4">
        <v>43190</v>
      </c>
      <c r="E2501" t="s">
        <v>4613</v>
      </c>
      <c r="F2501" t="s">
        <v>4613</v>
      </c>
      <c r="G2501" t="s">
        <v>5706</v>
      </c>
      <c r="H2501">
        <v>0.04</v>
      </c>
      <c r="I2501">
        <v>5.99</v>
      </c>
      <c r="J2501">
        <v>0.69</v>
      </c>
      <c r="K2501" t="s">
        <v>11726</v>
      </c>
      <c r="L2501">
        <v>-15.08</v>
      </c>
      <c r="M2501" t="s">
        <v>6510</v>
      </c>
      <c r="N2501" t="s">
        <v>9017</v>
      </c>
      <c r="O2501" t="s">
        <v>6510</v>
      </c>
      <c r="P2501" t="s">
        <v>9616</v>
      </c>
      <c r="Q2501">
        <v>-32.770000000000003</v>
      </c>
      <c r="R2501" t="s">
        <v>2069</v>
      </c>
      <c r="S2501">
        <v>0.32</v>
      </c>
      <c r="T2501">
        <v>36.97</v>
      </c>
      <c r="U2501" t="s">
        <v>423</v>
      </c>
      <c r="V2501" t="s">
        <v>3651</v>
      </c>
      <c r="W2501" t="s">
        <v>847</v>
      </c>
      <c r="X2501">
        <v>0.69</v>
      </c>
      <c r="Y2501" t="s">
        <v>1417</v>
      </c>
      <c r="Z2501" t="s">
        <v>11727</v>
      </c>
      <c r="AA2501" t="s">
        <v>711</v>
      </c>
      <c r="AB2501">
        <v>1.03</v>
      </c>
      <c r="AC2501" t="s">
        <v>700</v>
      </c>
      <c r="AD2501">
        <v>88.95</v>
      </c>
      <c r="AE2501" t="s">
        <v>420</v>
      </c>
      <c r="AF2501">
        <v>4.6100000000000003</v>
      </c>
      <c r="AG2501">
        <v>0</v>
      </c>
      <c r="AH2501">
        <v>0</v>
      </c>
      <c r="AI2501" s="4">
        <v>35572</v>
      </c>
    </row>
    <row r="2502" spans="1:35">
      <c r="A2502">
        <v>2501</v>
      </c>
      <c r="B2502" t="str">
        <f>"600021"</f>
        <v>600021</v>
      </c>
      <c r="C2502" t="s">
        <v>11728</v>
      </c>
      <c r="D2502" s="4">
        <v>43190</v>
      </c>
      <c r="E2502" t="s">
        <v>1213</v>
      </c>
      <c r="F2502" t="s">
        <v>297</v>
      </c>
      <c r="G2502">
        <v>7120</v>
      </c>
      <c r="H2502">
        <v>0.04</v>
      </c>
      <c r="I2502">
        <v>5.09</v>
      </c>
      <c r="J2502">
        <v>0.68</v>
      </c>
      <c r="K2502" t="s">
        <v>2419</v>
      </c>
      <c r="L2502">
        <v>21.31</v>
      </c>
      <c r="M2502" t="s">
        <v>681</v>
      </c>
      <c r="N2502" t="s">
        <v>197</v>
      </c>
      <c r="O2502" t="s">
        <v>1028</v>
      </c>
      <c r="P2502" t="s">
        <v>7593</v>
      </c>
      <c r="Q2502">
        <v>-31.8</v>
      </c>
      <c r="R2502" t="s">
        <v>5300</v>
      </c>
      <c r="S2502">
        <v>1.66</v>
      </c>
      <c r="T2502">
        <v>17.71</v>
      </c>
      <c r="U2502" t="s">
        <v>11729</v>
      </c>
      <c r="V2502" t="s">
        <v>404</v>
      </c>
      <c r="W2502" t="s">
        <v>8683</v>
      </c>
      <c r="X2502">
        <v>0.68</v>
      </c>
      <c r="Y2502" t="s">
        <v>2017</v>
      </c>
      <c r="Z2502" t="s">
        <v>4408</v>
      </c>
      <c r="AA2502" t="s">
        <v>11730</v>
      </c>
      <c r="AB2502">
        <v>1.35</v>
      </c>
      <c r="AC2502" t="s">
        <v>311</v>
      </c>
      <c r="AD2502">
        <v>15.34</v>
      </c>
      <c r="AE2502" t="s">
        <v>2691</v>
      </c>
      <c r="AF2502">
        <v>2.31</v>
      </c>
      <c r="AG2502">
        <v>0</v>
      </c>
      <c r="AH2502">
        <v>0</v>
      </c>
      <c r="AI2502" s="4">
        <v>37923</v>
      </c>
    </row>
    <row r="2503" spans="1:35">
      <c r="A2503">
        <v>2502</v>
      </c>
      <c r="B2503" t="str">
        <f>"603388"</f>
        <v>603388</v>
      </c>
      <c r="C2503" t="s">
        <v>11731</v>
      </c>
      <c r="D2503" s="4">
        <v>43190</v>
      </c>
      <c r="E2503" t="s">
        <v>1970</v>
      </c>
      <c r="F2503" t="s">
        <v>6772</v>
      </c>
      <c r="G2503">
        <v>7276</v>
      </c>
      <c r="H2503">
        <v>0.03</v>
      </c>
      <c r="I2503">
        <v>3.8</v>
      </c>
      <c r="J2503">
        <v>0.68</v>
      </c>
      <c r="K2503" t="s">
        <v>993</v>
      </c>
      <c r="L2503">
        <v>95.25</v>
      </c>
      <c r="M2503" t="s">
        <v>11419</v>
      </c>
      <c r="N2503" t="s">
        <v>11732</v>
      </c>
      <c r="O2503" t="s">
        <v>9100</v>
      </c>
      <c r="P2503" t="s">
        <v>4452</v>
      </c>
      <c r="Q2503">
        <v>110.89</v>
      </c>
      <c r="R2503" t="s">
        <v>2102</v>
      </c>
      <c r="S2503">
        <v>1.38</v>
      </c>
      <c r="T2503">
        <v>26.75</v>
      </c>
      <c r="U2503" t="s">
        <v>891</v>
      </c>
      <c r="V2503" t="s">
        <v>747</v>
      </c>
      <c r="W2503" t="s">
        <v>11733</v>
      </c>
      <c r="X2503">
        <v>0.68</v>
      </c>
      <c r="Y2503" t="s">
        <v>699</v>
      </c>
      <c r="Z2503" t="s">
        <v>906</v>
      </c>
      <c r="AA2503" t="s">
        <v>862</v>
      </c>
      <c r="AB2503">
        <v>3.71</v>
      </c>
      <c r="AC2503" t="s">
        <v>776</v>
      </c>
      <c r="AD2503">
        <v>42.09</v>
      </c>
      <c r="AE2503" t="s">
        <v>1530</v>
      </c>
      <c r="AF2503">
        <v>1.55</v>
      </c>
      <c r="AG2503">
        <v>0</v>
      </c>
      <c r="AH2503">
        <v>0</v>
      </c>
      <c r="AI2503" s="4">
        <v>42818</v>
      </c>
    </row>
    <row r="2504" spans="1:35">
      <c r="A2504">
        <v>2503</v>
      </c>
      <c r="B2504" t="str">
        <f>"600980"</f>
        <v>600980</v>
      </c>
      <c r="C2504" t="s">
        <v>11734</v>
      </c>
      <c r="D2504" s="4">
        <v>43190</v>
      </c>
      <c r="E2504" t="s">
        <v>1936</v>
      </c>
      <c r="F2504" t="s">
        <v>326</v>
      </c>
      <c r="G2504">
        <v>5357</v>
      </c>
      <c r="H2504">
        <v>0.03</v>
      </c>
      <c r="I2504">
        <v>3.63</v>
      </c>
      <c r="J2504">
        <v>0.68</v>
      </c>
      <c r="K2504" t="s">
        <v>11735</v>
      </c>
      <c r="L2504">
        <v>11.51</v>
      </c>
      <c r="M2504" t="s">
        <v>10013</v>
      </c>
      <c r="N2504" t="s">
        <v>11736</v>
      </c>
      <c r="O2504" t="s">
        <v>7229</v>
      </c>
      <c r="P2504" t="s">
        <v>2877</v>
      </c>
      <c r="Q2504">
        <v>-4.26</v>
      </c>
      <c r="R2504" t="s">
        <v>198</v>
      </c>
      <c r="S2504">
        <v>0.59</v>
      </c>
      <c r="T2504">
        <v>27.04</v>
      </c>
      <c r="U2504" t="s">
        <v>2913</v>
      </c>
      <c r="V2504" t="s">
        <v>1703</v>
      </c>
      <c r="W2504" t="s">
        <v>37</v>
      </c>
      <c r="X2504">
        <v>0.68</v>
      </c>
      <c r="Y2504" t="s">
        <v>368</v>
      </c>
      <c r="Z2504" t="s">
        <v>1016</v>
      </c>
      <c r="AA2504" t="s">
        <v>3155</v>
      </c>
      <c r="AB2504">
        <v>3.08</v>
      </c>
      <c r="AC2504" t="s">
        <v>2304</v>
      </c>
      <c r="AD2504">
        <v>76.8</v>
      </c>
      <c r="AE2504" t="s">
        <v>594</v>
      </c>
      <c r="AF2504">
        <v>1.8</v>
      </c>
      <c r="AG2504">
        <v>0</v>
      </c>
      <c r="AH2504">
        <v>0</v>
      </c>
      <c r="AI2504" s="4">
        <v>38119</v>
      </c>
    </row>
    <row r="2505" spans="1:35">
      <c r="A2505">
        <v>2504</v>
      </c>
      <c r="B2505" t="str">
        <f>"600776"</f>
        <v>600776</v>
      </c>
      <c r="C2505" t="s">
        <v>11737</v>
      </c>
      <c r="D2505" s="4">
        <v>43190</v>
      </c>
      <c r="E2505" t="s">
        <v>164</v>
      </c>
      <c r="F2505" t="s">
        <v>3839</v>
      </c>
      <c r="G2505">
        <v>0</v>
      </c>
      <c r="H2505">
        <v>0.02</v>
      </c>
      <c r="I2505">
        <v>2.42</v>
      </c>
      <c r="J2505">
        <v>0.68</v>
      </c>
      <c r="K2505" t="s">
        <v>999</v>
      </c>
      <c r="L2505">
        <v>13.36</v>
      </c>
      <c r="M2505" t="s">
        <v>6400</v>
      </c>
      <c r="N2505" t="s">
        <v>11544</v>
      </c>
      <c r="O2505" t="s">
        <v>9851</v>
      </c>
      <c r="P2505" t="s">
        <v>4842</v>
      </c>
      <c r="Q2505">
        <v>10.130000000000001</v>
      </c>
      <c r="R2505" t="s">
        <v>1162</v>
      </c>
      <c r="S2505">
        <v>0.62</v>
      </c>
      <c r="T2505">
        <v>16.18</v>
      </c>
      <c r="U2505" t="s">
        <v>2871</v>
      </c>
      <c r="V2505" t="s">
        <v>1908</v>
      </c>
      <c r="W2505" t="s">
        <v>935</v>
      </c>
      <c r="X2505">
        <v>0.68</v>
      </c>
      <c r="Y2505" t="s">
        <v>3587</v>
      </c>
      <c r="Z2505" t="s">
        <v>2431</v>
      </c>
      <c r="AA2505" t="s">
        <v>770</v>
      </c>
      <c r="AB2505">
        <v>1.94</v>
      </c>
      <c r="AC2505" t="s">
        <v>1161</v>
      </c>
      <c r="AD2505">
        <v>82.15</v>
      </c>
      <c r="AE2505" t="s">
        <v>6545</v>
      </c>
      <c r="AF2505">
        <v>0.71</v>
      </c>
      <c r="AG2505" t="s">
        <v>120</v>
      </c>
      <c r="AH2505">
        <v>0</v>
      </c>
      <c r="AI2505" s="4">
        <v>35395</v>
      </c>
    </row>
    <row r="2506" spans="1:35">
      <c r="A2506">
        <v>2505</v>
      </c>
      <c r="B2506" t="str">
        <f>"300612"</f>
        <v>300612</v>
      </c>
      <c r="C2506" t="s">
        <v>11738</v>
      </c>
      <c r="D2506" s="4">
        <v>43190</v>
      </c>
      <c r="E2506" t="s">
        <v>319</v>
      </c>
      <c r="F2506" t="s">
        <v>2157</v>
      </c>
      <c r="G2506">
        <v>1616</v>
      </c>
      <c r="H2506">
        <v>0.02</v>
      </c>
      <c r="I2506">
        <v>2.64</v>
      </c>
      <c r="J2506">
        <v>0.68</v>
      </c>
      <c r="K2506" t="s">
        <v>6326</v>
      </c>
      <c r="L2506">
        <v>-9.15</v>
      </c>
      <c r="M2506" t="s">
        <v>2748</v>
      </c>
      <c r="N2506" t="s">
        <v>8919</v>
      </c>
      <c r="O2506" t="s">
        <v>11537</v>
      </c>
      <c r="P2506" t="s">
        <v>4390</v>
      </c>
      <c r="Q2506">
        <v>-56.79</v>
      </c>
      <c r="R2506" t="s">
        <v>5310</v>
      </c>
      <c r="S2506">
        <v>0.27</v>
      </c>
      <c r="T2506">
        <v>35.36</v>
      </c>
      <c r="U2506" t="s">
        <v>1874</v>
      </c>
      <c r="V2506" t="s">
        <v>3420</v>
      </c>
      <c r="W2506" t="s">
        <v>7623</v>
      </c>
      <c r="X2506">
        <v>0.68</v>
      </c>
      <c r="Y2506" t="s">
        <v>256</v>
      </c>
      <c r="Z2506" t="s">
        <v>256</v>
      </c>
      <c r="AA2506">
        <v>0</v>
      </c>
      <c r="AB2506">
        <v>8.5</v>
      </c>
      <c r="AC2506" t="s">
        <v>2792</v>
      </c>
      <c r="AD2506">
        <v>79.040000000000006</v>
      </c>
      <c r="AE2506" t="s">
        <v>1180</v>
      </c>
      <c r="AF2506">
        <v>1.24</v>
      </c>
      <c r="AG2506">
        <v>0</v>
      </c>
      <c r="AH2506">
        <v>0</v>
      </c>
      <c r="AI2506" s="4">
        <v>42781</v>
      </c>
    </row>
    <row r="2507" spans="1:35">
      <c r="A2507">
        <v>2506</v>
      </c>
      <c r="B2507" t="str">
        <f>"300154"</f>
        <v>300154</v>
      </c>
      <c r="C2507" t="s">
        <v>11739</v>
      </c>
      <c r="D2507" s="4">
        <v>43190</v>
      </c>
      <c r="E2507" t="s">
        <v>155</v>
      </c>
      <c r="F2507" t="s">
        <v>2185</v>
      </c>
      <c r="G2507" t="s">
        <v>224</v>
      </c>
      <c r="H2507">
        <v>0.02</v>
      </c>
      <c r="I2507">
        <v>3.43</v>
      </c>
      <c r="J2507">
        <v>0.68</v>
      </c>
      <c r="K2507" t="s">
        <v>802</v>
      </c>
      <c r="L2507">
        <v>-19.78</v>
      </c>
      <c r="M2507" t="s">
        <v>6188</v>
      </c>
      <c r="N2507" t="s">
        <v>7386</v>
      </c>
      <c r="O2507" t="s">
        <v>8693</v>
      </c>
      <c r="P2507" t="s">
        <v>11740</v>
      </c>
      <c r="Q2507">
        <v>-62.94</v>
      </c>
      <c r="R2507" t="s">
        <v>499</v>
      </c>
      <c r="S2507">
        <v>0.74</v>
      </c>
      <c r="T2507">
        <v>32.96</v>
      </c>
      <c r="U2507" t="s">
        <v>187</v>
      </c>
      <c r="V2507" t="s">
        <v>79</v>
      </c>
      <c r="W2507" t="s">
        <v>3173</v>
      </c>
      <c r="X2507">
        <v>0.68</v>
      </c>
      <c r="Y2507" t="s">
        <v>2185</v>
      </c>
      <c r="Z2507" t="s">
        <v>486</v>
      </c>
      <c r="AA2507" t="s">
        <v>11741</v>
      </c>
      <c r="AB2507">
        <v>1.44</v>
      </c>
      <c r="AC2507" t="s">
        <v>1792</v>
      </c>
      <c r="AD2507">
        <v>83.16</v>
      </c>
      <c r="AE2507" t="s">
        <v>1487</v>
      </c>
      <c r="AF2507">
        <v>1.59</v>
      </c>
      <c r="AG2507">
        <v>0</v>
      </c>
      <c r="AH2507">
        <v>0</v>
      </c>
      <c r="AI2507" s="4">
        <v>40541</v>
      </c>
    </row>
    <row r="2508" spans="1:35">
      <c r="A2508">
        <v>2507</v>
      </c>
      <c r="B2508" t="str">
        <f>"300115"</f>
        <v>300115</v>
      </c>
      <c r="C2508" t="s">
        <v>11742</v>
      </c>
      <c r="D2508" s="4">
        <v>43190</v>
      </c>
      <c r="E2508" t="s">
        <v>277</v>
      </c>
      <c r="F2508" t="s">
        <v>458</v>
      </c>
      <c r="G2508" t="s">
        <v>6102</v>
      </c>
      <c r="H2508">
        <v>0.03</v>
      </c>
      <c r="I2508">
        <v>4.82</v>
      </c>
      <c r="J2508">
        <v>0.68</v>
      </c>
      <c r="K2508" t="s">
        <v>76</v>
      </c>
      <c r="L2508">
        <v>-12.63</v>
      </c>
      <c r="M2508" t="s">
        <v>10541</v>
      </c>
      <c r="N2508" t="s">
        <v>11743</v>
      </c>
      <c r="O2508" t="s">
        <v>11221</v>
      </c>
      <c r="P2508" t="s">
        <v>11744</v>
      </c>
      <c r="Q2508">
        <v>-84.9</v>
      </c>
      <c r="R2508" t="s">
        <v>576</v>
      </c>
      <c r="S2508">
        <v>2.2200000000000002</v>
      </c>
      <c r="T2508">
        <v>23.23</v>
      </c>
      <c r="U2508" t="s">
        <v>232</v>
      </c>
      <c r="V2508" t="s">
        <v>3377</v>
      </c>
      <c r="W2508" t="s">
        <v>818</v>
      </c>
      <c r="X2508">
        <v>0.68</v>
      </c>
      <c r="Y2508" t="s">
        <v>2167</v>
      </c>
      <c r="Z2508" t="s">
        <v>2881</v>
      </c>
      <c r="AA2508" t="s">
        <v>362</v>
      </c>
      <c r="AB2508">
        <v>2.4300000000000002</v>
      </c>
      <c r="AC2508" t="s">
        <v>5300</v>
      </c>
      <c r="AD2508">
        <v>44.4</v>
      </c>
      <c r="AE2508" t="s">
        <v>926</v>
      </c>
      <c r="AF2508">
        <v>1.41</v>
      </c>
      <c r="AG2508">
        <v>0</v>
      </c>
      <c r="AH2508">
        <v>0</v>
      </c>
      <c r="AI2508" s="4">
        <v>40423</v>
      </c>
    </row>
    <row r="2509" spans="1:35">
      <c r="A2509">
        <v>2508</v>
      </c>
      <c r="B2509" t="str">
        <f>"002855"</f>
        <v>002855</v>
      </c>
      <c r="C2509" t="s">
        <v>11745</v>
      </c>
      <c r="D2509" s="4">
        <v>43190</v>
      </c>
      <c r="E2509" t="s">
        <v>94</v>
      </c>
      <c r="F2509" t="s">
        <v>11746</v>
      </c>
      <c r="G2509">
        <v>2713</v>
      </c>
      <c r="H2509">
        <v>0.03</v>
      </c>
      <c r="I2509">
        <v>5</v>
      </c>
      <c r="J2509">
        <v>0.68</v>
      </c>
      <c r="K2509" t="s">
        <v>3726</v>
      </c>
      <c r="L2509">
        <v>-2.4700000000000002</v>
      </c>
      <c r="M2509" t="s">
        <v>11747</v>
      </c>
      <c r="N2509">
        <v>0</v>
      </c>
      <c r="O2509" t="s">
        <v>9468</v>
      </c>
      <c r="P2509" t="s">
        <v>11748</v>
      </c>
      <c r="Q2509">
        <v>-50.05</v>
      </c>
      <c r="R2509" t="s">
        <v>1706</v>
      </c>
      <c r="S2509">
        <v>1.79</v>
      </c>
      <c r="T2509">
        <v>19.29</v>
      </c>
      <c r="U2509" t="s">
        <v>420</v>
      </c>
      <c r="V2509" t="s">
        <v>173</v>
      </c>
      <c r="W2509" t="s">
        <v>156</v>
      </c>
      <c r="X2509">
        <v>0.68</v>
      </c>
      <c r="Y2509" t="s">
        <v>2134</v>
      </c>
      <c r="Z2509" t="s">
        <v>4194</v>
      </c>
      <c r="AA2509" t="s">
        <v>9847</v>
      </c>
      <c r="AB2509">
        <v>1.83</v>
      </c>
      <c r="AC2509" t="s">
        <v>625</v>
      </c>
      <c r="AD2509">
        <v>56.05</v>
      </c>
      <c r="AE2509" t="s">
        <v>2563</v>
      </c>
      <c r="AF2509">
        <v>2.09</v>
      </c>
      <c r="AG2509">
        <v>0</v>
      </c>
      <c r="AH2509">
        <v>0</v>
      </c>
      <c r="AI2509" s="4">
        <v>42815</v>
      </c>
    </row>
    <row r="2510" spans="1:35">
      <c r="A2510">
        <v>2509</v>
      </c>
      <c r="B2510" t="str">
        <f>"002003"</f>
        <v>002003</v>
      </c>
      <c r="C2510" t="s">
        <v>11749</v>
      </c>
      <c r="D2510" s="4">
        <v>43190</v>
      </c>
      <c r="E2510" t="s">
        <v>650</v>
      </c>
      <c r="F2510" t="s">
        <v>1869</v>
      </c>
      <c r="G2510" t="s">
        <v>6919</v>
      </c>
      <c r="H2510">
        <v>0.02</v>
      </c>
      <c r="I2510">
        <v>2.8</v>
      </c>
      <c r="J2510">
        <v>0.68</v>
      </c>
      <c r="K2510" t="s">
        <v>662</v>
      </c>
      <c r="L2510">
        <v>20.260000000000002</v>
      </c>
      <c r="M2510" t="s">
        <v>3110</v>
      </c>
      <c r="N2510" t="s">
        <v>11467</v>
      </c>
      <c r="O2510" t="s">
        <v>5867</v>
      </c>
      <c r="P2510" t="s">
        <v>6197</v>
      </c>
      <c r="Q2510">
        <v>74.319999999999993</v>
      </c>
      <c r="R2510" t="s">
        <v>2908</v>
      </c>
      <c r="S2510">
        <v>0.67</v>
      </c>
      <c r="T2510">
        <v>37.700000000000003</v>
      </c>
      <c r="U2510" t="s">
        <v>1350</v>
      </c>
      <c r="V2510" t="s">
        <v>624</v>
      </c>
      <c r="W2510" t="s">
        <v>295</v>
      </c>
      <c r="X2510">
        <v>0.68</v>
      </c>
      <c r="Y2510" t="s">
        <v>1659</v>
      </c>
      <c r="Z2510" t="s">
        <v>545</v>
      </c>
      <c r="AA2510" t="s">
        <v>945</v>
      </c>
      <c r="AB2510">
        <v>2.98</v>
      </c>
      <c r="AC2510" t="s">
        <v>223</v>
      </c>
      <c r="AD2510">
        <v>81.3</v>
      </c>
      <c r="AE2510" t="s">
        <v>649</v>
      </c>
      <c r="AF2510">
        <v>0.9</v>
      </c>
      <c r="AG2510">
        <v>0</v>
      </c>
      <c r="AH2510">
        <v>0</v>
      </c>
      <c r="AI2510" s="4">
        <v>38163</v>
      </c>
    </row>
    <row r="2511" spans="1:35">
      <c r="A2511">
        <v>2510</v>
      </c>
      <c r="B2511" t="str">
        <f>"600638"</f>
        <v>600638</v>
      </c>
      <c r="C2511" t="s">
        <v>11750</v>
      </c>
      <c r="D2511" s="4">
        <v>43190</v>
      </c>
      <c r="E2511" t="s">
        <v>1685</v>
      </c>
      <c r="F2511" t="s">
        <v>1685</v>
      </c>
      <c r="G2511" t="s">
        <v>6102</v>
      </c>
      <c r="H2511">
        <v>0.05</v>
      </c>
      <c r="I2511">
        <v>7.55</v>
      </c>
      <c r="J2511">
        <v>0.67</v>
      </c>
      <c r="K2511" t="s">
        <v>806</v>
      </c>
      <c r="L2511">
        <v>-56.2</v>
      </c>
      <c r="M2511" t="s">
        <v>7206</v>
      </c>
      <c r="N2511" t="s">
        <v>10462</v>
      </c>
      <c r="O2511" t="s">
        <v>9965</v>
      </c>
      <c r="P2511" t="s">
        <v>670</v>
      </c>
      <c r="Q2511">
        <v>-6.41</v>
      </c>
      <c r="R2511" t="s">
        <v>316</v>
      </c>
      <c r="S2511">
        <v>4.0999999999999996</v>
      </c>
      <c r="T2511">
        <v>25.32</v>
      </c>
      <c r="U2511" t="s">
        <v>525</v>
      </c>
      <c r="V2511" t="s">
        <v>6920</v>
      </c>
      <c r="W2511" t="s">
        <v>3471</v>
      </c>
      <c r="X2511">
        <v>0.67</v>
      </c>
      <c r="Y2511" t="s">
        <v>225</v>
      </c>
      <c r="Z2511" t="s">
        <v>238</v>
      </c>
      <c r="AA2511" t="s">
        <v>2339</v>
      </c>
      <c r="AB2511">
        <v>1.8</v>
      </c>
      <c r="AC2511" t="s">
        <v>1312</v>
      </c>
      <c r="AD2511">
        <v>40.4</v>
      </c>
      <c r="AE2511" t="s">
        <v>1094</v>
      </c>
      <c r="AF2511">
        <v>1.81</v>
      </c>
      <c r="AG2511">
        <v>0</v>
      </c>
      <c r="AH2511">
        <v>0</v>
      </c>
      <c r="AI2511" s="4">
        <v>34054</v>
      </c>
    </row>
    <row r="2512" spans="1:35">
      <c r="A2512">
        <v>2511</v>
      </c>
      <c r="B2512" t="str">
        <f>"601599"</f>
        <v>601599</v>
      </c>
      <c r="C2512" t="s">
        <v>11751</v>
      </c>
      <c r="D2512" s="4">
        <v>43190</v>
      </c>
      <c r="E2512" t="s">
        <v>5880</v>
      </c>
      <c r="F2512" t="s">
        <v>3145</v>
      </c>
      <c r="G2512" t="s">
        <v>2854</v>
      </c>
      <c r="H2512">
        <v>0.02</v>
      </c>
      <c r="I2512">
        <v>2.91</v>
      </c>
      <c r="J2512">
        <v>0.67</v>
      </c>
      <c r="K2512" t="s">
        <v>889</v>
      </c>
      <c r="L2512">
        <v>11.27</v>
      </c>
      <c r="M2512" t="s">
        <v>2847</v>
      </c>
      <c r="N2512" t="s">
        <v>3586</v>
      </c>
      <c r="O2512" t="s">
        <v>11752</v>
      </c>
      <c r="P2512" t="s">
        <v>5891</v>
      </c>
      <c r="Q2512">
        <v>128.71</v>
      </c>
      <c r="R2512" t="s">
        <v>4435</v>
      </c>
      <c r="S2512">
        <v>0.77</v>
      </c>
      <c r="T2512">
        <v>20.309999999999999</v>
      </c>
      <c r="U2512" t="s">
        <v>1253</v>
      </c>
      <c r="V2512" t="s">
        <v>3886</v>
      </c>
      <c r="W2512" t="s">
        <v>894</v>
      </c>
      <c r="X2512">
        <v>0.67</v>
      </c>
      <c r="Y2512" t="s">
        <v>1677</v>
      </c>
      <c r="Z2512" t="s">
        <v>2667</v>
      </c>
      <c r="AA2512" t="s">
        <v>1530</v>
      </c>
      <c r="AB2512">
        <v>1.38</v>
      </c>
      <c r="AC2512" t="s">
        <v>370</v>
      </c>
      <c r="AD2512">
        <v>38.25</v>
      </c>
      <c r="AE2512" t="s">
        <v>77</v>
      </c>
      <c r="AF2512">
        <v>1.08</v>
      </c>
      <c r="AG2512">
        <v>0</v>
      </c>
      <c r="AH2512">
        <v>0</v>
      </c>
      <c r="AI2512" s="4">
        <v>40690</v>
      </c>
    </row>
    <row r="2513" spans="1:35">
      <c r="A2513">
        <v>2512</v>
      </c>
      <c r="B2513" t="str">
        <f>"600805"</f>
        <v>600805</v>
      </c>
      <c r="C2513" t="s">
        <v>11753</v>
      </c>
      <c r="D2513" s="4">
        <v>43190</v>
      </c>
      <c r="E2513" t="s">
        <v>179</v>
      </c>
      <c r="F2513" t="s">
        <v>3557</v>
      </c>
      <c r="G2513" t="s">
        <v>5074</v>
      </c>
      <c r="H2513">
        <v>0.05</v>
      </c>
      <c r="I2513">
        <v>7.2</v>
      </c>
      <c r="J2513">
        <v>0.67</v>
      </c>
      <c r="K2513" t="s">
        <v>2563</v>
      </c>
      <c r="L2513">
        <v>48.29</v>
      </c>
      <c r="M2513" t="s">
        <v>6128</v>
      </c>
      <c r="N2513" t="s">
        <v>11754</v>
      </c>
      <c r="O2513" t="s">
        <v>11755</v>
      </c>
      <c r="P2513" t="s">
        <v>11756</v>
      </c>
      <c r="Q2513">
        <v>391.48</v>
      </c>
      <c r="R2513" t="s">
        <v>1322</v>
      </c>
      <c r="S2513">
        <v>4.87</v>
      </c>
      <c r="T2513">
        <v>18.96</v>
      </c>
      <c r="U2513" t="s">
        <v>525</v>
      </c>
      <c r="V2513" t="s">
        <v>685</v>
      </c>
      <c r="W2513" t="s">
        <v>1033</v>
      </c>
      <c r="X2513">
        <v>0.67</v>
      </c>
      <c r="Y2513" t="s">
        <v>1211</v>
      </c>
      <c r="Z2513" t="s">
        <v>457</v>
      </c>
      <c r="AA2513" t="s">
        <v>330</v>
      </c>
      <c r="AB2513">
        <v>0.67</v>
      </c>
      <c r="AC2513" t="s">
        <v>4228</v>
      </c>
      <c r="AD2513">
        <v>58.3</v>
      </c>
      <c r="AE2513" t="s">
        <v>375</v>
      </c>
      <c r="AF2513">
        <v>0.45</v>
      </c>
      <c r="AG2513">
        <v>0</v>
      </c>
      <c r="AH2513">
        <v>0</v>
      </c>
      <c r="AI2513" s="4">
        <v>34337</v>
      </c>
    </row>
    <row r="2514" spans="1:35">
      <c r="A2514">
        <v>2513</v>
      </c>
      <c r="B2514" t="str">
        <f>"300489"</f>
        <v>300489</v>
      </c>
      <c r="C2514" t="s">
        <v>11757</v>
      </c>
      <c r="D2514" s="4">
        <v>43190</v>
      </c>
      <c r="E2514" t="s">
        <v>8803</v>
      </c>
      <c r="F2514" t="s">
        <v>11758</v>
      </c>
      <c r="G2514">
        <v>4562</v>
      </c>
      <c r="H2514">
        <v>0.03</v>
      </c>
      <c r="I2514">
        <v>5.16</v>
      </c>
      <c r="J2514">
        <v>0.67</v>
      </c>
      <c r="K2514" t="s">
        <v>11759</v>
      </c>
      <c r="L2514">
        <v>-24.08</v>
      </c>
      <c r="M2514" t="s">
        <v>2363</v>
      </c>
      <c r="N2514">
        <v>0</v>
      </c>
      <c r="O2514" t="s">
        <v>2363</v>
      </c>
      <c r="P2514" t="s">
        <v>11760</v>
      </c>
      <c r="Q2514">
        <v>26.8</v>
      </c>
      <c r="R2514" t="s">
        <v>1457</v>
      </c>
      <c r="S2514">
        <v>1.88</v>
      </c>
      <c r="T2514">
        <v>39.78</v>
      </c>
      <c r="U2514" t="s">
        <v>1117</v>
      </c>
      <c r="V2514" t="s">
        <v>4614</v>
      </c>
      <c r="W2514" t="s">
        <v>2029</v>
      </c>
      <c r="X2514">
        <v>0.67</v>
      </c>
      <c r="Y2514" t="s">
        <v>1860</v>
      </c>
      <c r="Z2514" t="s">
        <v>11761</v>
      </c>
      <c r="AA2514" t="s">
        <v>256</v>
      </c>
      <c r="AB2514">
        <v>2.71</v>
      </c>
      <c r="AC2514" t="s">
        <v>1721</v>
      </c>
      <c r="AD2514">
        <v>70.44</v>
      </c>
      <c r="AE2514" t="s">
        <v>2769</v>
      </c>
      <c r="AF2514">
        <v>2.0699999999999998</v>
      </c>
      <c r="AG2514">
        <v>0</v>
      </c>
      <c r="AH2514">
        <v>0</v>
      </c>
      <c r="AI2514" s="4">
        <v>42186</v>
      </c>
    </row>
    <row r="2515" spans="1:35">
      <c r="A2515">
        <v>2514</v>
      </c>
      <c r="B2515" t="str">
        <f>"300380"</f>
        <v>300380</v>
      </c>
      <c r="C2515" t="s">
        <v>11762</v>
      </c>
      <c r="D2515" s="4">
        <v>43190</v>
      </c>
      <c r="E2515" t="s">
        <v>993</v>
      </c>
      <c r="F2515" t="s">
        <v>11763</v>
      </c>
      <c r="G2515">
        <v>3344</v>
      </c>
      <c r="H2515">
        <v>0.02</v>
      </c>
      <c r="I2515">
        <v>2.94</v>
      </c>
      <c r="J2515">
        <v>0.67</v>
      </c>
      <c r="K2515" t="s">
        <v>11764</v>
      </c>
      <c r="L2515">
        <v>1.55</v>
      </c>
      <c r="M2515" t="s">
        <v>6875</v>
      </c>
      <c r="N2515" t="s">
        <v>11765</v>
      </c>
      <c r="O2515" t="s">
        <v>4269</v>
      </c>
      <c r="P2515" t="s">
        <v>2372</v>
      </c>
      <c r="Q2515">
        <v>135.6</v>
      </c>
      <c r="R2515" t="s">
        <v>1119</v>
      </c>
      <c r="S2515">
        <v>0.73</v>
      </c>
      <c r="T2515">
        <v>39.39</v>
      </c>
      <c r="U2515" t="s">
        <v>3368</v>
      </c>
      <c r="V2515" t="s">
        <v>347</v>
      </c>
      <c r="W2515" t="s">
        <v>3990</v>
      </c>
      <c r="X2515">
        <v>0.67</v>
      </c>
      <c r="Y2515" t="s">
        <v>290</v>
      </c>
      <c r="Z2515" t="s">
        <v>290</v>
      </c>
      <c r="AA2515">
        <v>0</v>
      </c>
      <c r="AB2515">
        <v>5.66</v>
      </c>
      <c r="AC2515" t="s">
        <v>48</v>
      </c>
      <c r="AD2515">
        <v>67.7</v>
      </c>
      <c r="AE2515" t="s">
        <v>326</v>
      </c>
      <c r="AF2515">
        <v>1.04</v>
      </c>
      <c r="AG2515">
        <v>0</v>
      </c>
      <c r="AH2515">
        <v>0</v>
      </c>
      <c r="AI2515" s="4">
        <v>41667</v>
      </c>
    </row>
    <row r="2516" spans="1:35">
      <c r="A2516">
        <v>2515</v>
      </c>
      <c r="B2516" t="str">
        <f>"300049"</f>
        <v>300049</v>
      </c>
      <c r="C2516" t="s">
        <v>11766</v>
      </c>
      <c r="D2516" s="4">
        <v>43190</v>
      </c>
      <c r="E2516" t="s">
        <v>2387</v>
      </c>
      <c r="F2516" t="s">
        <v>986</v>
      </c>
      <c r="G2516" t="s">
        <v>2305</v>
      </c>
      <c r="H2516">
        <v>0.04</v>
      </c>
      <c r="I2516">
        <v>5.32</v>
      </c>
      <c r="J2516">
        <v>0.67</v>
      </c>
      <c r="K2516" t="s">
        <v>284</v>
      </c>
      <c r="L2516">
        <v>13.28</v>
      </c>
      <c r="M2516" t="s">
        <v>4482</v>
      </c>
      <c r="N2516" t="s">
        <v>11767</v>
      </c>
      <c r="O2516" t="s">
        <v>4482</v>
      </c>
      <c r="P2516" t="s">
        <v>9483</v>
      </c>
      <c r="Q2516">
        <v>19.25</v>
      </c>
      <c r="R2516" t="s">
        <v>750</v>
      </c>
      <c r="S2516">
        <v>1.49</v>
      </c>
      <c r="T2516">
        <v>71.12</v>
      </c>
      <c r="U2516" t="s">
        <v>242</v>
      </c>
      <c r="V2516" t="s">
        <v>521</v>
      </c>
      <c r="W2516" t="s">
        <v>7789</v>
      </c>
      <c r="X2516">
        <v>0.67</v>
      </c>
      <c r="Y2516" t="s">
        <v>475</v>
      </c>
      <c r="Z2516" t="s">
        <v>681</v>
      </c>
      <c r="AA2516" t="s">
        <v>2807</v>
      </c>
      <c r="AB2516">
        <v>2.5099999999999998</v>
      </c>
      <c r="AC2516" t="s">
        <v>538</v>
      </c>
      <c r="AD2516">
        <v>59.92</v>
      </c>
      <c r="AE2516" t="s">
        <v>1518</v>
      </c>
      <c r="AF2516">
        <v>2.48</v>
      </c>
      <c r="AG2516">
        <v>0</v>
      </c>
      <c r="AH2516">
        <v>0</v>
      </c>
      <c r="AI2516" s="4">
        <v>40198</v>
      </c>
    </row>
    <row r="2517" spans="1:35">
      <c r="A2517">
        <v>2516</v>
      </c>
      <c r="B2517" t="str">
        <f>"002869"</f>
        <v>002869</v>
      </c>
      <c r="C2517" t="s">
        <v>11768</v>
      </c>
      <c r="D2517" s="4">
        <v>43190</v>
      </c>
      <c r="E2517" t="s">
        <v>1626</v>
      </c>
      <c r="F2517" t="s">
        <v>4432</v>
      </c>
      <c r="G2517">
        <v>1719</v>
      </c>
      <c r="H2517">
        <v>0.06</v>
      </c>
      <c r="I2517">
        <v>8.74</v>
      </c>
      <c r="J2517">
        <v>0.67</v>
      </c>
      <c r="K2517" t="s">
        <v>2034</v>
      </c>
      <c r="L2517">
        <v>-18.329999999999998</v>
      </c>
      <c r="M2517" t="s">
        <v>11769</v>
      </c>
      <c r="N2517" t="s">
        <v>6934</v>
      </c>
      <c r="O2517" t="s">
        <v>9566</v>
      </c>
      <c r="P2517" t="s">
        <v>11770</v>
      </c>
      <c r="Q2517">
        <v>-83.77</v>
      </c>
      <c r="R2517" t="s">
        <v>668</v>
      </c>
      <c r="S2517">
        <v>2.0299999999999998</v>
      </c>
      <c r="T2517">
        <v>38.18</v>
      </c>
      <c r="U2517" t="s">
        <v>840</v>
      </c>
      <c r="V2517" t="s">
        <v>354</v>
      </c>
      <c r="W2517" t="s">
        <v>6013</v>
      </c>
      <c r="X2517">
        <v>0.67</v>
      </c>
      <c r="Y2517" t="s">
        <v>2507</v>
      </c>
      <c r="Z2517" t="s">
        <v>122</v>
      </c>
      <c r="AA2517" t="s">
        <v>10343</v>
      </c>
      <c r="AB2517">
        <v>3.05</v>
      </c>
      <c r="AC2517" t="s">
        <v>978</v>
      </c>
      <c r="AD2517">
        <v>78.63</v>
      </c>
      <c r="AE2517" t="s">
        <v>569</v>
      </c>
      <c r="AF2517">
        <v>5.35</v>
      </c>
      <c r="AG2517">
        <v>0</v>
      </c>
      <c r="AH2517">
        <v>0</v>
      </c>
      <c r="AI2517" s="4">
        <v>42870</v>
      </c>
    </row>
    <row r="2518" spans="1:35">
      <c r="A2518">
        <v>2517</v>
      </c>
      <c r="B2518" t="str">
        <f>"002796"</f>
        <v>002796</v>
      </c>
      <c r="C2518" t="s">
        <v>11771</v>
      </c>
      <c r="D2518" s="4">
        <v>43190</v>
      </c>
      <c r="E2518" t="s">
        <v>197</v>
      </c>
      <c r="F2518" t="s">
        <v>11772</v>
      </c>
      <c r="G2518">
        <v>1957</v>
      </c>
      <c r="H2518">
        <v>0.06</v>
      </c>
      <c r="I2518">
        <v>11.29</v>
      </c>
      <c r="J2518">
        <v>0.67</v>
      </c>
      <c r="K2518" t="s">
        <v>1977</v>
      </c>
      <c r="L2518">
        <v>144.88999999999999</v>
      </c>
      <c r="M2518" t="s">
        <v>7383</v>
      </c>
      <c r="N2518" t="s">
        <v>4735</v>
      </c>
      <c r="O2518" t="s">
        <v>9468</v>
      </c>
      <c r="P2518" t="s">
        <v>10194</v>
      </c>
      <c r="Q2518">
        <v>30.2</v>
      </c>
      <c r="R2518" t="s">
        <v>1525</v>
      </c>
      <c r="S2518">
        <v>0.98</v>
      </c>
      <c r="T2518">
        <v>15.46</v>
      </c>
      <c r="U2518" t="s">
        <v>308</v>
      </c>
      <c r="V2518" t="s">
        <v>2836</v>
      </c>
      <c r="W2518" t="s">
        <v>1905</v>
      </c>
      <c r="X2518">
        <v>0.67</v>
      </c>
      <c r="Y2518" t="s">
        <v>2778</v>
      </c>
      <c r="Z2518" t="s">
        <v>741</v>
      </c>
      <c r="AA2518" t="s">
        <v>3901</v>
      </c>
      <c r="AB2518">
        <v>2.4</v>
      </c>
      <c r="AC2518" t="s">
        <v>250</v>
      </c>
      <c r="AD2518">
        <v>62.32</v>
      </c>
      <c r="AE2518" t="s">
        <v>1976</v>
      </c>
      <c r="AF2518">
        <v>9.4</v>
      </c>
      <c r="AG2518">
        <v>0</v>
      </c>
      <c r="AH2518">
        <v>0</v>
      </c>
      <c r="AI2518" s="4">
        <v>42500</v>
      </c>
    </row>
    <row r="2519" spans="1:35">
      <c r="A2519">
        <v>2518</v>
      </c>
      <c r="B2519" t="str">
        <f>"002599"</f>
        <v>002599</v>
      </c>
      <c r="C2519" t="s">
        <v>11773</v>
      </c>
      <c r="D2519" s="4">
        <v>43190</v>
      </c>
      <c r="E2519" t="s">
        <v>89</v>
      </c>
      <c r="F2519" t="s">
        <v>2123</v>
      </c>
      <c r="G2519" t="s">
        <v>3640</v>
      </c>
      <c r="H2519">
        <v>0.03</v>
      </c>
      <c r="I2519">
        <v>4.82</v>
      </c>
      <c r="J2519">
        <v>0.67</v>
      </c>
      <c r="K2519" t="s">
        <v>2665</v>
      </c>
      <c r="L2519">
        <v>70.3</v>
      </c>
      <c r="M2519" t="s">
        <v>11774</v>
      </c>
      <c r="N2519" t="s">
        <v>11775</v>
      </c>
      <c r="O2519" t="s">
        <v>5951</v>
      </c>
      <c r="P2519" t="s">
        <v>11776</v>
      </c>
      <c r="Q2519">
        <v>289.64</v>
      </c>
      <c r="R2519" t="s">
        <v>1621</v>
      </c>
      <c r="S2519">
        <v>0.92</v>
      </c>
      <c r="T2519">
        <v>16.920000000000002</v>
      </c>
      <c r="U2519" t="s">
        <v>440</v>
      </c>
      <c r="V2519" t="s">
        <v>407</v>
      </c>
      <c r="W2519" t="s">
        <v>3894</v>
      </c>
      <c r="X2519">
        <v>0.67</v>
      </c>
      <c r="Y2519" t="s">
        <v>1415</v>
      </c>
      <c r="Z2519" t="s">
        <v>6262</v>
      </c>
      <c r="AA2519" t="s">
        <v>3624</v>
      </c>
      <c r="AB2519">
        <v>2.08</v>
      </c>
      <c r="AC2519" t="s">
        <v>1792</v>
      </c>
      <c r="AD2519">
        <v>65.22</v>
      </c>
      <c r="AE2519" t="s">
        <v>1341</v>
      </c>
      <c r="AF2519">
        <v>2.67</v>
      </c>
      <c r="AG2519">
        <v>0</v>
      </c>
      <c r="AH2519">
        <v>0</v>
      </c>
      <c r="AI2519" s="4">
        <v>40739</v>
      </c>
    </row>
    <row r="2520" spans="1:35">
      <c r="A2520">
        <v>2519</v>
      </c>
      <c r="B2520" t="str">
        <f>"600098"</f>
        <v>600098</v>
      </c>
      <c r="C2520" t="s">
        <v>11777</v>
      </c>
      <c r="D2520" s="4">
        <v>43190</v>
      </c>
      <c r="E2520" t="s">
        <v>426</v>
      </c>
      <c r="F2520" t="s">
        <v>426</v>
      </c>
      <c r="G2520" t="s">
        <v>11778</v>
      </c>
      <c r="H2520">
        <v>0.04</v>
      </c>
      <c r="I2520">
        <v>5.91</v>
      </c>
      <c r="J2520">
        <v>0.66</v>
      </c>
      <c r="K2520" t="s">
        <v>225</v>
      </c>
      <c r="L2520">
        <v>30.91</v>
      </c>
      <c r="M2520" t="s">
        <v>64</v>
      </c>
      <c r="N2520" t="s">
        <v>6916</v>
      </c>
      <c r="O2520" t="s">
        <v>1360</v>
      </c>
      <c r="P2520" t="s">
        <v>1475</v>
      </c>
      <c r="Q2520">
        <v>231.61</v>
      </c>
      <c r="R2520" t="s">
        <v>2639</v>
      </c>
      <c r="S2520">
        <v>2.14</v>
      </c>
      <c r="T2520">
        <v>7.81</v>
      </c>
      <c r="U2520" t="s">
        <v>11330</v>
      </c>
      <c r="V2520" t="s">
        <v>11324</v>
      </c>
      <c r="W2520" t="s">
        <v>788</v>
      </c>
      <c r="X2520">
        <v>0.66</v>
      </c>
      <c r="Y2520" t="s">
        <v>5782</v>
      </c>
      <c r="Z2520" t="s">
        <v>1163</v>
      </c>
      <c r="AA2520" t="s">
        <v>1159</v>
      </c>
      <c r="AB2520">
        <v>1.1399999999999999</v>
      </c>
      <c r="AC2520" t="s">
        <v>1540</v>
      </c>
      <c r="AD2520">
        <v>42.6</v>
      </c>
      <c r="AE2520" t="s">
        <v>1581</v>
      </c>
      <c r="AF2520">
        <v>1.45</v>
      </c>
      <c r="AG2520">
        <v>0</v>
      </c>
      <c r="AH2520">
        <v>0</v>
      </c>
      <c r="AI2520" s="4">
        <v>35629</v>
      </c>
    </row>
    <row r="2521" spans="1:35">
      <c r="A2521">
        <v>2520</v>
      </c>
      <c r="B2521" t="str">
        <f>"603028"</f>
        <v>603028</v>
      </c>
      <c r="C2521" t="s">
        <v>11779</v>
      </c>
      <c r="D2521" s="4">
        <v>43190</v>
      </c>
      <c r="E2521" t="s">
        <v>682</v>
      </c>
      <c r="F2521" t="s">
        <v>282</v>
      </c>
      <c r="G2521">
        <v>4427</v>
      </c>
      <c r="H2521">
        <v>0.02</v>
      </c>
      <c r="I2521">
        <v>3.1</v>
      </c>
      <c r="J2521">
        <v>0.66</v>
      </c>
      <c r="K2521" t="s">
        <v>209</v>
      </c>
      <c r="L2521">
        <v>8.31</v>
      </c>
      <c r="M2521" t="s">
        <v>3493</v>
      </c>
      <c r="N2521">
        <v>0</v>
      </c>
      <c r="O2521" t="s">
        <v>5600</v>
      </c>
      <c r="P2521" t="s">
        <v>11780</v>
      </c>
      <c r="Q2521">
        <v>-48.87</v>
      </c>
      <c r="R2521" t="s">
        <v>492</v>
      </c>
      <c r="S2521">
        <v>1.1499999999999999</v>
      </c>
      <c r="T2521">
        <v>17.260000000000002</v>
      </c>
      <c r="U2521" t="s">
        <v>978</v>
      </c>
      <c r="V2521" t="s">
        <v>2571</v>
      </c>
      <c r="W2521" t="s">
        <v>623</v>
      </c>
      <c r="X2521">
        <v>0.66</v>
      </c>
      <c r="Y2521" t="s">
        <v>1074</v>
      </c>
      <c r="Z2521" t="s">
        <v>1967</v>
      </c>
      <c r="AA2521" t="s">
        <v>3970</v>
      </c>
      <c r="AB2521">
        <v>2.37</v>
      </c>
      <c r="AC2521" t="s">
        <v>741</v>
      </c>
      <c r="AD2521">
        <v>66.989999999999995</v>
      </c>
      <c r="AE2521" t="s">
        <v>608</v>
      </c>
      <c r="AF2521">
        <v>0.86</v>
      </c>
      <c r="AG2521">
        <v>0</v>
      </c>
      <c r="AH2521">
        <v>0</v>
      </c>
      <c r="AI2521" s="4">
        <v>42460</v>
      </c>
    </row>
    <row r="2522" spans="1:35">
      <c r="A2522">
        <v>2521</v>
      </c>
      <c r="B2522" t="str">
        <f>"600578"</f>
        <v>600578</v>
      </c>
      <c r="C2522" t="s">
        <v>11781</v>
      </c>
      <c r="D2522" s="4">
        <v>43190</v>
      </c>
      <c r="E2522" t="s">
        <v>467</v>
      </c>
      <c r="F2522" t="s">
        <v>2396</v>
      </c>
      <c r="G2522" t="s">
        <v>11782</v>
      </c>
      <c r="H2522">
        <v>0.02</v>
      </c>
      <c r="I2522">
        <v>3.35</v>
      </c>
      <c r="J2522">
        <v>0.66</v>
      </c>
      <c r="K2522" t="s">
        <v>685</v>
      </c>
      <c r="L2522">
        <v>21.09</v>
      </c>
      <c r="M2522" t="s">
        <v>11783</v>
      </c>
      <c r="N2522" t="s">
        <v>139</v>
      </c>
      <c r="O2522" t="s">
        <v>11784</v>
      </c>
      <c r="P2522" t="s">
        <v>3111</v>
      </c>
      <c r="Q2522">
        <v>417.58</v>
      </c>
      <c r="R2522" t="s">
        <v>1175</v>
      </c>
      <c r="S2522">
        <v>0.51</v>
      </c>
      <c r="T2522">
        <v>5.16</v>
      </c>
      <c r="U2522" t="s">
        <v>11785</v>
      </c>
      <c r="V2522" t="s">
        <v>1950</v>
      </c>
      <c r="W2522" t="s">
        <v>4461</v>
      </c>
      <c r="X2522">
        <v>0.66</v>
      </c>
      <c r="Y2522" t="s">
        <v>3593</v>
      </c>
      <c r="Z2522" t="s">
        <v>4304</v>
      </c>
      <c r="AA2522" t="s">
        <v>928</v>
      </c>
      <c r="AB2522">
        <v>0.95</v>
      </c>
      <c r="AC2522" t="s">
        <v>5595</v>
      </c>
      <c r="AD2522">
        <v>35.619999999999997</v>
      </c>
      <c r="AE2522" t="s">
        <v>8431</v>
      </c>
      <c r="AF2522">
        <v>1.24</v>
      </c>
      <c r="AG2522">
        <v>0</v>
      </c>
      <c r="AH2522">
        <v>0</v>
      </c>
      <c r="AI2522" s="4">
        <v>37386</v>
      </c>
    </row>
    <row r="2523" spans="1:35">
      <c r="A2523">
        <v>2522</v>
      </c>
      <c r="B2523" t="str">
        <f>"600546"</f>
        <v>600546</v>
      </c>
      <c r="C2523" t="s">
        <v>11786</v>
      </c>
      <c r="D2523" s="4">
        <v>43190</v>
      </c>
      <c r="E2523" t="s">
        <v>691</v>
      </c>
      <c r="F2523" t="s">
        <v>691</v>
      </c>
      <c r="G2523" t="s">
        <v>5638</v>
      </c>
      <c r="H2523">
        <v>0.02</v>
      </c>
      <c r="I2523">
        <v>2.5099999999999998</v>
      </c>
      <c r="J2523">
        <v>0.66</v>
      </c>
      <c r="K2523" t="s">
        <v>1820</v>
      </c>
      <c r="L2523">
        <v>-3.31</v>
      </c>
      <c r="M2523" t="s">
        <v>2551</v>
      </c>
      <c r="N2523">
        <v>0</v>
      </c>
      <c r="O2523" t="s">
        <v>188</v>
      </c>
      <c r="P2523" t="s">
        <v>9413</v>
      </c>
      <c r="Q2523">
        <v>41.39</v>
      </c>
      <c r="R2523" t="s">
        <v>11787</v>
      </c>
      <c r="S2523">
        <v>-0.11</v>
      </c>
      <c r="T2523">
        <v>10.49</v>
      </c>
      <c r="U2523" t="s">
        <v>11788</v>
      </c>
      <c r="V2523" t="s">
        <v>2766</v>
      </c>
      <c r="W2523" t="s">
        <v>315</v>
      </c>
      <c r="X2523">
        <v>0.66</v>
      </c>
      <c r="Y2523" t="s">
        <v>3593</v>
      </c>
      <c r="Z2523" t="s">
        <v>7509</v>
      </c>
      <c r="AA2523" t="s">
        <v>525</v>
      </c>
      <c r="AB2523">
        <v>1.64</v>
      </c>
      <c r="AC2523" t="s">
        <v>952</v>
      </c>
      <c r="AD2523">
        <v>10.81</v>
      </c>
      <c r="AE2523" t="s">
        <v>502</v>
      </c>
      <c r="AF2523">
        <v>1.41</v>
      </c>
      <c r="AG2523">
        <v>0</v>
      </c>
      <c r="AH2523">
        <v>0</v>
      </c>
      <c r="AI2523" s="4">
        <v>37833</v>
      </c>
    </row>
    <row r="2524" spans="1:35">
      <c r="A2524">
        <v>2523</v>
      </c>
      <c r="B2524" t="str">
        <f>"600510"</f>
        <v>600510</v>
      </c>
      <c r="C2524" t="s">
        <v>11789</v>
      </c>
      <c r="D2524" s="4">
        <v>43190</v>
      </c>
      <c r="E2524" t="s">
        <v>407</v>
      </c>
      <c r="F2524" t="s">
        <v>327</v>
      </c>
      <c r="G2524" t="s">
        <v>495</v>
      </c>
      <c r="H2524">
        <v>0.05</v>
      </c>
      <c r="I2524">
        <v>7.28</v>
      </c>
      <c r="J2524">
        <v>0.66</v>
      </c>
      <c r="K2524" t="s">
        <v>1033</v>
      </c>
      <c r="L2524">
        <v>-28.5</v>
      </c>
      <c r="M2524" t="s">
        <v>8072</v>
      </c>
      <c r="N2524" t="s">
        <v>11790</v>
      </c>
      <c r="O2524" t="s">
        <v>3813</v>
      </c>
      <c r="P2524" t="s">
        <v>5232</v>
      </c>
      <c r="Q2524">
        <v>-29.88</v>
      </c>
      <c r="R2524" t="s">
        <v>2100</v>
      </c>
      <c r="S2524">
        <v>2.56</v>
      </c>
      <c r="T2524">
        <v>16.39</v>
      </c>
      <c r="U2524" t="s">
        <v>409</v>
      </c>
      <c r="V2524" t="s">
        <v>5633</v>
      </c>
      <c r="W2524" t="s">
        <v>4952</v>
      </c>
      <c r="X2524">
        <v>0.66</v>
      </c>
      <c r="Y2524" t="s">
        <v>1753</v>
      </c>
      <c r="Z2524" t="s">
        <v>4108</v>
      </c>
      <c r="AA2524" t="s">
        <v>5199</v>
      </c>
      <c r="AB2524">
        <v>0.83</v>
      </c>
      <c r="AC2524" t="s">
        <v>6689</v>
      </c>
      <c r="AD2524">
        <v>34.78</v>
      </c>
      <c r="AE2524" t="s">
        <v>864</v>
      </c>
      <c r="AF2524">
        <v>2.85</v>
      </c>
      <c r="AG2524">
        <v>0</v>
      </c>
      <c r="AH2524">
        <v>0</v>
      </c>
      <c r="AI2524" s="4">
        <v>37425</v>
      </c>
    </row>
    <row r="2525" spans="1:35">
      <c r="A2525">
        <v>2524</v>
      </c>
      <c r="B2525" t="str">
        <f>"300343"</f>
        <v>300343</v>
      </c>
      <c r="C2525" t="s">
        <v>11791</v>
      </c>
      <c r="D2525" s="4">
        <v>43190</v>
      </c>
      <c r="E2525" t="s">
        <v>5084</v>
      </c>
      <c r="F2525" t="s">
        <v>138</v>
      </c>
      <c r="G2525" t="s">
        <v>861</v>
      </c>
      <c r="H2525">
        <v>0.05</v>
      </c>
      <c r="I2525">
        <v>7.4</v>
      </c>
      <c r="J2525">
        <v>0.66</v>
      </c>
      <c r="K2525" t="s">
        <v>6809</v>
      </c>
      <c r="L2525">
        <v>44.84</v>
      </c>
      <c r="M2525" t="s">
        <v>10573</v>
      </c>
      <c r="N2525">
        <v>0</v>
      </c>
      <c r="O2525" t="s">
        <v>11792</v>
      </c>
      <c r="P2525" t="s">
        <v>7697</v>
      </c>
      <c r="Q2525">
        <v>22.95</v>
      </c>
      <c r="R2525" t="s">
        <v>453</v>
      </c>
      <c r="S2525">
        <v>1.1599999999999999</v>
      </c>
      <c r="T2525">
        <v>18.3</v>
      </c>
      <c r="U2525" t="s">
        <v>4937</v>
      </c>
      <c r="V2525" t="s">
        <v>826</v>
      </c>
      <c r="W2525" t="s">
        <v>2034</v>
      </c>
      <c r="X2525">
        <v>0.66</v>
      </c>
      <c r="Y2525" t="s">
        <v>263</v>
      </c>
      <c r="Z2525" t="s">
        <v>161</v>
      </c>
      <c r="AA2525" t="s">
        <v>6851</v>
      </c>
      <c r="AB2525">
        <v>1.35</v>
      </c>
      <c r="AC2525" t="s">
        <v>3770</v>
      </c>
      <c r="AD2525">
        <v>73.75</v>
      </c>
      <c r="AE2525" t="s">
        <v>946</v>
      </c>
      <c r="AF2525">
        <v>5.21</v>
      </c>
      <c r="AG2525">
        <v>0</v>
      </c>
      <c r="AH2525">
        <v>0</v>
      </c>
      <c r="AI2525" s="4">
        <v>41122</v>
      </c>
    </row>
    <row r="2526" spans="1:35">
      <c r="A2526">
        <v>2525</v>
      </c>
      <c r="B2526" t="str">
        <f>"300181"</f>
        <v>300181</v>
      </c>
      <c r="C2526" t="s">
        <v>11793</v>
      </c>
      <c r="D2526" s="4">
        <v>43190</v>
      </c>
      <c r="E2526" t="s">
        <v>1874</v>
      </c>
      <c r="F2526" t="s">
        <v>2915</v>
      </c>
      <c r="G2526">
        <v>8194</v>
      </c>
      <c r="H2526">
        <v>0.01</v>
      </c>
      <c r="I2526">
        <v>2.2200000000000002</v>
      </c>
      <c r="J2526">
        <v>0.66</v>
      </c>
      <c r="K2526" t="s">
        <v>2069</v>
      </c>
      <c r="L2526">
        <v>-15.78</v>
      </c>
      <c r="M2526" t="s">
        <v>9518</v>
      </c>
      <c r="N2526" t="s">
        <v>4328</v>
      </c>
      <c r="O2526" t="s">
        <v>7671</v>
      </c>
      <c r="P2526" t="s">
        <v>10956</v>
      </c>
      <c r="Q2526">
        <v>-13.78</v>
      </c>
      <c r="R2526" t="s">
        <v>188</v>
      </c>
      <c r="S2526">
        <v>0.45</v>
      </c>
      <c r="T2526">
        <v>64.040000000000006</v>
      </c>
      <c r="U2526" t="s">
        <v>514</v>
      </c>
      <c r="V2526" t="s">
        <v>519</v>
      </c>
      <c r="W2526" t="s">
        <v>1058</v>
      </c>
      <c r="X2526">
        <v>0.66</v>
      </c>
      <c r="Y2526" t="s">
        <v>569</v>
      </c>
      <c r="Z2526" t="s">
        <v>216</v>
      </c>
      <c r="AA2526" t="s">
        <v>3111</v>
      </c>
      <c r="AB2526">
        <v>2.34</v>
      </c>
      <c r="AC2526" t="s">
        <v>350</v>
      </c>
      <c r="AD2526">
        <v>63.99</v>
      </c>
      <c r="AE2526" t="s">
        <v>349</v>
      </c>
      <c r="AF2526">
        <v>0.68</v>
      </c>
      <c r="AG2526">
        <v>0</v>
      </c>
      <c r="AH2526">
        <v>0</v>
      </c>
      <c r="AI2526" s="4">
        <v>40596</v>
      </c>
    </row>
    <row r="2527" spans="1:35">
      <c r="A2527">
        <v>2526</v>
      </c>
      <c r="B2527" t="str">
        <f>"000839"</f>
        <v>000839</v>
      </c>
      <c r="C2527" t="s">
        <v>11794</v>
      </c>
      <c r="D2527" s="4">
        <v>43190</v>
      </c>
      <c r="E2527" t="s">
        <v>1859</v>
      </c>
      <c r="F2527" t="s">
        <v>1859</v>
      </c>
      <c r="G2527" t="s">
        <v>6893</v>
      </c>
      <c r="H2527">
        <v>0.01</v>
      </c>
      <c r="I2527">
        <v>1.74</v>
      </c>
      <c r="J2527">
        <v>0.66</v>
      </c>
      <c r="K2527" t="s">
        <v>978</v>
      </c>
      <c r="L2527">
        <v>-8.6300000000000008</v>
      </c>
      <c r="M2527" t="s">
        <v>11795</v>
      </c>
      <c r="N2527" t="s">
        <v>2306</v>
      </c>
      <c r="O2527" t="s">
        <v>11796</v>
      </c>
      <c r="P2527" t="s">
        <v>2464</v>
      </c>
      <c r="Q2527">
        <v>-18.440000000000001</v>
      </c>
      <c r="R2527" t="s">
        <v>176</v>
      </c>
      <c r="S2527">
        <v>0.35</v>
      </c>
      <c r="T2527">
        <v>13.54</v>
      </c>
      <c r="U2527" t="s">
        <v>2271</v>
      </c>
      <c r="V2527" t="s">
        <v>1674</v>
      </c>
      <c r="W2527" t="s">
        <v>501</v>
      </c>
      <c r="X2527">
        <v>0.66</v>
      </c>
      <c r="Y2527" t="s">
        <v>716</v>
      </c>
      <c r="Z2527" t="s">
        <v>634</v>
      </c>
      <c r="AA2527" t="s">
        <v>1504</v>
      </c>
      <c r="AB2527">
        <v>3.11</v>
      </c>
      <c r="AC2527" t="s">
        <v>1253</v>
      </c>
      <c r="AD2527">
        <v>38.549999999999997</v>
      </c>
      <c r="AE2527" t="s">
        <v>978</v>
      </c>
      <c r="AF2527">
        <v>0.26</v>
      </c>
      <c r="AG2527">
        <v>0</v>
      </c>
      <c r="AH2527">
        <v>0</v>
      </c>
      <c r="AI2527" s="4">
        <v>35734</v>
      </c>
    </row>
    <row r="2528" spans="1:35">
      <c r="A2528">
        <v>2527</v>
      </c>
      <c r="B2528" t="str">
        <f>"000002"</f>
        <v>000002</v>
      </c>
      <c r="C2528" t="s">
        <v>11797</v>
      </c>
      <c r="D2528" s="4">
        <v>43190</v>
      </c>
      <c r="E2528" t="s">
        <v>2066</v>
      </c>
      <c r="F2528" t="s">
        <v>11798</v>
      </c>
      <c r="G2528" t="s">
        <v>5496</v>
      </c>
      <c r="H2528">
        <v>0.08</v>
      </c>
      <c r="I2528">
        <v>12.34</v>
      </c>
      <c r="J2528">
        <v>0.66</v>
      </c>
      <c r="K2528" t="s">
        <v>6367</v>
      </c>
      <c r="L2528">
        <v>65.83</v>
      </c>
      <c r="M2528" t="s">
        <v>1350</v>
      </c>
      <c r="N2528" t="s">
        <v>11799</v>
      </c>
      <c r="O2528" t="s">
        <v>1051</v>
      </c>
      <c r="P2528" t="s">
        <v>2593</v>
      </c>
      <c r="Q2528">
        <v>28.68</v>
      </c>
      <c r="R2528" t="s">
        <v>1270</v>
      </c>
      <c r="S2528">
        <v>7.31</v>
      </c>
      <c r="T2528">
        <v>34.17</v>
      </c>
      <c r="U2528" t="s">
        <v>11800</v>
      </c>
      <c r="V2528" t="s">
        <v>2244</v>
      </c>
      <c r="W2528" t="s">
        <v>933</v>
      </c>
      <c r="X2528">
        <v>0.66</v>
      </c>
      <c r="Y2528" t="s">
        <v>11801</v>
      </c>
      <c r="Z2528" t="s">
        <v>11802</v>
      </c>
      <c r="AA2528" t="s">
        <v>11803</v>
      </c>
      <c r="AB2528">
        <v>2.2000000000000002</v>
      </c>
      <c r="AC2528" t="s">
        <v>11804</v>
      </c>
      <c r="AD2528">
        <v>11.12</v>
      </c>
      <c r="AE2528" t="s">
        <v>6527</v>
      </c>
      <c r="AF2528">
        <v>0.75</v>
      </c>
      <c r="AG2528">
        <v>0</v>
      </c>
      <c r="AH2528" t="s">
        <v>840</v>
      </c>
      <c r="AI2528" s="4">
        <v>33267</v>
      </c>
    </row>
    <row r="2529" spans="1:35">
      <c r="A2529">
        <v>2528</v>
      </c>
      <c r="B2529" t="str">
        <f>"300433"</f>
        <v>300433</v>
      </c>
      <c r="C2529" t="s">
        <v>11805</v>
      </c>
      <c r="D2529" s="4">
        <v>43190</v>
      </c>
      <c r="E2529" t="s">
        <v>2515</v>
      </c>
      <c r="F2529" t="s">
        <v>4044</v>
      </c>
      <c r="G2529">
        <v>9865</v>
      </c>
      <c r="H2529">
        <v>0.04</v>
      </c>
      <c r="I2529">
        <v>6.07</v>
      </c>
      <c r="J2529">
        <v>0.65</v>
      </c>
      <c r="K2529" t="s">
        <v>830</v>
      </c>
      <c r="L2529">
        <v>9.39</v>
      </c>
      <c r="M2529" t="s">
        <v>71</v>
      </c>
      <c r="N2529" t="s">
        <v>11806</v>
      </c>
      <c r="O2529" t="s">
        <v>1459</v>
      </c>
      <c r="P2529" t="s">
        <v>804</v>
      </c>
      <c r="Q2529">
        <v>-50.15</v>
      </c>
      <c r="R2529" t="s">
        <v>8769</v>
      </c>
      <c r="S2529">
        <v>3.52</v>
      </c>
      <c r="T2529">
        <v>27.5</v>
      </c>
      <c r="U2529" t="s">
        <v>3981</v>
      </c>
      <c r="V2529" t="s">
        <v>580</v>
      </c>
      <c r="W2529" t="s">
        <v>2545</v>
      </c>
      <c r="X2529">
        <v>0.65</v>
      </c>
      <c r="Y2529" t="s">
        <v>2491</v>
      </c>
      <c r="Z2529" t="s">
        <v>3449</v>
      </c>
      <c r="AA2529" t="s">
        <v>6379</v>
      </c>
      <c r="AB2529">
        <v>3.29</v>
      </c>
      <c r="AC2529" t="s">
        <v>3446</v>
      </c>
      <c r="AD2529">
        <v>48.52</v>
      </c>
      <c r="AE2529" t="s">
        <v>1404</v>
      </c>
      <c r="AF2529">
        <v>1.21</v>
      </c>
      <c r="AG2529">
        <v>0</v>
      </c>
      <c r="AH2529">
        <v>0</v>
      </c>
      <c r="AI2529" s="4">
        <v>42081</v>
      </c>
    </row>
    <row r="2530" spans="1:35">
      <c r="A2530">
        <v>2529</v>
      </c>
      <c r="B2530" t="str">
        <f>"300213"</f>
        <v>300213</v>
      </c>
      <c r="C2530" t="s">
        <v>11807</v>
      </c>
      <c r="D2530" s="4">
        <v>43190</v>
      </c>
      <c r="E2530" t="s">
        <v>1157</v>
      </c>
      <c r="F2530" t="s">
        <v>156</v>
      </c>
      <c r="G2530">
        <v>9641</v>
      </c>
      <c r="H2530">
        <v>0.02</v>
      </c>
      <c r="I2530">
        <v>3.22</v>
      </c>
      <c r="J2530">
        <v>0.65</v>
      </c>
      <c r="K2530" t="s">
        <v>2889</v>
      </c>
      <c r="L2530">
        <v>34.61</v>
      </c>
      <c r="M2530" t="s">
        <v>8474</v>
      </c>
      <c r="N2530" t="s">
        <v>11808</v>
      </c>
      <c r="O2530" t="s">
        <v>11809</v>
      </c>
      <c r="P2530" t="s">
        <v>11810</v>
      </c>
      <c r="Q2530">
        <v>111.69</v>
      </c>
      <c r="R2530" t="s">
        <v>860</v>
      </c>
      <c r="S2530">
        <v>0.77</v>
      </c>
      <c r="T2530">
        <v>32.369999999999997</v>
      </c>
      <c r="U2530" t="s">
        <v>1350</v>
      </c>
      <c r="V2530" t="s">
        <v>419</v>
      </c>
      <c r="W2530" t="s">
        <v>1203</v>
      </c>
      <c r="X2530">
        <v>0.65</v>
      </c>
      <c r="Y2530" t="s">
        <v>1094</v>
      </c>
      <c r="Z2530" t="s">
        <v>1756</v>
      </c>
      <c r="AA2530" t="s">
        <v>1264</v>
      </c>
      <c r="AB2530">
        <v>1.86</v>
      </c>
      <c r="AC2530" t="s">
        <v>2328</v>
      </c>
      <c r="AD2530">
        <v>65.31</v>
      </c>
      <c r="AE2530" t="s">
        <v>767</v>
      </c>
      <c r="AF2530">
        <v>1.36</v>
      </c>
      <c r="AG2530">
        <v>0</v>
      </c>
      <c r="AH2530">
        <v>0</v>
      </c>
      <c r="AI2530" s="4">
        <v>40668</v>
      </c>
    </row>
    <row r="2531" spans="1:35">
      <c r="A2531">
        <v>2530</v>
      </c>
      <c r="B2531" t="str">
        <f>"002521"</f>
        <v>002521</v>
      </c>
      <c r="C2531" t="s">
        <v>11811</v>
      </c>
      <c r="D2531" s="4">
        <v>43190</v>
      </c>
      <c r="E2531" t="s">
        <v>1358</v>
      </c>
      <c r="F2531" t="s">
        <v>914</v>
      </c>
      <c r="G2531" t="s">
        <v>1105</v>
      </c>
      <c r="H2531">
        <v>0.04</v>
      </c>
      <c r="I2531">
        <v>6.75</v>
      </c>
      <c r="J2531">
        <v>0.65</v>
      </c>
      <c r="K2531" t="s">
        <v>125</v>
      </c>
      <c r="L2531">
        <v>12.7</v>
      </c>
      <c r="M2531" t="s">
        <v>5491</v>
      </c>
      <c r="N2531" t="s">
        <v>11812</v>
      </c>
      <c r="O2531" t="s">
        <v>8714</v>
      </c>
      <c r="P2531" t="s">
        <v>3039</v>
      </c>
      <c r="Q2531">
        <v>-42.06</v>
      </c>
      <c r="R2531" t="s">
        <v>1561</v>
      </c>
      <c r="S2531">
        <v>1.48</v>
      </c>
      <c r="T2531">
        <v>12.71</v>
      </c>
      <c r="U2531" t="s">
        <v>1170</v>
      </c>
      <c r="V2531" t="s">
        <v>426</v>
      </c>
      <c r="W2531" t="s">
        <v>263</v>
      </c>
      <c r="X2531">
        <v>0.65</v>
      </c>
      <c r="Y2531" t="s">
        <v>2593</v>
      </c>
      <c r="Z2531" t="s">
        <v>2131</v>
      </c>
      <c r="AA2531" t="s">
        <v>10997</v>
      </c>
      <c r="AB2531">
        <v>0.92</v>
      </c>
      <c r="AC2531" t="s">
        <v>1248</v>
      </c>
      <c r="AD2531">
        <v>79.349999999999994</v>
      </c>
      <c r="AE2531" t="s">
        <v>119</v>
      </c>
      <c r="AF2531">
        <v>4.0199999999999996</v>
      </c>
      <c r="AG2531">
        <v>0</v>
      </c>
      <c r="AH2531">
        <v>0</v>
      </c>
      <c r="AI2531" s="4">
        <v>40522</v>
      </c>
    </row>
    <row r="2532" spans="1:35">
      <c r="A2532">
        <v>2531</v>
      </c>
      <c r="B2532" t="str">
        <f>"002367"</f>
        <v>002367</v>
      </c>
      <c r="C2532" t="s">
        <v>11813</v>
      </c>
      <c r="D2532" s="4">
        <v>43190</v>
      </c>
      <c r="E2532" t="s">
        <v>2908</v>
      </c>
      <c r="F2532" t="s">
        <v>1611</v>
      </c>
      <c r="G2532" t="s">
        <v>3219</v>
      </c>
      <c r="H2532">
        <v>0.03</v>
      </c>
      <c r="I2532">
        <v>4.59</v>
      </c>
      <c r="J2532">
        <v>0.65</v>
      </c>
      <c r="K2532" t="s">
        <v>3196</v>
      </c>
      <c r="L2532">
        <v>-2.06</v>
      </c>
      <c r="M2532" t="s">
        <v>3944</v>
      </c>
      <c r="N2532" t="s">
        <v>11548</v>
      </c>
      <c r="O2532" t="s">
        <v>11814</v>
      </c>
      <c r="P2532" t="s">
        <v>6400</v>
      </c>
      <c r="Q2532">
        <v>-80.069999999999993</v>
      </c>
      <c r="R2532" t="s">
        <v>848</v>
      </c>
      <c r="S2532">
        <v>1.82</v>
      </c>
      <c r="T2532">
        <v>27.99</v>
      </c>
      <c r="U2532" t="s">
        <v>1674</v>
      </c>
      <c r="V2532" t="s">
        <v>940</v>
      </c>
      <c r="W2532" t="s">
        <v>1214</v>
      </c>
      <c r="X2532">
        <v>0.65</v>
      </c>
      <c r="Y2532" t="s">
        <v>1569</v>
      </c>
      <c r="Z2532" t="s">
        <v>1367</v>
      </c>
      <c r="AA2532" t="s">
        <v>4307</v>
      </c>
      <c r="AB2532">
        <v>1.34</v>
      </c>
      <c r="AC2532" t="s">
        <v>1211</v>
      </c>
      <c r="AD2532">
        <v>68.77</v>
      </c>
      <c r="AE2532" t="s">
        <v>250</v>
      </c>
      <c r="AF2532">
        <v>1.48</v>
      </c>
      <c r="AG2532">
        <v>0</v>
      </c>
      <c r="AH2532">
        <v>0</v>
      </c>
      <c r="AI2532" s="4">
        <v>40249</v>
      </c>
    </row>
    <row r="2533" spans="1:35">
      <c r="A2533">
        <v>2532</v>
      </c>
      <c r="B2533" t="str">
        <f>"002082"</f>
        <v>002082</v>
      </c>
      <c r="C2533" t="s">
        <v>11815</v>
      </c>
      <c r="D2533" s="4">
        <v>43190</v>
      </c>
      <c r="E2533" t="s">
        <v>676</v>
      </c>
      <c r="F2533" t="s">
        <v>986</v>
      </c>
      <c r="G2533">
        <v>7489</v>
      </c>
      <c r="H2533">
        <v>0.04</v>
      </c>
      <c r="I2533">
        <v>6.01</v>
      </c>
      <c r="J2533">
        <v>0.65</v>
      </c>
      <c r="K2533" t="s">
        <v>1386</v>
      </c>
      <c r="L2533">
        <v>0.04</v>
      </c>
      <c r="M2533" t="s">
        <v>3919</v>
      </c>
      <c r="N2533" t="s">
        <v>1610</v>
      </c>
      <c r="O2533" t="s">
        <v>7130</v>
      </c>
      <c r="P2533" t="s">
        <v>4954</v>
      </c>
      <c r="Q2533">
        <v>23.35</v>
      </c>
      <c r="R2533" t="s">
        <v>4041</v>
      </c>
      <c r="S2533">
        <v>3.55</v>
      </c>
      <c r="T2533">
        <v>2.76</v>
      </c>
      <c r="U2533" t="s">
        <v>1920</v>
      </c>
      <c r="V2533" t="s">
        <v>250</v>
      </c>
      <c r="W2533" t="s">
        <v>362</v>
      </c>
      <c r="X2533">
        <v>0.65</v>
      </c>
      <c r="Y2533" t="s">
        <v>704</v>
      </c>
      <c r="Z2533" t="s">
        <v>800</v>
      </c>
      <c r="AA2533" t="s">
        <v>482</v>
      </c>
      <c r="AB2533">
        <v>2.3199999999999998</v>
      </c>
      <c r="AC2533" t="s">
        <v>162</v>
      </c>
      <c r="AD2533">
        <v>69.89</v>
      </c>
      <c r="AE2533" t="s">
        <v>531</v>
      </c>
      <c r="AF2533">
        <v>1.02</v>
      </c>
      <c r="AG2533">
        <v>0</v>
      </c>
      <c r="AH2533">
        <v>0</v>
      </c>
      <c r="AI2533" s="4">
        <v>39041</v>
      </c>
    </row>
    <row r="2534" spans="1:35">
      <c r="A2534">
        <v>2533</v>
      </c>
      <c r="B2534" t="str">
        <f>"000800"</f>
        <v>000800</v>
      </c>
      <c r="C2534" t="s">
        <v>11816</v>
      </c>
      <c r="D2534" s="4">
        <v>43190</v>
      </c>
      <c r="E2534" t="s">
        <v>1244</v>
      </c>
      <c r="F2534" t="s">
        <v>1384</v>
      </c>
      <c r="G2534" t="s">
        <v>1639</v>
      </c>
      <c r="H2534">
        <v>0.03</v>
      </c>
      <c r="I2534">
        <v>4.92</v>
      </c>
      <c r="J2534">
        <v>0.65</v>
      </c>
      <c r="K2534" t="s">
        <v>3065</v>
      </c>
      <c r="L2534">
        <v>1.03</v>
      </c>
      <c r="M2534" t="s">
        <v>1484</v>
      </c>
      <c r="N2534" t="s">
        <v>382</v>
      </c>
      <c r="O2534" t="s">
        <v>2733</v>
      </c>
      <c r="P2534" t="s">
        <v>7314</v>
      </c>
      <c r="Q2534">
        <v>-67.709999999999994</v>
      </c>
      <c r="R2534" t="s">
        <v>2499</v>
      </c>
      <c r="S2534">
        <v>1.78</v>
      </c>
      <c r="T2534">
        <v>22.29</v>
      </c>
      <c r="U2534" t="s">
        <v>3446</v>
      </c>
      <c r="V2534" t="s">
        <v>5693</v>
      </c>
      <c r="W2534" t="s">
        <v>1574</v>
      </c>
      <c r="X2534">
        <v>0.65</v>
      </c>
      <c r="Y2534" t="s">
        <v>2248</v>
      </c>
      <c r="Z2534" t="s">
        <v>760</v>
      </c>
      <c r="AA2534" t="s">
        <v>846</v>
      </c>
      <c r="AB2534">
        <v>1.51</v>
      </c>
      <c r="AC2534" t="s">
        <v>4108</v>
      </c>
      <c r="AD2534">
        <v>47.33</v>
      </c>
      <c r="AE2534" t="s">
        <v>1294</v>
      </c>
      <c r="AF2534">
        <v>1.53</v>
      </c>
      <c r="AG2534">
        <v>0</v>
      </c>
      <c r="AH2534">
        <v>0</v>
      </c>
      <c r="AI2534" s="4">
        <v>35599</v>
      </c>
    </row>
    <row r="2535" spans="1:35">
      <c r="A2535">
        <v>2534</v>
      </c>
      <c r="B2535" t="str">
        <f>"000728"</f>
        <v>000728</v>
      </c>
      <c r="C2535" t="s">
        <v>11817</v>
      </c>
      <c r="D2535" s="4">
        <v>43190</v>
      </c>
      <c r="E2535" t="s">
        <v>1219</v>
      </c>
      <c r="F2535" t="s">
        <v>1242</v>
      </c>
      <c r="G2535" t="s">
        <v>1777</v>
      </c>
      <c r="H2535">
        <v>0.05</v>
      </c>
      <c r="I2535">
        <v>7.53</v>
      </c>
      <c r="J2535">
        <v>0.65</v>
      </c>
      <c r="K2535" t="s">
        <v>569</v>
      </c>
      <c r="L2535">
        <v>-20.43</v>
      </c>
      <c r="M2535" t="s">
        <v>1417</v>
      </c>
      <c r="N2535" t="s">
        <v>205</v>
      </c>
      <c r="O2535" t="s">
        <v>1364</v>
      </c>
      <c r="P2535" t="s">
        <v>1360</v>
      </c>
      <c r="Q2535">
        <v>-31.21</v>
      </c>
      <c r="R2535" t="s">
        <v>4218</v>
      </c>
      <c r="S2535">
        <v>1.53</v>
      </c>
      <c r="T2535">
        <v>0</v>
      </c>
      <c r="U2535" t="s">
        <v>11818</v>
      </c>
      <c r="V2535">
        <v>0</v>
      </c>
      <c r="W2535" t="s">
        <v>176</v>
      </c>
      <c r="X2535">
        <v>0.65</v>
      </c>
      <c r="Y2535" t="s">
        <v>4168</v>
      </c>
      <c r="Z2535">
        <v>0</v>
      </c>
      <c r="AA2535">
        <v>0</v>
      </c>
      <c r="AB2535">
        <v>0.96</v>
      </c>
      <c r="AC2535" t="s">
        <v>1290</v>
      </c>
      <c r="AD2535">
        <v>31.36</v>
      </c>
      <c r="AE2535" t="s">
        <v>932</v>
      </c>
      <c r="AF2535">
        <v>3.75</v>
      </c>
      <c r="AG2535">
        <v>0</v>
      </c>
      <c r="AH2535">
        <v>0</v>
      </c>
      <c r="AI2535" s="4">
        <v>35597</v>
      </c>
    </row>
    <row r="2536" spans="1:35">
      <c r="A2536">
        <v>2535</v>
      </c>
      <c r="B2536" t="str">
        <f>"600127"</f>
        <v>600127</v>
      </c>
      <c r="C2536" t="s">
        <v>11819</v>
      </c>
      <c r="D2536" s="4">
        <v>43190</v>
      </c>
      <c r="E2536" t="s">
        <v>424</v>
      </c>
      <c r="F2536" t="s">
        <v>424</v>
      </c>
      <c r="G2536">
        <v>7952</v>
      </c>
      <c r="H2536">
        <v>0.01</v>
      </c>
      <c r="I2536">
        <v>1.18</v>
      </c>
      <c r="J2536">
        <v>0.64</v>
      </c>
      <c r="K2536" t="s">
        <v>1405</v>
      </c>
      <c r="L2536">
        <v>13.11</v>
      </c>
      <c r="M2536" t="s">
        <v>2734</v>
      </c>
      <c r="N2536" t="s">
        <v>11820</v>
      </c>
      <c r="O2536" t="s">
        <v>11821</v>
      </c>
      <c r="P2536" t="s">
        <v>10013</v>
      </c>
      <c r="Q2536">
        <v>16.260000000000002</v>
      </c>
      <c r="R2536" t="s">
        <v>11822</v>
      </c>
      <c r="S2536">
        <v>-0.56999999999999995</v>
      </c>
      <c r="T2536">
        <v>12.23</v>
      </c>
      <c r="U2536" t="s">
        <v>1843</v>
      </c>
      <c r="V2536" t="s">
        <v>147</v>
      </c>
      <c r="W2536" t="s">
        <v>5084</v>
      </c>
      <c r="X2536">
        <v>0.64</v>
      </c>
      <c r="Y2536" t="s">
        <v>405</v>
      </c>
      <c r="Z2536" t="s">
        <v>699</v>
      </c>
      <c r="AA2536" t="s">
        <v>93</v>
      </c>
      <c r="AB2536">
        <v>2.78</v>
      </c>
      <c r="AC2536" t="s">
        <v>1903</v>
      </c>
      <c r="AD2536">
        <v>37.18</v>
      </c>
      <c r="AE2536" t="s">
        <v>381</v>
      </c>
      <c r="AF2536">
        <v>0.73</v>
      </c>
      <c r="AG2536">
        <v>0</v>
      </c>
      <c r="AH2536">
        <v>0</v>
      </c>
      <c r="AI2536" s="4">
        <v>35921</v>
      </c>
    </row>
    <row r="2537" spans="1:35">
      <c r="A2537">
        <v>2536</v>
      </c>
      <c r="B2537" t="str">
        <f>"603819"</f>
        <v>603819</v>
      </c>
      <c r="C2537" t="s">
        <v>11823</v>
      </c>
      <c r="D2537" s="4">
        <v>43190</v>
      </c>
      <c r="E2537" t="s">
        <v>1525</v>
      </c>
      <c r="F2537" t="s">
        <v>8917</v>
      </c>
      <c r="G2537">
        <v>4917</v>
      </c>
      <c r="H2537">
        <v>0.04</v>
      </c>
      <c r="I2537">
        <v>6.08</v>
      </c>
      <c r="J2537">
        <v>0.64</v>
      </c>
      <c r="K2537" t="s">
        <v>292</v>
      </c>
      <c r="L2537">
        <v>40.03</v>
      </c>
      <c r="M2537" t="s">
        <v>333</v>
      </c>
      <c r="N2537" t="s">
        <v>11294</v>
      </c>
      <c r="O2537" t="s">
        <v>8116</v>
      </c>
      <c r="P2537" t="s">
        <v>6792</v>
      </c>
      <c r="Q2537">
        <v>-56.1</v>
      </c>
      <c r="R2537" t="s">
        <v>1936</v>
      </c>
      <c r="S2537">
        <v>1.1399999999999999</v>
      </c>
      <c r="T2537">
        <v>10.33</v>
      </c>
      <c r="U2537" t="s">
        <v>3986</v>
      </c>
      <c r="V2537" t="s">
        <v>1249</v>
      </c>
      <c r="W2537" t="s">
        <v>9790</v>
      </c>
      <c r="X2537">
        <v>0.64</v>
      </c>
      <c r="Y2537" t="s">
        <v>1855</v>
      </c>
      <c r="Z2537" t="s">
        <v>368</v>
      </c>
      <c r="AA2537" t="s">
        <v>11824</v>
      </c>
      <c r="AB2537">
        <v>2.66</v>
      </c>
      <c r="AC2537" t="s">
        <v>2783</v>
      </c>
      <c r="AD2537">
        <v>81.25</v>
      </c>
      <c r="AE2537" t="s">
        <v>153</v>
      </c>
      <c r="AF2537">
        <v>3.75</v>
      </c>
      <c r="AG2537">
        <v>0</v>
      </c>
      <c r="AH2537">
        <v>0</v>
      </c>
      <c r="AI2537" s="4">
        <v>42699</v>
      </c>
    </row>
    <row r="2538" spans="1:35">
      <c r="A2538">
        <v>2537</v>
      </c>
      <c r="B2538" t="str">
        <f>"603507"</f>
        <v>603507</v>
      </c>
      <c r="C2538" t="s">
        <v>11825</v>
      </c>
      <c r="D2538" s="4">
        <v>43190</v>
      </c>
      <c r="E2538" t="s">
        <v>322</v>
      </c>
      <c r="F2538" t="s">
        <v>11826</v>
      </c>
      <c r="G2538">
        <v>1605</v>
      </c>
      <c r="H2538">
        <v>7.0000000000000007E-2</v>
      </c>
      <c r="I2538">
        <v>10.73</v>
      </c>
      <c r="J2538">
        <v>0.64</v>
      </c>
      <c r="K2538" t="s">
        <v>595</v>
      </c>
      <c r="L2538">
        <v>-12.06</v>
      </c>
      <c r="M2538" t="s">
        <v>7064</v>
      </c>
      <c r="N2538" t="s">
        <v>4563</v>
      </c>
      <c r="O2538" t="s">
        <v>10281</v>
      </c>
      <c r="P2538" t="s">
        <v>11827</v>
      </c>
      <c r="Q2538">
        <v>-66.86</v>
      </c>
      <c r="R2538" t="s">
        <v>286</v>
      </c>
      <c r="S2538">
        <v>2.0299999999999998</v>
      </c>
      <c r="T2538">
        <v>24.38</v>
      </c>
      <c r="U2538" t="s">
        <v>389</v>
      </c>
      <c r="V2538" t="s">
        <v>1307</v>
      </c>
      <c r="W2538" t="s">
        <v>707</v>
      </c>
      <c r="X2538">
        <v>0.64</v>
      </c>
      <c r="Y2538" t="s">
        <v>666</v>
      </c>
      <c r="Z2538" t="s">
        <v>988</v>
      </c>
      <c r="AA2538" t="s">
        <v>3765</v>
      </c>
      <c r="AB2538">
        <v>2.57</v>
      </c>
      <c r="AC2538" t="s">
        <v>176</v>
      </c>
      <c r="AD2538">
        <v>72.44</v>
      </c>
      <c r="AE2538" t="s">
        <v>2134</v>
      </c>
      <c r="AF2538">
        <v>7.45</v>
      </c>
      <c r="AG2538">
        <v>0</v>
      </c>
      <c r="AH2538">
        <v>0</v>
      </c>
      <c r="AI2538" s="4">
        <v>43045</v>
      </c>
    </row>
    <row r="2539" spans="1:35">
      <c r="A2539">
        <v>2538</v>
      </c>
      <c r="B2539" t="str">
        <f>"600496"</f>
        <v>600496</v>
      </c>
      <c r="C2539" t="s">
        <v>11828</v>
      </c>
      <c r="D2539" s="4">
        <v>43190</v>
      </c>
      <c r="E2539" t="s">
        <v>1455</v>
      </c>
      <c r="F2539" t="s">
        <v>547</v>
      </c>
      <c r="G2539" t="s">
        <v>2349</v>
      </c>
      <c r="H2539">
        <v>0.01</v>
      </c>
      <c r="I2539">
        <v>2.72</v>
      </c>
      <c r="J2539">
        <v>0.64</v>
      </c>
      <c r="K2539" t="s">
        <v>514</v>
      </c>
      <c r="L2539">
        <v>56.19</v>
      </c>
      <c r="M2539" t="s">
        <v>11829</v>
      </c>
      <c r="N2539" t="s">
        <v>11830</v>
      </c>
      <c r="O2539" t="s">
        <v>11831</v>
      </c>
      <c r="P2539" t="s">
        <v>1737</v>
      </c>
      <c r="Q2539">
        <v>16.809999999999999</v>
      </c>
      <c r="R2539" t="s">
        <v>304</v>
      </c>
      <c r="S2539">
        <v>0.95</v>
      </c>
      <c r="T2539">
        <v>10.66</v>
      </c>
      <c r="U2539" t="s">
        <v>3449</v>
      </c>
      <c r="V2539" t="s">
        <v>9297</v>
      </c>
      <c r="W2539" t="s">
        <v>63</v>
      </c>
      <c r="X2539">
        <v>0.64</v>
      </c>
      <c r="Y2539" t="s">
        <v>1808</v>
      </c>
      <c r="Z2539" t="s">
        <v>2639</v>
      </c>
      <c r="AA2539" t="s">
        <v>924</v>
      </c>
      <c r="AB2539">
        <v>1.06</v>
      </c>
      <c r="AC2539" t="s">
        <v>1258</v>
      </c>
      <c r="AD2539">
        <v>35.68</v>
      </c>
      <c r="AE2539" t="s">
        <v>1672</v>
      </c>
      <c r="AF2539">
        <v>0.54</v>
      </c>
      <c r="AG2539">
        <v>0</v>
      </c>
      <c r="AH2539">
        <v>0</v>
      </c>
      <c r="AI2539" s="4">
        <v>37412</v>
      </c>
    </row>
    <row r="2540" spans="1:35">
      <c r="A2540">
        <v>2539</v>
      </c>
      <c r="B2540" t="str">
        <f>"600378"</f>
        <v>600378</v>
      </c>
      <c r="C2540" t="s">
        <v>11832</v>
      </c>
      <c r="D2540" s="4">
        <v>43190</v>
      </c>
      <c r="E2540" t="s">
        <v>2132</v>
      </c>
      <c r="F2540" t="s">
        <v>2132</v>
      </c>
      <c r="G2540" t="s">
        <v>3310</v>
      </c>
      <c r="H2540">
        <v>0.02</v>
      </c>
      <c r="I2540">
        <v>2.63</v>
      </c>
      <c r="J2540">
        <v>0.64</v>
      </c>
      <c r="K2540" t="s">
        <v>11833</v>
      </c>
      <c r="L2540">
        <v>18.420000000000002</v>
      </c>
      <c r="M2540" t="s">
        <v>3978</v>
      </c>
      <c r="N2540">
        <v>0</v>
      </c>
      <c r="O2540" t="s">
        <v>10454</v>
      </c>
      <c r="P2540" t="s">
        <v>10562</v>
      </c>
      <c r="Q2540">
        <v>29.89</v>
      </c>
      <c r="R2540" t="s">
        <v>2102</v>
      </c>
      <c r="S2540">
        <v>0.9</v>
      </c>
      <c r="T2540">
        <v>24.27</v>
      </c>
      <c r="U2540" t="s">
        <v>919</v>
      </c>
      <c r="V2540" t="s">
        <v>2648</v>
      </c>
      <c r="W2540" t="s">
        <v>1995</v>
      </c>
      <c r="X2540">
        <v>0.64</v>
      </c>
      <c r="Y2540" t="s">
        <v>916</v>
      </c>
      <c r="Z2540" t="s">
        <v>1999</v>
      </c>
      <c r="AA2540" t="s">
        <v>11834</v>
      </c>
      <c r="AB2540">
        <v>3.51</v>
      </c>
      <c r="AC2540" t="s">
        <v>4000</v>
      </c>
      <c r="AD2540">
        <v>77.23</v>
      </c>
      <c r="AE2540" t="s">
        <v>452</v>
      </c>
      <c r="AF2540">
        <v>0.52</v>
      </c>
      <c r="AG2540">
        <v>0</v>
      </c>
      <c r="AH2540">
        <v>0</v>
      </c>
      <c r="AI2540" s="4">
        <v>36902</v>
      </c>
    </row>
    <row r="2541" spans="1:35">
      <c r="A2541">
        <v>2540</v>
      </c>
      <c r="B2541" t="str">
        <f>"300654"</f>
        <v>300654</v>
      </c>
      <c r="C2541" t="s">
        <v>11835</v>
      </c>
      <c r="D2541" s="4">
        <v>43190</v>
      </c>
      <c r="E2541" t="s">
        <v>1974</v>
      </c>
      <c r="F2541" t="s">
        <v>9933</v>
      </c>
      <c r="G2541">
        <v>3642</v>
      </c>
      <c r="H2541">
        <v>0.02</v>
      </c>
      <c r="I2541">
        <v>2.99</v>
      </c>
      <c r="J2541">
        <v>0.64</v>
      </c>
      <c r="K2541" t="s">
        <v>11836</v>
      </c>
      <c r="L2541">
        <v>10.45</v>
      </c>
      <c r="M2541" t="s">
        <v>6395</v>
      </c>
      <c r="N2541">
        <v>-1122</v>
      </c>
      <c r="O2541" t="s">
        <v>2363</v>
      </c>
      <c r="P2541" t="s">
        <v>2874</v>
      </c>
      <c r="Q2541">
        <v>64.03</v>
      </c>
      <c r="R2541" t="s">
        <v>1349</v>
      </c>
      <c r="S2541">
        <v>0.74</v>
      </c>
      <c r="T2541">
        <v>31.92</v>
      </c>
      <c r="U2541" t="s">
        <v>661</v>
      </c>
      <c r="V2541" t="s">
        <v>542</v>
      </c>
      <c r="W2541" t="s">
        <v>7079</v>
      </c>
      <c r="X2541">
        <v>0.64</v>
      </c>
      <c r="Y2541" t="s">
        <v>255</v>
      </c>
      <c r="Z2541" t="s">
        <v>1839</v>
      </c>
      <c r="AA2541" t="s">
        <v>7399</v>
      </c>
      <c r="AB2541">
        <v>5.62</v>
      </c>
      <c r="AC2541" t="s">
        <v>1040</v>
      </c>
      <c r="AD2541">
        <v>68.91</v>
      </c>
      <c r="AE2541" t="s">
        <v>844</v>
      </c>
      <c r="AF2541">
        <v>1.1299999999999999</v>
      </c>
      <c r="AG2541">
        <v>0</v>
      </c>
      <c r="AH2541">
        <v>0</v>
      </c>
      <c r="AI2541" s="4">
        <v>43004</v>
      </c>
    </row>
    <row r="2542" spans="1:35">
      <c r="A2542">
        <v>2541</v>
      </c>
      <c r="B2542" t="str">
        <f>"300517"</f>
        <v>300517</v>
      </c>
      <c r="C2542" t="s">
        <v>11837</v>
      </c>
      <c r="D2542" s="4">
        <v>43190</v>
      </c>
      <c r="E2542" t="s">
        <v>533</v>
      </c>
      <c r="F2542" t="s">
        <v>10241</v>
      </c>
      <c r="G2542">
        <v>3059</v>
      </c>
      <c r="H2542">
        <v>0.04</v>
      </c>
      <c r="I2542">
        <v>6.06</v>
      </c>
      <c r="J2542">
        <v>0.64</v>
      </c>
      <c r="K2542" t="s">
        <v>7963</v>
      </c>
      <c r="L2542">
        <v>-26.37</v>
      </c>
      <c r="M2542" t="s">
        <v>9716</v>
      </c>
      <c r="N2542" t="s">
        <v>11838</v>
      </c>
      <c r="O2542" t="s">
        <v>9716</v>
      </c>
      <c r="P2542" t="s">
        <v>11056</v>
      </c>
      <c r="Q2542">
        <v>-19.149999999999999</v>
      </c>
      <c r="R2542" t="s">
        <v>682</v>
      </c>
      <c r="S2542">
        <v>2.16</v>
      </c>
      <c r="T2542">
        <v>27.09</v>
      </c>
      <c r="U2542" t="s">
        <v>978</v>
      </c>
      <c r="V2542" t="s">
        <v>3769</v>
      </c>
      <c r="W2542" t="s">
        <v>6819</v>
      </c>
      <c r="X2542">
        <v>0.64</v>
      </c>
      <c r="Y2542" t="s">
        <v>1235</v>
      </c>
      <c r="Z2542" t="s">
        <v>365</v>
      </c>
      <c r="AA2542" t="s">
        <v>1746</v>
      </c>
      <c r="AB2542">
        <v>3.81</v>
      </c>
      <c r="AC2542" t="s">
        <v>661</v>
      </c>
      <c r="AD2542">
        <v>60.32</v>
      </c>
      <c r="AE2542" t="s">
        <v>81</v>
      </c>
      <c r="AF2542">
        <v>2.58</v>
      </c>
      <c r="AG2542">
        <v>0</v>
      </c>
      <c r="AH2542">
        <v>0</v>
      </c>
      <c r="AI2542" s="4">
        <v>42570</v>
      </c>
    </row>
    <row r="2543" spans="1:35">
      <c r="A2543">
        <v>2542</v>
      </c>
      <c r="B2543" t="str">
        <f>"300365"</f>
        <v>300365</v>
      </c>
      <c r="C2543" t="s">
        <v>11839</v>
      </c>
      <c r="D2543" s="4">
        <v>43190</v>
      </c>
      <c r="E2543" t="s">
        <v>498</v>
      </c>
      <c r="F2543" t="s">
        <v>912</v>
      </c>
      <c r="G2543" t="s">
        <v>5531</v>
      </c>
      <c r="H2543">
        <v>0.02</v>
      </c>
      <c r="I2543">
        <v>3.99</v>
      </c>
      <c r="J2543">
        <v>0.64</v>
      </c>
      <c r="K2543" t="s">
        <v>136</v>
      </c>
      <c r="L2543">
        <v>60.29</v>
      </c>
      <c r="M2543" t="s">
        <v>7114</v>
      </c>
      <c r="N2543" t="s">
        <v>781</v>
      </c>
      <c r="O2543" t="s">
        <v>3767</v>
      </c>
      <c r="P2543" t="s">
        <v>11840</v>
      </c>
      <c r="Q2543">
        <v>61.84</v>
      </c>
      <c r="R2543" t="s">
        <v>769</v>
      </c>
      <c r="S2543">
        <v>1.21</v>
      </c>
      <c r="T2543">
        <v>26.82</v>
      </c>
      <c r="U2543" t="s">
        <v>1752</v>
      </c>
      <c r="V2543" t="s">
        <v>115</v>
      </c>
      <c r="W2543" t="s">
        <v>11841</v>
      </c>
      <c r="X2543">
        <v>0.64</v>
      </c>
      <c r="Y2543" t="s">
        <v>1968</v>
      </c>
      <c r="Z2543" t="s">
        <v>1324</v>
      </c>
      <c r="AA2543" t="s">
        <v>11842</v>
      </c>
      <c r="AB2543">
        <v>4.38</v>
      </c>
      <c r="AC2543" t="s">
        <v>1792</v>
      </c>
      <c r="AD2543">
        <v>80.75</v>
      </c>
      <c r="AE2543" t="s">
        <v>1362</v>
      </c>
      <c r="AF2543">
        <v>1.65</v>
      </c>
      <c r="AG2543">
        <v>0</v>
      </c>
      <c r="AH2543">
        <v>0</v>
      </c>
      <c r="AI2543" s="4">
        <v>41662</v>
      </c>
    </row>
    <row r="2544" spans="1:35">
      <c r="A2544">
        <v>2543</v>
      </c>
      <c r="B2544" t="str">
        <f>"300238"</f>
        <v>300238</v>
      </c>
      <c r="C2544" t="s">
        <v>11843</v>
      </c>
      <c r="D2544" s="4">
        <v>43190</v>
      </c>
      <c r="E2544" t="s">
        <v>81</v>
      </c>
      <c r="F2544" t="s">
        <v>905</v>
      </c>
      <c r="G2544">
        <v>9034</v>
      </c>
      <c r="H2544">
        <v>0.03</v>
      </c>
      <c r="I2544">
        <v>4.34</v>
      </c>
      <c r="J2544">
        <v>0.64</v>
      </c>
      <c r="K2544" t="s">
        <v>11844</v>
      </c>
      <c r="L2544">
        <v>-8.92</v>
      </c>
      <c r="M2544" t="s">
        <v>11685</v>
      </c>
      <c r="N2544" t="s">
        <v>9069</v>
      </c>
      <c r="O2544" t="s">
        <v>8258</v>
      </c>
      <c r="P2544" t="s">
        <v>6797</v>
      </c>
      <c r="Q2544">
        <v>-9.4499999999999993</v>
      </c>
      <c r="R2544" t="s">
        <v>2507</v>
      </c>
      <c r="S2544">
        <v>1.03</v>
      </c>
      <c r="T2544">
        <v>71.040000000000006</v>
      </c>
      <c r="U2544" t="s">
        <v>298</v>
      </c>
      <c r="V2544" t="s">
        <v>78</v>
      </c>
      <c r="W2544" t="s">
        <v>95</v>
      </c>
      <c r="X2544">
        <v>0.64</v>
      </c>
      <c r="Y2544" t="s">
        <v>347</v>
      </c>
      <c r="Z2544" t="s">
        <v>234</v>
      </c>
      <c r="AA2544" t="s">
        <v>618</v>
      </c>
      <c r="AB2544">
        <v>4.3600000000000003</v>
      </c>
      <c r="AC2544" t="s">
        <v>613</v>
      </c>
      <c r="AD2544">
        <v>70.08</v>
      </c>
      <c r="AE2544" t="s">
        <v>5084</v>
      </c>
      <c r="AF2544">
        <v>2.2200000000000002</v>
      </c>
      <c r="AG2544">
        <v>0</v>
      </c>
      <c r="AH2544">
        <v>0</v>
      </c>
      <c r="AI2544" s="4">
        <v>40730</v>
      </c>
    </row>
    <row r="2545" spans="1:35">
      <c r="A2545">
        <v>2544</v>
      </c>
      <c r="B2545" t="str">
        <f>"002121"</f>
        <v>002121</v>
      </c>
      <c r="C2545" t="s">
        <v>11845</v>
      </c>
      <c r="D2545" s="4">
        <v>43190</v>
      </c>
      <c r="E2545" t="s">
        <v>1384</v>
      </c>
      <c r="F2545" t="s">
        <v>4796</v>
      </c>
      <c r="G2545" t="s">
        <v>4747</v>
      </c>
      <c r="H2545">
        <v>0.02</v>
      </c>
      <c r="I2545">
        <v>3.41</v>
      </c>
      <c r="J2545">
        <v>0.64</v>
      </c>
      <c r="K2545" t="s">
        <v>4009</v>
      </c>
      <c r="L2545">
        <v>12.95</v>
      </c>
      <c r="M2545" t="s">
        <v>6253</v>
      </c>
      <c r="N2545" t="s">
        <v>7349</v>
      </c>
      <c r="O2545" t="s">
        <v>9899</v>
      </c>
      <c r="P2545" t="s">
        <v>11846</v>
      </c>
      <c r="Q2545">
        <v>-35.229999999999997</v>
      </c>
      <c r="R2545" t="s">
        <v>1384</v>
      </c>
      <c r="S2545">
        <v>0.97</v>
      </c>
      <c r="T2545">
        <v>33.97</v>
      </c>
      <c r="U2545" t="s">
        <v>3912</v>
      </c>
      <c r="V2545" t="s">
        <v>2701</v>
      </c>
      <c r="W2545" t="s">
        <v>1312</v>
      </c>
      <c r="X2545">
        <v>0.64</v>
      </c>
      <c r="Y2545" t="s">
        <v>1159</v>
      </c>
      <c r="Z2545" t="s">
        <v>2832</v>
      </c>
      <c r="AA2545" t="s">
        <v>2212</v>
      </c>
      <c r="AB2545">
        <v>1.9</v>
      </c>
      <c r="AC2545" t="s">
        <v>1050</v>
      </c>
      <c r="AD2545">
        <v>30.62</v>
      </c>
      <c r="AE2545" t="s">
        <v>183</v>
      </c>
      <c r="AF2545">
        <v>1.35</v>
      </c>
      <c r="AG2545">
        <v>0</v>
      </c>
      <c r="AH2545">
        <v>0</v>
      </c>
      <c r="AI2545" s="4">
        <v>39147</v>
      </c>
    </row>
    <row r="2546" spans="1:35">
      <c r="A2546">
        <v>2545</v>
      </c>
      <c r="B2546" t="str">
        <f>"601929"</f>
        <v>601929</v>
      </c>
      <c r="C2546" t="s">
        <v>11847</v>
      </c>
      <c r="D2546" s="4">
        <v>43190</v>
      </c>
      <c r="E2546" t="s">
        <v>2064</v>
      </c>
      <c r="F2546" t="s">
        <v>2064</v>
      </c>
      <c r="G2546" t="s">
        <v>9723</v>
      </c>
      <c r="H2546">
        <v>0.01</v>
      </c>
      <c r="I2546">
        <v>2.09</v>
      </c>
      <c r="J2546">
        <v>0.63</v>
      </c>
      <c r="K2546" t="s">
        <v>1006</v>
      </c>
      <c r="L2546">
        <v>-0.75</v>
      </c>
      <c r="M2546" t="s">
        <v>11848</v>
      </c>
      <c r="N2546" t="s">
        <v>11849</v>
      </c>
      <c r="O2546" t="s">
        <v>10665</v>
      </c>
      <c r="P2546" t="s">
        <v>11850</v>
      </c>
      <c r="Q2546">
        <v>-42.11</v>
      </c>
      <c r="R2546" t="s">
        <v>538</v>
      </c>
      <c r="S2546">
        <v>0.45</v>
      </c>
      <c r="T2546">
        <v>42.89</v>
      </c>
      <c r="U2546" t="s">
        <v>719</v>
      </c>
      <c r="V2546" t="s">
        <v>1488</v>
      </c>
      <c r="W2546" t="s">
        <v>2709</v>
      </c>
      <c r="X2546">
        <v>0.63</v>
      </c>
      <c r="Y2546" t="s">
        <v>4683</v>
      </c>
      <c r="Z2546" t="s">
        <v>236</v>
      </c>
      <c r="AA2546" t="s">
        <v>1158</v>
      </c>
      <c r="AB2546">
        <v>1.04</v>
      </c>
      <c r="AC2546" t="s">
        <v>2186</v>
      </c>
      <c r="AD2546">
        <v>52.49</v>
      </c>
      <c r="AE2546" t="s">
        <v>1215</v>
      </c>
      <c r="AF2546">
        <v>0.28999999999999998</v>
      </c>
      <c r="AG2546">
        <v>0</v>
      </c>
      <c r="AH2546">
        <v>0</v>
      </c>
      <c r="AI2546" s="4">
        <v>40962</v>
      </c>
    </row>
    <row r="2547" spans="1:35">
      <c r="A2547">
        <v>2546</v>
      </c>
      <c r="B2547" t="str">
        <f>"600777"</f>
        <v>600777</v>
      </c>
      <c r="C2547" t="s">
        <v>11851</v>
      </c>
      <c r="D2547" s="4">
        <v>43190</v>
      </c>
      <c r="E2547" t="s">
        <v>2591</v>
      </c>
      <c r="F2547" t="s">
        <v>1704</v>
      </c>
      <c r="G2547" t="s">
        <v>11852</v>
      </c>
      <c r="H2547">
        <v>0.01</v>
      </c>
      <c r="I2547">
        <v>1.94</v>
      </c>
      <c r="J2547">
        <v>0.63</v>
      </c>
      <c r="K2547" t="s">
        <v>1084</v>
      </c>
      <c r="L2547">
        <v>1551.65</v>
      </c>
      <c r="M2547" t="s">
        <v>355</v>
      </c>
      <c r="N2547" t="s">
        <v>7289</v>
      </c>
      <c r="O2547" t="s">
        <v>355</v>
      </c>
      <c r="P2547" t="s">
        <v>2173</v>
      </c>
      <c r="Q2547">
        <v>327.86</v>
      </c>
      <c r="R2547" t="s">
        <v>234</v>
      </c>
      <c r="S2547">
        <v>0.04</v>
      </c>
      <c r="T2547">
        <v>53.67</v>
      </c>
      <c r="U2547" t="s">
        <v>2599</v>
      </c>
      <c r="V2547" t="s">
        <v>1515</v>
      </c>
      <c r="W2547" t="s">
        <v>943</v>
      </c>
      <c r="X2547">
        <v>0.63</v>
      </c>
      <c r="Y2547" t="s">
        <v>634</v>
      </c>
      <c r="Z2547" t="s">
        <v>728</v>
      </c>
      <c r="AA2547" t="s">
        <v>4286</v>
      </c>
      <c r="AB2547">
        <v>1.03</v>
      </c>
      <c r="AC2547" t="s">
        <v>2504</v>
      </c>
      <c r="AD2547">
        <v>63.6</v>
      </c>
      <c r="AE2547" t="s">
        <v>5286</v>
      </c>
      <c r="AF2547">
        <v>0.98</v>
      </c>
      <c r="AG2547">
        <v>0</v>
      </c>
      <c r="AH2547">
        <v>0</v>
      </c>
      <c r="AI2547" s="4">
        <v>35390</v>
      </c>
    </row>
    <row r="2548" spans="1:35">
      <c r="A2548">
        <v>2547</v>
      </c>
      <c r="B2548" t="str">
        <f>"600242"</f>
        <v>600242</v>
      </c>
      <c r="C2548" t="s">
        <v>11853</v>
      </c>
      <c r="D2548" s="4">
        <v>43190</v>
      </c>
      <c r="E2548" t="s">
        <v>196</v>
      </c>
      <c r="F2548" t="s">
        <v>1791</v>
      </c>
      <c r="G2548" t="s">
        <v>2135</v>
      </c>
      <c r="H2548">
        <v>0.03</v>
      </c>
      <c r="I2548">
        <v>4.37</v>
      </c>
      <c r="J2548">
        <v>0.63</v>
      </c>
      <c r="K2548" t="s">
        <v>2563</v>
      </c>
      <c r="L2548">
        <v>0.34</v>
      </c>
      <c r="M2548" t="s">
        <v>1634</v>
      </c>
      <c r="N2548">
        <v>0</v>
      </c>
      <c r="O2548" t="s">
        <v>11854</v>
      </c>
      <c r="P2548" t="s">
        <v>1873</v>
      </c>
      <c r="Q2548">
        <v>-48.26</v>
      </c>
      <c r="R2548" t="s">
        <v>11855</v>
      </c>
      <c r="S2548">
        <v>-1.3</v>
      </c>
      <c r="T2548">
        <v>11.07</v>
      </c>
      <c r="U2548" t="s">
        <v>2064</v>
      </c>
      <c r="V2548" t="s">
        <v>1214</v>
      </c>
      <c r="W2548" t="s">
        <v>7288</v>
      </c>
      <c r="X2548">
        <v>0.63</v>
      </c>
      <c r="Y2548" t="s">
        <v>147</v>
      </c>
      <c r="Z2548" t="s">
        <v>6610</v>
      </c>
      <c r="AA2548" t="s">
        <v>1370</v>
      </c>
      <c r="AB2548">
        <v>3.12</v>
      </c>
      <c r="AC2548" t="s">
        <v>119</v>
      </c>
      <c r="AD2548">
        <v>64.05</v>
      </c>
      <c r="AE2548" t="s">
        <v>876</v>
      </c>
      <c r="AF2548">
        <v>4.5999999999999996</v>
      </c>
      <c r="AG2548">
        <v>0</v>
      </c>
      <c r="AH2548">
        <v>0</v>
      </c>
      <c r="AI2548" s="4">
        <v>36867</v>
      </c>
    </row>
    <row r="2549" spans="1:35">
      <c r="A2549">
        <v>2548</v>
      </c>
      <c r="B2549" t="str">
        <f>"300432"</f>
        <v>300432</v>
      </c>
      <c r="C2549" t="s">
        <v>11856</v>
      </c>
      <c r="D2549" s="4">
        <v>43190</v>
      </c>
      <c r="E2549" t="s">
        <v>1076</v>
      </c>
      <c r="F2549" t="s">
        <v>137</v>
      </c>
      <c r="G2549" t="s">
        <v>135</v>
      </c>
      <c r="H2549">
        <v>0.05</v>
      </c>
      <c r="I2549">
        <v>7.74</v>
      </c>
      <c r="J2549">
        <v>0.63</v>
      </c>
      <c r="K2549" t="s">
        <v>286</v>
      </c>
      <c r="L2549">
        <v>-39.89</v>
      </c>
      <c r="M2549" t="s">
        <v>11857</v>
      </c>
      <c r="N2549">
        <v>0</v>
      </c>
      <c r="O2549" t="s">
        <v>6462</v>
      </c>
      <c r="P2549" t="s">
        <v>11858</v>
      </c>
      <c r="Q2549">
        <v>-70.05</v>
      </c>
      <c r="R2549" t="s">
        <v>4404</v>
      </c>
      <c r="S2549">
        <v>1.21</v>
      </c>
      <c r="T2549">
        <v>33.93</v>
      </c>
      <c r="U2549" t="s">
        <v>1110</v>
      </c>
      <c r="V2549" t="s">
        <v>1675</v>
      </c>
      <c r="W2549" t="s">
        <v>1671</v>
      </c>
      <c r="X2549">
        <v>0.63</v>
      </c>
      <c r="Y2549" t="s">
        <v>391</v>
      </c>
      <c r="Z2549" t="s">
        <v>161</v>
      </c>
      <c r="AA2549" t="s">
        <v>11859</v>
      </c>
      <c r="AB2549">
        <v>1.05</v>
      </c>
      <c r="AC2549" t="s">
        <v>1545</v>
      </c>
      <c r="AD2549">
        <v>72.540000000000006</v>
      </c>
      <c r="AE2549" t="s">
        <v>1348</v>
      </c>
      <c r="AF2549">
        <v>4.7</v>
      </c>
      <c r="AG2549">
        <v>0</v>
      </c>
      <c r="AH2549">
        <v>0</v>
      </c>
      <c r="AI2549" s="4">
        <v>42082</v>
      </c>
    </row>
    <row r="2550" spans="1:35">
      <c r="A2550">
        <v>2549</v>
      </c>
      <c r="B2550" t="str">
        <f>"002899"</f>
        <v>002899</v>
      </c>
      <c r="C2550" t="s">
        <v>11860</v>
      </c>
      <c r="D2550" s="4">
        <v>43190</v>
      </c>
      <c r="E2550" t="s">
        <v>280</v>
      </c>
      <c r="F2550" t="s">
        <v>482</v>
      </c>
      <c r="G2550">
        <v>1653</v>
      </c>
      <c r="H2550">
        <v>0.05</v>
      </c>
      <c r="I2550">
        <v>7.91</v>
      </c>
      <c r="J2550">
        <v>0.63</v>
      </c>
      <c r="K2550" t="s">
        <v>1200</v>
      </c>
      <c r="L2550">
        <v>11.45</v>
      </c>
      <c r="M2550" t="s">
        <v>9398</v>
      </c>
      <c r="N2550">
        <v>0</v>
      </c>
      <c r="O2550" t="s">
        <v>11861</v>
      </c>
      <c r="P2550" t="s">
        <v>10238</v>
      </c>
      <c r="Q2550">
        <v>-61.27</v>
      </c>
      <c r="R2550" t="s">
        <v>698</v>
      </c>
      <c r="S2550">
        <v>1.49</v>
      </c>
      <c r="T2550">
        <v>27.74</v>
      </c>
      <c r="U2550" t="s">
        <v>625</v>
      </c>
      <c r="V2550" t="s">
        <v>1769</v>
      </c>
      <c r="W2550" t="s">
        <v>1366</v>
      </c>
      <c r="X2550">
        <v>0.63</v>
      </c>
      <c r="Y2550" t="s">
        <v>2142</v>
      </c>
      <c r="Z2550" t="s">
        <v>203</v>
      </c>
      <c r="AA2550" t="s">
        <v>5379</v>
      </c>
      <c r="AB2550">
        <v>2.5299999999999998</v>
      </c>
      <c r="AC2550" t="s">
        <v>2414</v>
      </c>
      <c r="AD2550">
        <v>79.5</v>
      </c>
      <c r="AE2550" t="s">
        <v>1015</v>
      </c>
      <c r="AF2550">
        <v>5.21</v>
      </c>
      <c r="AG2550">
        <v>0</v>
      </c>
      <c r="AH2550">
        <v>0</v>
      </c>
      <c r="AI2550" s="4">
        <v>42993</v>
      </c>
    </row>
    <row r="2551" spans="1:35">
      <c r="A2551">
        <v>2550</v>
      </c>
      <c r="B2551" t="str">
        <f>"002870"</f>
        <v>002870</v>
      </c>
      <c r="C2551" t="s">
        <v>11862</v>
      </c>
      <c r="D2551" s="4">
        <v>43190</v>
      </c>
      <c r="E2551" t="s">
        <v>443</v>
      </c>
      <c r="F2551" t="s">
        <v>11863</v>
      </c>
      <c r="G2551">
        <v>1477</v>
      </c>
      <c r="H2551">
        <v>0.05</v>
      </c>
      <c r="I2551">
        <v>7.15</v>
      </c>
      <c r="J2551">
        <v>0.63</v>
      </c>
      <c r="K2551" t="s">
        <v>1202</v>
      </c>
      <c r="L2551">
        <v>-6.96</v>
      </c>
      <c r="M2551" t="s">
        <v>11686</v>
      </c>
      <c r="N2551" t="s">
        <v>10865</v>
      </c>
      <c r="O2551" t="s">
        <v>7455</v>
      </c>
      <c r="P2551" t="s">
        <v>6979</v>
      </c>
      <c r="Q2551">
        <v>-75.05</v>
      </c>
      <c r="R2551" t="s">
        <v>255</v>
      </c>
      <c r="S2551">
        <v>1.53</v>
      </c>
      <c r="T2551">
        <v>29.38</v>
      </c>
      <c r="U2551" t="s">
        <v>124</v>
      </c>
      <c r="V2551" t="s">
        <v>1852</v>
      </c>
      <c r="W2551" t="s">
        <v>383</v>
      </c>
      <c r="X2551">
        <v>0.63</v>
      </c>
      <c r="Y2551" t="s">
        <v>4185</v>
      </c>
      <c r="Z2551" t="s">
        <v>922</v>
      </c>
      <c r="AA2551" t="s">
        <v>8216</v>
      </c>
      <c r="AB2551">
        <v>2.94</v>
      </c>
      <c r="AC2551" t="s">
        <v>1477</v>
      </c>
      <c r="AD2551">
        <v>61.59</v>
      </c>
      <c r="AE2551" t="s">
        <v>1721</v>
      </c>
      <c r="AF2551">
        <v>4.2300000000000004</v>
      </c>
      <c r="AG2551">
        <v>0</v>
      </c>
      <c r="AH2551">
        <v>0</v>
      </c>
      <c r="AI2551" s="4">
        <v>42870</v>
      </c>
    </row>
    <row r="2552" spans="1:35">
      <c r="A2552">
        <v>2551</v>
      </c>
      <c r="B2552" t="str">
        <f>"002522"</f>
        <v>002522</v>
      </c>
      <c r="C2552" t="s">
        <v>11864</v>
      </c>
      <c r="D2552" s="4">
        <v>43190</v>
      </c>
      <c r="E2552" t="s">
        <v>458</v>
      </c>
      <c r="F2552" t="s">
        <v>179</v>
      </c>
      <c r="G2552" t="s">
        <v>1179</v>
      </c>
      <c r="H2552">
        <v>0.01</v>
      </c>
      <c r="I2552">
        <v>1.95</v>
      </c>
      <c r="J2552">
        <v>0.63</v>
      </c>
      <c r="K2552" t="s">
        <v>2733</v>
      </c>
      <c r="L2552">
        <v>53.49</v>
      </c>
      <c r="M2552" t="s">
        <v>8649</v>
      </c>
      <c r="N2552" t="s">
        <v>8436</v>
      </c>
      <c r="O2552" t="s">
        <v>11544</v>
      </c>
      <c r="P2552" t="s">
        <v>11865</v>
      </c>
      <c r="Q2552">
        <v>-39.909999999999997</v>
      </c>
      <c r="R2552" t="s">
        <v>293</v>
      </c>
      <c r="S2552">
        <v>0.16</v>
      </c>
      <c r="T2552">
        <v>21.18</v>
      </c>
      <c r="U2552" t="s">
        <v>1350</v>
      </c>
      <c r="V2552" t="s">
        <v>840</v>
      </c>
      <c r="W2552" t="s">
        <v>1082</v>
      </c>
      <c r="X2552">
        <v>0.63</v>
      </c>
      <c r="Y2552" t="s">
        <v>4936</v>
      </c>
      <c r="Z2552" t="s">
        <v>856</v>
      </c>
      <c r="AA2552" t="s">
        <v>2284</v>
      </c>
      <c r="AB2552">
        <v>4.3899999999999997</v>
      </c>
      <c r="AC2552" t="s">
        <v>754</v>
      </c>
      <c r="AD2552">
        <v>61.43</v>
      </c>
      <c r="AE2552" t="s">
        <v>1849</v>
      </c>
      <c r="AF2552">
        <v>0.71</v>
      </c>
      <c r="AG2552">
        <v>0</v>
      </c>
      <c r="AH2552">
        <v>0</v>
      </c>
      <c r="AI2552" s="4">
        <v>40522</v>
      </c>
    </row>
    <row r="2553" spans="1:35">
      <c r="A2553">
        <v>2552</v>
      </c>
      <c r="B2553" t="str">
        <f>"000908"</f>
        <v>000908</v>
      </c>
      <c r="C2553" t="s">
        <v>11866</v>
      </c>
      <c r="D2553" s="4">
        <v>43190</v>
      </c>
      <c r="E2553" t="s">
        <v>4194</v>
      </c>
      <c r="F2553" t="s">
        <v>63</v>
      </c>
      <c r="G2553" t="s">
        <v>5811</v>
      </c>
      <c r="H2553">
        <v>0.02</v>
      </c>
      <c r="I2553">
        <v>2.73</v>
      </c>
      <c r="J2553">
        <v>0.63</v>
      </c>
      <c r="K2553" t="s">
        <v>1229</v>
      </c>
      <c r="L2553">
        <v>8.39</v>
      </c>
      <c r="M2553" t="s">
        <v>11867</v>
      </c>
      <c r="N2553" t="s">
        <v>2372</v>
      </c>
      <c r="O2553" t="s">
        <v>11868</v>
      </c>
      <c r="P2553" t="s">
        <v>529</v>
      </c>
      <c r="Q2553">
        <v>-54.4</v>
      </c>
      <c r="R2553" t="s">
        <v>973</v>
      </c>
      <c r="S2553">
        <v>1.31</v>
      </c>
      <c r="T2553">
        <v>70.42</v>
      </c>
      <c r="U2553" t="s">
        <v>3653</v>
      </c>
      <c r="V2553" t="s">
        <v>276</v>
      </c>
      <c r="W2553" t="s">
        <v>2853</v>
      </c>
      <c r="X2553">
        <v>0.63</v>
      </c>
      <c r="Y2553" t="s">
        <v>419</v>
      </c>
      <c r="Z2553" t="s">
        <v>3184</v>
      </c>
      <c r="AA2553" t="s">
        <v>1496</v>
      </c>
      <c r="AB2553">
        <v>1.76</v>
      </c>
      <c r="AC2553" t="s">
        <v>1348</v>
      </c>
      <c r="AD2553">
        <v>52.12</v>
      </c>
      <c r="AE2553" t="s">
        <v>1649</v>
      </c>
      <c r="AF2553">
        <v>0.83</v>
      </c>
      <c r="AG2553">
        <v>0</v>
      </c>
      <c r="AH2553">
        <v>0</v>
      </c>
      <c r="AI2553" s="4">
        <v>36194</v>
      </c>
    </row>
    <row r="2554" spans="1:35">
      <c r="A2554">
        <v>2553</v>
      </c>
      <c r="B2554" t="str">
        <f>"000655"</f>
        <v>000655</v>
      </c>
      <c r="C2554" t="s">
        <v>11869</v>
      </c>
      <c r="D2554" s="4">
        <v>43190</v>
      </c>
      <c r="E2554" t="s">
        <v>1157</v>
      </c>
      <c r="F2554" t="s">
        <v>1157</v>
      </c>
      <c r="G2554" t="s">
        <v>3219</v>
      </c>
      <c r="H2554">
        <v>0.02</v>
      </c>
      <c r="I2554">
        <v>3.88</v>
      </c>
      <c r="J2554">
        <v>0.63</v>
      </c>
      <c r="K2554" t="s">
        <v>219</v>
      </c>
      <c r="L2554">
        <v>7.62</v>
      </c>
      <c r="M2554" t="s">
        <v>6579</v>
      </c>
      <c r="N2554" t="s">
        <v>781</v>
      </c>
      <c r="O2554" t="s">
        <v>8359</v>
      </c>
      <c r="P2554" t="s">
        <v>9080</v>
      </c>
      <c r="Q2554">
        <v>-26.23</v>
      </c>
      <c r="R2554" t="s">
        <v>1506</v>
      </c>
      <c r="S2554">
        <v>1.54</v>
      </c>
      <c r="T2554">
        <v>23.65</v>
      </c>
      <c r="U2554" t="s">
        <v>1308</v>
      </c>
      <c r="V2554" t="s">
        <v>2721</v>
      </c>
      <c r="W2554" t="s">
        <v>342</v>
      </c>
      <c r="X2554">
        <v>0.63</v>
      </c>
      <c r="Y2554" t="s">
        <v>3482</v>
      </c>
      <c r="Z2554" t="s">
        <v>1184</v>
      </c>
      <c r="AA2554" t="s">
        <v>2143</v>
      </c>
      <c r="AB2554">
        <v>0.86</v>
      </c>
      <c r="AC2554" t="s">
        <v>1029</v>
      </c>
      <c r="AD2554">
        <v>86.7</v>
      </c>
      <c r="AE2554" t="s">
        <v>3496</v>
      </c>
      <c r="AF2554">
        <v>0.82</v>
      </c>
      <c r="AG2554">
        <v>0</v>
      </c>
      <c r="AH2554">
        <v>0</v>
      </c>
      <c r="AI2554" s="4">
        <v>35397</v>
      </c>
    </row>
    <row r="2555" spans="1:35">
      <c r="A2555">
        <v>2554</v>
      </c>
      <c r="B2555" t="str">
        <f>"600527"</f>
        <v>600527</v>
      </c>
      <c r="C2555" t="s">
        <v>11870</v>
      </c>
      <c r="D2555" s="4">
        <v>43190</v>
      </c>
      <c r="E2555" t="s">
        <v>161</v>
      </c>
      <c r="F2555" t="s">
        <v>625</v>
      </c>
      <c r="G2555" t="s">
        <v>1568</v>
      </c>
      <c r="H2555">
        <v>0.01</v>
      </c>
      <c r="I2555">
        <v>1.63</v>
      </c>
      <c r="J2555">
        <v>0.62</v>
      </c>
      <c r="K2555" t="s">
        <v>3297</v>
      </c>
      <c r="L2555">
        <v>31.27</v>
      </c>
      <c r="M2555" t="s">
        <v>4518</v>
      </c>
      <c r="N2555" t="s">
        <v>1286</v>
      </c>
      <c r="O2555" t="s">
        <v>5381</v>
      </c>
      <c r="P2555" t="s">
        <v>8587</v>
      </c>
      <c r="Q2555">
        <v>3.08</v>
      </c>
      <c r="R2555" t="s">
        <v>3900</v>
      </c>
      <c r="S2555">
        <v>0.33</v>
      </c>
      <c r="T2555">
        <v>10.17</v>
      </c>
      <c r="U2555" t="s">
        <v>1504</v>
      </c>
      <c r="V2555" t="s">
        <v>754</v>
      </c>
      <c r="W2555" t="s">
        <v>4427</v>
      </c>
      <c r="X2555">
        <v>0.62</v>
      </c>
      <c r="Y2555" t="s">
        <v>11871</v>
      </c>
      <c r="Z2555" t="s">
        <v>7456</v>
      </c>
      <c r="AA2555" t="s">
        <v>6034</v>
      </c>
      <c r="AB2555">
        <v>1.53</v>
      </c>
      <c r="AC2555" t="s">
        <v>981</v>
      </c>
      <c r="AD2555">
        <v>96.79</v>
      </c>
      <c r="AE2555" t="s">
        <v>285</v>
      </c>
      <c r="AF2555">
        <v>0.21</v>
      </c>
      <c r="AG2555">
        <v>0</v>
      </c>
      <c r="AH2555">
        <v>0</v>
      </c>
      <c r="AI2555" s="4">
        <v>37952</v>
      </c>
    </row>
    <row r="2556" spans="1:35">
      <c r="A2556">
        <v>2555</v>
      </c>
      <c r="B2556" t="str">
        <f>"300129"</f>
        <v>300129</v>
      </c>
      <c r="C2556" t="s">
        <v>11872</v>
      </c>
      <c r="D2556" s="4">
        <v>43190</v>
      </c>
      <c r="E2556" t="s">
        <v>615</v>
      </c>
      <c r="F2556" t="s">
        <v>542</v>
      </c>
      <c r="G2556" t="s">
        <v>5650</v>
      </c>
      <c r="H2556">
        <v>0.02</v>
      </c>
      <c r="I2556">
        <v>3.15</v>
      </c>
      <c r="J2556">
        <v>0.62</v>
      </c>
      <c r="K2556" t="s">
        <v>1210</v>
      </c>
      <c r="L2556">
        <v>35.409999999999997</v>
      </c>
      <c r="M2556" t="s">
        <v>2459</v>
      </c>
      <c r="N2556" t="s">
        <v>758</v>
      </c>
      <c r="O2556" t="s">
        <v>1573</v>
      </c>
      <c r="P2556" t="s">
        <v>10919</v>
      </c>
      <c r="Q2556">
        <v>-65.040000000000006</v>
      </c>
      <c r="R2556" t="s">
        <v>4000</v>
      </c>
      <c r="S2556">
        <v>1.1100000000000001</v>
      </c>
      <c r="T2556">
        <v>24.5</v>
      </c>
      <c r="U2556" t="s">
        <v>733</v>
      </c>
      <c r="V2556" t="s">
        <v>876</v>
      </c>
      <c r="W2556" t="s">
        <v>4279</v>
      </c>
      <c r="X2556">
        <v>0.62</v>
      </c>
      <c r="Y2556" t="s">
        <v>1506</v>
      </c>
      <c r="Z2556" t="s">
        <v>2955</v>
      </c>
      <c r="AA2556" t="s">
        <v>11873</v>
      </c>
      <c r="AB2556">
        <v>1.1200000000000001</v>
      </c>
      <c r="AC2556" t="s">
        <v>578</v>
      </c>
      <c r="AD2556">
        <v>71.13</v>
      </c>
      <c r="AE2556" t="s">
        <v>3281</v>
      </c>
      <c r="AF2556">
        <v>0.98</v>
      </c>
      <c r="AG2556">
        <v>0</v>
      </c>
      <c r="AH2556">
        <v>0</v>
      </c>
      <c r="AI2556" s="4">
        <v>40470</v>
      </c>
    </row>
    <row r="2557" spans="1:35">
      <c r="A2557">
        <v>2556</v>
      </c>
      <c r="B2557" t="str">
        <f>"002156"</f>
        <v>002156</v>
      </c>
      <c r="C2557" t="s">
        <v>11874</v>
      </c>
      <c r="D2557" s="4">
        <v>43190</v>
      </c>
      <c r="E2557" t="s">
        <v>973</v>
      </c>
      <c r="F2557" t="s">
        <v>59</v>
      </c>
      <c r="G2557" t="s">
        <v>2478</v>
      </c>
      <c r="H2557">
        <v>0.03</v>
      </c>
      <c r="I2557">
        <v>5.12</v>
      </c>
      <c r="J2557">
        <v>0.62</v>
      </c>
      <c r="K2557" t="s">
        <v>76</v>
      </c>
      <c r="L2557">
        <v>13.47</v>
      </c>
      <c r="M2557" t="s">
        <v>11875</v>
      </c>
      <c r="N2557" t="s">
        <v>2373</v>
      </c>
      <c r="O2557" t="s">
        <v>10345</v>
      </c>
      <c r="P2557" t="s">
        <v>11876</v>
      </c>
      <c r="Q2557">
        <v>1.66</v>
      </c>
      <c r="R2557" t="s">
        <v>5537</v>
      </c>
      <c r="S2557">
        <v>0.8</v>
      </c>
      <c r="T2557">
        <v>17.78</v>
      </c>
      <c r="U2557" t="s">
        <v>410</v>
      </c>
      <c r="V2557" t="s">
        <v>1233</v>
      </c>
      <c r="W2557" t="s">
        <v>1599</v>
      </c>
      <c r="X2557">
        <v>0.62</v>
      </c>
      <c r="Y2557" t="s">
        <v>3565</v>
      </c>
      <c r="Z2557" t="s">
        <v>2866</v>
      </c>
      <c r="AA2557" t="s">
        <v>981</v>
      </c>
      <c r="AB2557">
        <v>1.97</v>
      </c>
      <c r="AC2557" t="s">
        <v>6837</v>
      </c>
      <c r="AD2557">
        <v>47.55</v>
      </c>
      <c r="AE2557" t="s">
        <v>2989</v>
      </c>
      <c r="AF2557">
        <v>3.25</v>
      </c>
      <c r="AG2557">
        <v>0</v>
      </c>
      <c r="AH2557">
        <v>0</v>
      </c>
      <c r="AI2557" s="4">
        <v>39310</v>
      </c>
    </row>
    <row r="2558" spans="1:35">
      <c r="A2558">
        <v>2557</v>
      </c>
      <c r="B2558" t="str">
        <f>"002079"</f>
        <v>002079</v>
      </c>
      <c r="C2558" t="s">
        <v>11877</v>
      </c>
      <c r="D2558" s="4">
        <v>43190</v>
      </c>
      <c r="E2558" t="s">
        <v>1837</v>
      </c>
      <c r="F2558" t="s">
        <v>500</v>
      </c>
      <c r="G2558" t="s">
        <v>1228</v>
      </c>
      <c r="H2558">
        <v>0.01</v>
      </c>
      <c r="I2558">
        <v>2.1</v>
      </c>
      <c r="J2558">
        <v>0.62</v>
      </c>
      <c r="K2558" t="s">
        <v>2112</v>
      </c>
      <c r="L2558">
        <v>39.57</v>
      </c>
      <c r="M2558" t="s">
        <v>6764</v>
      </c>
      <c r="N2558" t="s">
        <v>10302</v>
      </c>
      <c r="O2558" t="s">
        <v>11878</v>
      </c>
      <c r="P2558" t="s">
        <v>9121</v>
      </c>
      <c r="Q2558">
        <v>-49.02</v>
      </c>
      <c r="R2558" t="s">
        <v>3376</v>
      </c>
      <c r="S2558">
        <v>0.55000000000000004</v>
      </c>
      <c r="T2558">
        <v>17.489999999999998</v>
      </c>
      <c r="U2558" t="s">
        <v>2328</v>
      </c>
      <c r="V2558" t="s">
        <v>1025</v>
      </c>
      <c r="W2558" t="s">
        <v>1346</v>
      </c>
      <c r="X2558">
        <v>0.62</v>
      </c>
      <c r="Y2558" t="s">
        <v>4871</v>
      </c>
      <c r="Z2558" t="s">
        <v>726</v>
      </c>
      <c r="AA2558" t="s">
        <v>10255</v>
      </c>
      <c r="AB2558">
        <v>2.95</v>
      </c>
      <c r="AC2558" t="s">
        <v>747</v>
      </c>
      <c r="AD2558">
        <v>79.930000000000007</v>
      </c>
      <c r="AE2558" t="s">
        <v>3441</v>
      </c>
      <c r="AF2558">
        <v>0.42</v>
      </c>
      <c r="AG2558">
        <v>0</v>
      </c>
      <c r="AH2558">
        <v>0</v>
      </c>
      <c r="AI2558" s="4">
        <v>39037</v>
      </c>
    </row>
    <row r="2559" spans="1:35">
      <c r="A2559">
        <v>2558</v>
      </c>
      <c r="B2559" t="str">
        <f>"600288"</f>
        <v>600288</v>
      </c>
      <c r="C2559" t="s">
        <v>11879</v>
      </c>
      <c r="D2559" s="4">
        <v>43190</v>
      </c>
      <c r="E2559" t="s">
        <v>4794</v>
      </c>
      <c r="F2559" t="s">
        <v>4794</v>
      </c>
      <c r="G2559">
        <v>8892</v>
      </c>
      <c r="H2559">
        <v>0.02</v>
      </c>
      <c r="I2559">
        <v>3.54</v>
      </c>
      <c r="J2559">
        <v>0.61</v>
      </c>
      <c r="K2559" t="s">
        <v>3603</v>
      </c>
      <c r="L2559">
        <v>23.11</v>
      </c>
      <c r="M2559" t="s">
        <v>11880</v>
      </c>
      <c r="N2559" t="s">
        <v>6426</v>
      </c>
      <c r="O2559" t="s">
        <v>11881</v>
      </c>
      <c r="P2559" t="s">
        <v>9136</v>
      </c>
      <c r="Q2559">
        <v>183.93</v>
      </c>
      <c r="R2559" t="s">
        <v>130</v>
      </c>
      <c r="S2559">
        <v>1.8</v>
      </c>
      <c r="T2559">
        <v>21.69</v>
      </c>
      <c r="U2559" t="s">
        <v>946</v>
      </c>
      <c r="V2559" t="s">
        <v>251</v>
      </c>
      <c r="W2559" t="s">
        <v>1797</v>
      </c>
      <c r="X2559">
        <v>0.61</v>
      </c>
      <c r="Y2559" t="s">
        <v>613</v>
      </c>
      <c r="Z2559" t="s">
        <v>835</v>
      </c>
      <c r="AA2559" t="s">
        <v>7922</v>
      </c>
      <c r="AB2559">
        <v>1.89</v>
      </c>
      <c r="AC2559" t="s">
        <v>833</v>
      </c>
      <c r="AD2559">
        <v>50.16</v>
      </c>
      <c r="AE2559" t="s">
        <v>698</v>
      </c>
      <c r="AF2559">
        <v>0.43</v>
      </c>
      <c r="AG2559">
        <v>0</v>
      </c>
      <c r="AH2559">
        <v>0</v>
      </c>
      <c r="AI2559" s="4">
        <v>36859</v>
      </c>
    </row>
    <row r="2560" spans="1:35">
      <c r="A2560">
        <v>2559</v>
      </c>
      <c r="B2560" t="str">
        <f>"300615"</f>
        <v>300615</v>
      </c>
      <c r="C2560" t="s">
        <v>11882</v>
      </c>
      <c r="D2560" s="4">
        <v>43190</v>
      </c>
      <c r="E2560" t="s">
        <v>1016</v>
      </c>
      <c r="F2560" t="s">
        <v>11883</v>
      </c>
      <c r="G2560">
        <v>1833</v>
      </c>
      <c r="H2560">
        <v>0.02</v>
      </c>
      <c r="I2560">
        <v>3.1</v>
      </c>
      <c r="J2560">
        <v>0.61</v>
      </c>
      <c r="K2560" t="s">
        <v>11884</v>
      </c>
      <c r="L2560">
        <v>-30.21</v>
      </c>
      <c r="M2560" t="s">
        <v>7929</v>
      </c>
      <c r="N2560" t="s">
        <v>11885</v>
      </c>
      <c r="O2560" t="s">
        <v>3003</v>
      </c>
      <c r="P2560" t="s">
        <v>4475</v>
      </c>
      <c r="Q2560">
        <v>-77.05</v>
      </c>
      <c r="R2560" t="s">
        <v>2307</v>
      </c>
      <c r="S2560">
        <v>0.64</v>
      </c>
      <c r="T2560">
        <v>35.979999999999997</v>
      </c>
      <c r="U2560" t="s">
        <v>2230</v>
      </c>
      <c r="V2560" t="s">
        <v>479</v>
      </c>
      <c r="W2560" t="s">
        <v>1119</v>
      </c>
      <c r="X2560">
        <v>0.61</v>
      </c>
      <c r="Y2560" t="s">
        <v>2326</v>
      </c>
      <c r="Z2560" t="s">
        <v>2326</v>
      </c>
      <c r="AA2560">
        <v>0</v>
      </c>
      <c r="AB2560">
        <v>5.27</v>
      </c>
      <c r="AC2560" t="s">
        <v>155</v>
      </c>
      <c r="AD2560">
        <v>87.76</v>
      </c>
      <c r="AE2560" t="s">
        <v>219</v>
      </c>
      <c r="AF2560">
        <v>1.26</v>
      </c>
      <c r="AG2560">
        <v>0</v>
      </c>
      <c r="AH2560">
        <v>0</v>
      </c>
      <c r="AI2560" s="4">
        <v>42781</v>
      </c>
    </row>
    <row r="2561" spans="1:35">
      <c r="A2561">
        <v>2560</v>
      </c>
      <c r="B2561" t="str">
        <f>"300562"</f>
        <v>300562</v>
      </c>
      <c r="C2561" t="s">
        <v>11886</v>
      </c>
      <c r="D2561" s="4">
        <v>43190</v>
      </c>
      <c r="E2561" t="s">
        <v>905</v>
      </c>
      <c r="F2561" t="s">
        <v>7460</v>
      </c>
      <c r="G2561">
        <v>3708</v>
      </c>
      <c r="H2561">
        <v>0.02</v>
      </c>
      <c r="I2561">
        <v>2.7</v>
      </c>
      <c r="J2561">
        <v>0.61</v>
      </c>
      <c r="K2561" t="s">
        <v>1016</v>
      </c>
      <c r="L2561">
        <v>-16.36</v>
      </c>
      <c r="M2561" t="s">
        <v>1937</v>
      </c>
      <c r="N2561" t="s">
        <v>3249</v>
      </c>
      <c r="O2561" t="s">
        <v>7947</v>
      </c>
      <c r="P2561" t="s">
        <v>10187</v>
      </c>
      <c r="Q2561">
        <v>-68.08</v>
      </c>
      <c r="R2561" t="s">
        <v>603</v>
      </c>
      <c r="S2561">
        <v>0.9</v>
      </c>
      <c r="T2561">
        <v>25.27</v>
      </c>
      <c r="U2561" t="s">
        <v>805</v>
      </c>
      <c r="V2561" t="s">
        <v>1645</v>
      </c>
      <c r="W2561" t="s">
        <v>711</v>
      </c>
      <c r="X2561">
        <v>0.61</v>
      </c>
      <c r="Y2561" t="s">
        <v>828</v>
      </c>
      <c r="Z2561" t="s">
        <v>828</v>
      </c>
      <c r="AA2561" t="s">
        <v>8173</v>
      </c>
      <c r="AB2561">
        <v>5.51</v>
      </c>
      <c r="AC2561" t="s">
        <v>944</v>
      </c>
      <c r="AD2561">
        <v>65.98</v>
      </c>
      <c r="AE2561" t="s">
        <v>209</v>
      </c>
      <c r="AF2561">
        <v>0.65</v>
      </c>
      <c r="AG2561">
        <v>0</v>
      </c>
      <c r="AH2561">
        <v>0</v>
      </c>
      <c r="AI2561" s="4">
        <v>42690</v>
      </c>
    </row>
    <row r="2562" spans="1:35">
      <c r="A2562">
        <v>2561</v>
      </c>
      <c r="B2562" t="str">
        <f>"300492"</f>
        <v>300492</v>
      </c>
      <c r="C2562" t="s">
        <v>11887</v>
      </c>
      <c r="D2562" s="4">
        <v>43190</v>
      </c>
      <c r="E2562" t="s">
        <v>11888</v>
      </c>
      <c r="F2562" t="s">
        <v>2994</v>
      </c>
      <c r="G2562">
        <v>2788</v>
      </c>
      <c r="H2562">
        <v>0.02</v>
      </c>
      <c r="I2562">
        <v>3.62</v>
      </c>
      <c r="J2562">
        <v>0.61</v>
      </c>
      <c r="K2562" t="s">
        <v>10462</v>
      </c>
      <c r="L2562">
        <v>8.67</v>
      </c>
      <c r="M2562" t="s">
        <v>3811</v>
      </c>
      <c r="N2562">
        <v>0</v>
      </c>
      <c r="O2562" t="s">
        <v>3811</v>
      </c>
      <c r="P2562" t="s">
        <v>7326</v>
      </c>
      <c r="Q2562">
        <v>144.08000000000001</v>
      </c>
      <c r="R2562" t="s">
        <v>1626</v>
      </c>
      <c r="S2562">
        <v>1.24</v>
      </c>
      <c r="T2562">
        <v>29.03</v>
      </c>
      <c r="U2562" t="s">
        <v>138</v>
      </c>
      <c r="V2562" t="s">
        <v>2507</v>
      </c>
      <c r="W2562" t="s">
        <v>8976</v>
      </c>
      <c r="X2562">
        <v>0.61</v>
      </c>
      <c r="Y2562" t="s">
        <v>5492</v>
      </c>
      <c r="Z2562" t="s">
        <v>11889</v>
      </c>
      <c r="AA2562" t="s">
        <v>11890</v>
      </c>
      <c r="AB2562">
        <v>6.15</v>
      </c>
      <c r="AC2562" t="s">
        <v>167</v>
      </c>
      <c r="AD2562">
        <v>84.36</v>
      </c>
      <c r="AE2562" t="s">
        <v>11891</v>
      </c>
      <c r="AF2562">
        <v>1.1599999999999999</v>
      </c>
      <c r="AG2562">
        <v>0</v>
      </c>
      <c r="AH2562">
        <v>0</v>
      </c>
      <c r="AI2562" s="4">
        <v>42361</v>
      </c>
    </row>
    <row r="2563" spans="1:35">
      <c r="A2563">
        <v>2562</v>
      </c>
      <c r="B2563" t="str">
        <f>"002808"</f>
        <v>002808</v>
      </c>
      <c r="C2563" t="s">
        <v>11892</v>
      </c>
      <c r="D2563" s="4">
        <v>43190</v>
      </c>
      <c r="E2563" t="s">
        <v>255</v>
      </c>
      <c r="F2563" t="s">
        <v>11893</v>
      </c>
      <c r="G2563">
        <v>5364</v>
      </c>
      <c r="H2563">
        <v>0.02</v>
      </c>
      <c r="I2563">
        <v>2.83</v>
      </c>
      <c r="J2563">
        <v>0.61</v>
      </c>
      <c r="K2563" t="s">
        <v>10746</v>
      </c>
      <c r="L2563">
        <v>-5.65</v>
      </c>
      <c r="M2563" t="s">
        <v>11894</v>
      </c>
      <c r="N2563" t="s">
        <v>3109</v>
      </c>
      <c r="O2563" t="s">
        <v>6956</v>
      </c>
      <c r="P2563" t="s">
        <v>11450</v>
      </c>
      <c r="Q2563">
        <v>-48.72</v>
      </c>
      <c r="R2563" t="s">
        <v>2769</v>
      </c>
      <c r="S2563">
        <v>0.98</v>
      </c>
      <c r="T2563">
        <v>25.18</v>
      </c>
      <c r="U2563" t="s">
        <v>2517</v>
      </c>
      <c r="V2563" t="s">
        <v>1059</v>
      </c>
      <c r="W2563" t="s">
        <v>1459</v>
      </c>
      <c r="X2563">
        <v>0.61</v>
      </c>
      <c r="Y2563" t="s">
        <v>11895</v>
      </c>
      <c r="Z2563" t="s">
        <v>11896</v>
      </c>
      <c r="AA2563" t="s">
        <v>11897</v>
      </c>
      <c r="AB2563">
        <v>3.49</v>
      </c>
      <c r="AC2563" t="s">
        <v>318</v>
      </c>
      <c r="AD2563">
        <v>86.82</v>
      </c>
      <c r="AE2563" t="s">
        <v>2306</v>
      </c>
      <c r="AF2563">
        <v>0.69</v>
      </c>
      <c r="AG2563">
        <v>0</v>
      </c>
      <c r="AH2563">
        <v>0</v>
      </c>
      <c r="AI2563" s="4">
        <v>42594</v>
      </c>
    </row>
    <row r="2564" spans="1:35">
      <c r="A2564">
        <v>2563</v>
      </c>
      <c r="B2564" t="str">
        <f>"002740"</f>
        <v>002740</v>
      </c>
      <c r="C2564" t="s">
        <v>11898</v>
      </c>
      <c r="D2564" s="4">
        <v>43190</v>
      </c>
      <c r="E2564" t="s">
        <v>977</v>
      </c>
      <c r="F2564" t="s">
        <v>2102</v>
      </c>
      <c r="G2564">
        <v>6622</v>
      </c>
      <c r="H2564">
        <v>0.03</v>
      </c>
      <c r="I2564">
        <v>4.38</v>
      </c>
      <c r="J2564">
        <v>0.61</v>
      </c>
      <c r="K2564" t="s">
        <v>3044</v>
      </c>
      <c r="L2564">
        <v>21.03</v>
      </c>
      <c r="M2564" t="s">
        <v>1425</v>
      </c>
      <c r="N2564" t="s">
        <v>11899</v>
      </c>
      <c r="O2564" t="s">
        <v>10661</v>
      </c>
      <c r="P2564" t="s">
        <v>4283</v>
      </c>
      <c r="Q2564">
        <v>-18.7</v>
      </c>
      <c r="R2564" t="s">
        <v>3006</v>
      </c>
      <c r="S2564">
        <v>1.43</v>
      </c>
      <c r="T2564">
        <v>15.03</v>
      </c>
      <c r="U2564" t="s">
        <v>1832</v>
      </c>
      <c r="V2564" t="s">
        <v>1039</v>
      </c>
      <c r="W2564" t="s">
        <v>4020</v>
      </c>
      <c r="X2564">
        <v>0.61</v>
      </c>
      <c r="Y2564" t="s">
        <v>919</v>
      </c>
      <c r="Z2564" t="s">
        <v>649</v>
      </c>
      <c r="AA2564" t="s">
        <v>1597</v>
      </c>
      <c r="AB2564">
        <v>1.61</v>
      </c>
      <c r="AC2564" t="s">
        <v>263</v>
      </c>
      <c r="AD2564">
        <v>55.74</v>
      </c>
      <c r="AE2564" t="s">
        <v>2429</v>
      </c>
      <c r="AF2564">
        <v>1.79</v>
      </c>
      <c r="AG2564">
        <v>0</v>
      </c>
      <c r="AH2564">
        <v>0</v>
      </c>
      <c r="AI2564" s="4">
        <v>42026</v>
      </c>
    </row>
    <row r="2565" spans="1:35">
      <c r="A2565">
        <v>2564</v>
      </c>
      <c r="B2565" t="str">
        <f>"002696"</f>
        <v>002696</v>
      </c>
      <c r="C2565" t="s">
        <v>11900</v>
      </c>
      <c r="D2565" s="4">
        <v>43190</v>
      </c>
      <c r="E2565" t="s">
        <v>2468</v>
      </c>
      <c r="F2565" t="s">
        <v>696</v>
      </c>
      <c r="G2565" t="s">
        <v>70</v>
      </c>
      <c r="H2565">
        <v>0.03</v>
      </c>
      <c r="I2565">
        <v>5.4</v>
      </c>
      <c r="J2565">
        <v>0.61</v>
      </c>
      <c r="K2565" t="s">
        <v>169</v>
      </c>
      <c r="L2565">
        <v>29.03</v>
      </c>
      <c r="M2565" t="s">
        <v>3754</v>
      </c>
      <c r="N2565" t="s">
        <v>11901</v>
      </c>
      <c r="O2565" t="s">
        <v>11075</v>
      </c>
      <c r="P2565" t="s">
        <v>4805</v>
      </c>
      <c r="Q2565">
        <v>1629.72</v>
      </c>
      <c r="R2565" t="s">
        <v>157</v>
      </c>
      <c r="S2565">
        <v>0.96</v>
      </c>
      <c r="T2565">
        <v>23.93</v>
      </c>
      <c r="U2565" t="s">
        <v>1175</v>
      </c>
      <c r="V2565" t="s">
        <v>1367</v>
      </c>
      <c r="W2565" t="s">
        <v>889</v>
      </c>
      <c r="X2565">
        <v>0.61</v>
      </c>
      <c r="Y2565" t="s">
        <v>613</v>
      </c>
      <c r="Z2565" t="s">
        <v>835</v>
      </c>
      <c r="AA2565" t="s">
        <v>11550</v>
      </c>
      <c r="AB2565">
        <v>1.98</v>
      </c>
      <c r="AC2565" t="s">
        <v>1390</v>
      </c>
      <c r="AD2565">
        <v>63.8</v>
      </c>
      <c r="AE2565" t="s">
        <v>759</v>
      </c>
      <c r="AF2565">
        <v>3.37</v>
      </c>
      <c r="AG2565">
        <v>0</v>
      </c>
      <c r="AH2565">
        <v>0</v>
      </c>
      <c r="AI2565" s="4">
        <v>41157</v>
      </c>
    </row>
    <row r="2566" spans="1:35">
      <c r="A2566">
        <v>2565</v>
      </c>
      <c r="B2566" t="str">
        <f>"000564"</f>
        <v>000564</v>
      </c>
      <c r="C2566" t="s">
        <v>11902</v>
      </c>
      <c r="D2566" s="4">
        <v>43190</v>
      </c>
      <c r="E2566" t="s">
        <v>1160</v>
      </c>
      <c r="F2566" t="s">
        <v>308</v>
      </c>
      <c r="G2566" t="s">
        <v>2752</v>
      </c>
      <c r="H2566">
        <v>0.03</v>
      </c>
      <c r="I2566">
        <v>5.09</v>
      </c>
      <c r="J2566">
        <v>0.61</v>
      </c>
      <c r="K2566" t="s">
        <v>1050</v>
      </c>
      <c r="L2566">
        <v>-20.05</v>
      </c>
      <c r="M2566" t="s">
        <v>1184</v>
      </c>
      <c r="N2566" t="s">
        <v>11903</v>
      </c>
      <c r="O2566" t="s">
        <v>1184</v>
      </c>
      <c r="P2566" t="s">
        <v>698</v>
      </c>
      <c r="Q2566">
        <v>1.4</v>
      </c>
      <c r="R2566" t="s">
        <v>11904</v>
      </c>
      <c r="S2566">
        <v>-7.0000000000000007E-2</v>
      </c>
      <c r="T2566">
        <v>17.21</v>
      </c>
      <c r="U2566" t="s">
        <v>9564</v>
      </c>
      <c r="V2566" t="s">
        <v>7604</v>
      </c>
      <c r="W2566" t="s">
        <v>572</v>
      </c>
      <c r="X2566">
        <v>0.61</v>
      </c>
      <c r="Y2566" t="s">
        <v>1882</v>
      </c>
      <c r="Z2566" t="s">
        <v>5782</v>
      </c>
      <c r="AA2566" t="s">
        <v>5199</v>
      </c>
      <c r="AB2566">
        <v>0.94</v>
      </c>
      <c r="AC2566" t="s">
        <v>4460</v>
      </c>
      <c r="AD2566">
        <v>54.43</v>
      </c>
      <c r="AE2566" t="s">
        <v>2077</v>
      </c>
      <c r="AF2566">
        <v>4.0599999999999996</v>
      </c>
      <c r="AG2566">
        <v>0</v>
      </c>
      <c r="AH2566">
        <v>0</v>
      </c>
      <c r="AI2566" s="4">
        <v>34344</v>
      </c>
    </row>
    <row r="2567" spans="1:35">
      <c r="A2567">
        <v>2566</v>
      </c>
      <c r="B2567" t="str">
        <f>"603683"</f>
        <v>603683</v>
      </c>
      <c r="C2567" t="s">
        <v>11905</v>
      </c>
      <c r="D2567" s="4">
        <v>43190</v>
      </c>
      <c r="E2567" t="s">
        <v>2115</v>
      </c>
      <c r="F2567" t="s">
        <v>11277</v>
      </c>
      <c r="G2567">
        <v>1615</v>
      </c>
      <c r="H2567">
        <v>0.04</v>
      </c>
      <c r="I2567">
        <v>6.09</v>
      </c>
      <c r="J2567">
        <v>0.6</v>
      </c>
      <c r="K2567" t="s">
        <v>1200</v>
      </c>
      <c r="L2567">
        <v>14.56</v>
      </c>
      <c r="M2567" t="s">
        <v>7420</v>
      </c>
      <c r="N2567" t="s">
        <v>6502</v>
      </c>
      <c r="O2567" t="s">
        <v>333</v>
      </c>
      <c r="P2567" t="s">
        <v>9598</v>
      </c>
      <c r="Q2567">
        <v>-48.47</v>
      </c>
      <c r="R2567" t="s">
        <v>1977</v>
      </c>
      <c r="S2567">
        <v>2.13</v>
      </c>
      <c r="T2567">
        <v>19.32</v>
      </c>
      <c r="U2567" t="s">
        <v>1033</v>
      </c>
      <c r="V2567" t="s">
        <v>792</v>
      </c>
      <c r="W2567" t="s">
        <v>1936</v>
      </c>
      <c r="X2567">
        <v>0.6</v>
      </c>
      <c r="Y2567" t="s">
        <v>241</v>
      </c>
      <c r="Z2567" t="s">
        <v>1184</v>
      </c>
      <c r="AA2567" t="s">
        <v>256</v>
      </c>
      <c r="AB2567">
        <v>3.54</v>
      </c>
      <c r="AC2567" t="s">
        <v>1957</v>
      </c>
      <c r="AD2567">
        <v>64.900000000000006</v>
      </c>
      <c r="AE2567" t="s">
        <v>2268</v>
      </c>
      <c r="AF2567">
        <v>2.9</v>
      </c>
      <c r="AG2567">
        <v>0</v>
      </c>
      <c r="AH2567">
        <v>0</v>
      </c>
      <c r="AI2567" s="4">
        <v>43028</v>
      </c>
    </row>
    <row r="2568" spans="1:35">
      <c r="A2568">
        <v>2567</v>
      </c>
      <c r="B2568" t="str">
        <f>"300550"</f>
        <v>300550</v>
      </c>
      <c r="C2568" t="s">
        <v>11906</v>
      </c>
      <c r="D2568" s="4">
        <v>43190</v>
      </c>
      <c r="E2568" t="s">
        <v>11907</v>
      </c>
      <c r="F2568" t="s">
        <v>5414</v>
      </c>
      <c r="G2568">
        <v>2515</v>
      </c>
      <c r="H2568">
        <v>0.04</v>
      </c>
      <c r="I2568">
        <v>6.07</v>
      </c>
      <c r="J2568">
        <v>0.6</v>
      </c>
      <c r="K2568" t="s">
        <v>10725</v>
      </c>
      <c r="L2568">
        <v>26.98</v>
      </c>
      <c r="M2568" t="s">
        <v>11908</v>
      </c>
      <c r="N2568" t="s">
        <v>4480</v>
      </c>
      <c r="O2568" t="s">
        <v>11451</v>
      </c>
      <c r="P2568" t="s">
        <v>3393</v>
      </c>
      <c r="Q2568">
        <v>175.76</v>
      </c>
      <c r="R2568" t="s">
        <v>1839</v>
      </c>
      <c r="S2568">
        <v>2.11</v>
      </c>
      <c r="T2568">
        <v>41.14</v>
      </c>
      <c r="U2568" t="s">
        <v>4404</v>
      </c>
      <c r="V2568" t="s">
        <v>44</v>
      </c>
      <c r="W2568" t="s">
        <v>642</v>
      </c>
      <c r="X2568">
        <v>0.6</v>
      </c>
      <c r="Y2568" t="s">
        <v>1853</v>
      </c>
      <c r="Z2568" t="s">
        <v>3768</v>
      </c>
      <c r="AA2568" t="s">
        <v>3136</v>
      </c>
      <c r="AB2568">
        <v>5.12</v>
      </c>
      <c r="AC2568" t="s">
        <v>1076</v>
      </c>
      <c r="AD2568">
        <v>70.760000000000005</v>
      </c>
      <c r="AE2568" t="s">
        <v>234</v>
      </c>
      <c r="AF2568">
        <v>3.36</v>
      </c>
      <c r="AG2568">
        <v>0</v>
      </c>
      <c r="AH2568">
        <v>0</v>
      </c>
      <c r="AI2568" s="4">
        <v>42661</v>
      </c>
    </row>
    <row r="2569" spans="1:35">
      <c r="A2569">
        <v>2568</v>
      </c>
      <c r="B2569" t="str">
        <f>"300516"</f>
        <v>300516</v>
      </c>
      <c r="C2569" t="s">
        <v>11909</v>
      </c>
      <c r="D2569" s="4">
        <v>43190</v>
      </c>
      <c r="E2569" t="s">
        <v>280</v>
      </c>
      <c r="F2569" t="s">
        <v>8266</v>
      </c>
      <c r="G2569">
        <v>2612</v>
      </c>
      <c r="H2569">
        <v>0.06</v>
      </c>
      <c r="I2569">
        <v>9.68</v>
      </c>
      <c r="J2569">
        <v>0.6</v>
      </c>
      <c r="K2569" t="s">
        <v>5839</v>
      </c>
      <c r="L2569">
        <v>10.63</v>
      </c>
      <c r="M2569" t="s">
        <v>11094</v>
      </c>
      <c r="N2569" t="s">
        <v>11346</v>
      </c>
      <c r="O2569" t="s">
        <v>11094</v>
      </c>
      <c r="P2569" t="s">
        <v>3229</v>
      </c>
      <c r="Q2569">
        <v>-69.09</v>
      </c>
      <c r="R2569" t="s">
        <v>2751</v>
      </c>
      <c r="S2569">
        <v>3</v>
      </c>
      <c r="T2569">
        <v>29.74</v>
      </c>
      <c r="U2569" t="s">
        <v>1082</v>
      </c>
      <c r="V2569" t="s">
        <v>1496</v>
      </c>
      <c r="W2569" t="s">
        <v>845</v>
      </c>
      <c r="X2569">
        <v>0.6</v>
      </c>
      <c r="Y2569" t="s">
        <v>5484</v>
      </c>
      <c r="Z2569" t="s">
        <v>5484</v>
      </c>
      <c r="AA2569">
        <v>0</v>
      </c>
      <c r="AB2569">
        <v>3.52</v>
      </c>
      <c r="AC2569" t="s">
        <v>192</v>
      </c>
      <c r="AD2569">
        <v>92.33</v>
      </c>
      <c r="AE2569" t="s">
        <v>2532</v>
      </c>
      <c r="AF2569">
        <v>5.23</v>
      </c>
      <c r="AG2569">
        <v>0</v>
      </c>
      <c r="AH2569">
        <v>0</v>
      </c>
      <c r="AI2569" s="4">
        <v>42523</v>
      </c>
    </row>
    <row r="2570" spans="1:35">
      <c r="A2570">
        <v>2569</v>
      </c>
      <c r="B2570" t="str">
        <f>"300480"</f>
        <v>300480</v>
      </c>
      <c r="C2570" t="s">
        <v>11910</v>
      </c>
      <c r="D2570" s="4">
        <v>43190</v>
      </c>
      <c r="E2570" t="s">
        <v>255</v>
      </c>
      <c r="F2570" t="s">
        <v>11911</v>
      </c>
      <c r="G2570">
        <v>4934</v>
      </c>
      <c r="H2570">
        <v>0.02</v>
      </c>
      <c r="I2570">
        <v>3.39</v>
      </c>
      <c r="J2570">
        <v>0.6</v>
      </c>
      <c r="K2570" t="s">
        <v>11912</v>
      </c>
      <c r="L2570">
        <v>27.02</v>
      </c>
      <c r="M2570" t="s">
        <v>11302</v>
      </c>
      <c r="N2570" t="s">
        <v>9346</v>
      </c>
      <c r="O2570" t="s">
        <v>11302</v>
      </c>
      <c r="P2570" t="s">
        <v>11056</v>
      </c>
      <c r="Q2570">
        <v>166.89</v>
      </c>
      <c r="R2570" t="s">
        <v>975</v>
      </c>
      <c r="S2570">
        <v>1.01</v>
      </c>
      <c r="T2570">
        <v>49.58</v>
      </c>
      <c r="U2570" t="s">
        <v>3632</v>
      </c>
      <c r="V2570" t="s">
        <v>5374</v>
      </c>
      <c r="W2570" t="s">
        <v>2157</v>
      </c>
      <c r="X2570">
        <v>0.6</v>
      </c>
      <c r="Y2570" t="s">
        <v>11913</v>
      </c>
      <c r="Z2570" t="s">
        <v>6113</v>
      </c>
      <c r="AA2570" t="s">
        <v>8944</v>
      </c>
      <c r="AB2570">
        <v>3.93</v>
      </c>
      <c r="AC2570" t="s">
        <v>2110</v>
      </c>
      <c r="AD2570">
        <v>88.44</v>
      </c>
      <c r="AE2570" t="s">
        <v>2142</v>
      </c>
      <c r="AF2570">
        <v>1.28</v>
      </c>
      <c r="AG2570">
        <v>0</v>
      </c>
      <c r="AH2570">
        <v>0</v>
      </c>
      <c r="AI2570" s="4">
        <v>42187</v>
      </c>
    </row>
    <row r="2571" spans="1:35">
      <c r="A2571">
        <v>2570</v>
      </c>
      <c r="B2571" t="str">
        <f>"300173"</f>
        <v>300173</v>
      </c>
      <c r="C2571" t="s">
        <v>11914</v>
      </c>
      <c r="D2571" s="4">
        <v>43190</v>
      </c>
      <c r="E2571" t="s">
        <v>181</v>
      </c>
      <c r="F2571" t="s">
        <v>44</v>
      </c>
      <c r="G2571" t="s">
        <v>11581</v>
      </c>
      <c r="H2571">
        <v>0.02</v>
      </c>
      <c r="I2571">
        <v>2.87</v>
      </c>
      <c r="J2571">
        <v>0.6</v>
      </c>
      <c r="K2571" t="s">
        <v>5926</v>
      </c>
      <c r="L2571">
        <v>-9.33</v>
      </c>
      <c r="M2571" t="s">
        <v>11075</v>
      </c>
      <c r="N2571" t="s">
        <v>11915</v>
      </c>
      <c r="O2571" t="s">
        <v>11075</v>
      </c>
      <c r="P2571" t="s">
        <v>11013</v>
      </c>
      <c r="Q2571">
        <v>659.31</v>
      </c>
      <c r="R2571" t="s">
        <v>1732</v>
      </c>
      <c r="S2571">
        <v>0.44</v>
      </c>
      <c r="T2571">
        <v>25.72</v>
      </c>
      <c r="U2571" t="s">
        <v>1386</v>
      </c>
      <c r="V2571" t="s">
        <v>50</v>
      </c>
      <c r="W2571" t="s">
        <v>8904</v>
      </c>
      <c r="X2571">
        <v>0.6</v>
      </c>
      <c r="Y2571" t="s">
        <v>1094</v>
      </c>
      <c r="Z2571" t="s">
        <v>5195</v>
      </c>
      <c r="AA2571" t="s">
        <v>342</v>
      </c>
      <c r="AB2571">
        <v>2.2400000000000002</v>
      </c>
      <c r="AC2571" t="s">
        <v>820</v>
      </c>
      <c r="AD2571">
        <v>62.71</v>
      </c>
      <c r="AE2571" t="s">
        <v>7139</v>
      </c>
      <c r="AF2571">
        <v>1.39</v>
      </c>
      <c r="AG2571">
        <v>0</v>
      </c>
      <c r="AH2571">
        <v>0</v>
      </c>
      <c r="AI2571" s="4">
        <v>40575</v>
      </c>
    </row>
    <row r="2572" spans="1:35">
      <c r="A2572">
        <v>2571</v>
      </c>
      <c r="B2572" t="str">
        <f>"002785"</f>
        <v>002785</v>
      </c>
      <c r="C2572" t="s">
        <v>11916</v>
      </c>
      <c r="D2572" s="4">
        <v>43190</v>
      </c>
      <c r="E2572" t="s">
        <v>293</v>
      </c>
      <c r="F2572" t="s">
        <v>11917</v>
      </c>
      <c r="G2572">
        <v>2926</v>
      </c>
      <c r="H2572">
        <v>0.02</v>
      </c>
      <c r="I2572">
        <v>3.23</v>
      </c>
      <c r="J2572">
        <v>0.6</v>
      </c>
      <c r="K2572" t="s">
        <v>284</v>
      </c>
      <c r="L2572">
        <v>0.03</v>
      </c>
      <c r="M2572" t="s">
        <v>10143</v>
      </c>
      <c r="N2572">
        <v>8567</v>
      </c>
      <c r="O2572" t="s">
        <v>11094</v>
      </c>
      <c r="P2572" t="s">
        <v>9430</v>
      </c>
      <c r="Q2572">
        <v>9.7899999999999991</v>
      </c>
      <c r="R2572" t="s">
        <v>492</v>
      </c>
      <c r="S2572">
        <v>1.3</v>
      </c>
      <c r="T2572">
        <v>20.399999999999999</v>
      </c>
      <c r="U2572" t="s">
        <v>625</v>
      </c>
      <c r="V2572" t="s">
        <v>1198</v>
      </c>
      <c r="W2572" t="s">
        <v>11918</v>
      </c>
      <c r="X2572">
        <v>0.6</v>
      </c>
      <c r="Y2572" t="s">
        <v>944</v>
      </c>
      <c r="Z2572" t="s">
        <v>647</v>
      </c>
      <c r="AA2572" t="s">
        <v>7398</v>
      </c>
      <c r="AB2572">
        <v>3.31</v>
      </c>
      <c r="AC2572" t="s">
        <v>359</v>
      </c>
      <c r="AD2572">
        <v>53.83</v>
      </c>
      <c r="AE2572" t="s">
        <v>1855</v>
      </c>
      <c r="AF2572">
        <v>0.87</v>
      </c>
      <c r="AG2572">
        <v>0</v>
      </c>
      <c r="AH2572">
        <v>0</v>
      </c>
      <c r="AI2572" s="4">
        <v>42361</v>
      </c>
    </row>
    <row r="2573" spans="1:35">
      <c r="A2573">
        <v>2572</v>
      </c>
      <c r="B2573" t="str">
        <f>"002669"</f>
        <v>002669</v>
      </c>
      <c r="C2573" t="s">
        <v>11919</v>
      </c>
      <c r="D2573" s="4">
        <v>43190</v>
      </c>
      <c r="E2573" t="s">
        <v>1489</v>
      </c>
      <c r="F2573" t="s">
        <v>1364</v>
      </c>
      <c r="G2573" t="s">
        <v>5638</v>
      </c>
      <c r="H2573">
        <v>0.04</v>
      </c>
      <c r="I2573">
        <v>7.64</v>
      </c>
      <c r="J2573">
        <v>0.6</v>
      </c>
      <c r="K2573" t="s">
        <v>2306</v>
      </c>
      <c r="L2573">
        <v>11.04</v>
      </c>
      <c r="M2573" t="s">
        <v>4394</v>
      </c>
      <c r="N2573" t="s">
        <v>2787</v>
      </c>
      <c r="O2573" t="s">
        <v>7304</v>
      </c>
      <c r="P2573" t="s">
        <v>10770</v>
      </c>
      <c r="Q2573">
        <v>-58.07</v>
      </c>
      <c r="R2573" t="s">
        <v>3482</v>
      </c>
      <c r="S2573">
        <v>1.39</v>
      </c>
      <c r="T2573">
        <v>23.78</v>
      </c>
      <c r="U2573" t="s">
        <v>757</v>
      </c>
      <c r="V2573" t="s">
        <v>264</v>
      </c>
      <c r="W2573" t="s">
        <v>668</v>
      </c>
      <c r="X2573">
        <v>0.6</v>
      </c>
      <c r="Y2573" t="s">
        <v>845</v>
      </c>
      <c r="Z2573" t="s">
        <v>1936</v>
      </c>
      <c r="AA2573" t="s">
        <v>6309</v>
      </c>
      <c r="AB2573">
        <v>2.69</v>
      </c>
      <c r="AC2573" t="s">
        <v>1052</v>
      </c>
      <c r="AD2573">
        <v>91.41</v>
      </c>
      <c r="AE2573" t="s">
        <v>978</v>
      </c>
      <c r="AF2573">
        <v>5.1100000000000003</v>
      </c>
      <c r="AG2573">
        <v>0</v>
      </c>
      <c r="AH2573">
        <v>0</v>
      </c>
      <c r="AI2573" s="4">
        <v>41015</v>
      </c>
    </row>
    <row r="2574" spans="1:35">
      <c r="A2574">
        <v>2573</v>
      </c>
      <c r="B2574" t="str">
        <f>"002530"</f>
        <v>002530</v>
      </c>
      <c r="C2574" t="s">
        <v>11920</v>
      </c>
      <c r="D2574" s="4">
        <v>43190</v>
      </c>
      <c r="E2574" t="s">
        <v>3925</v>
      </c>
      <c r="F2574" t="s">
        <v>1578</v>
      </c>
      <c r="G2574" t="s">
        <v>1639</v>
      </c>
      <c r="H2574">
        <v>0.03</v>
      </c>
      <c r="I2574">
        <v>5.01</v>
      </c>
      <c r="J2574">
        <v>0.6</v>
      </c>
      <c r="K2574" t="s">
        <v>1853</v>
      </c>
      <c r="L2574">
        <v>35.24</v>
      </c>
      <c r="M2574" t="s">
        <v>11921</v>
      </c>
      <c r="N2574" t="s">
        <v>8083</v>
      </c>
      <c r="O2574" t="s">
        <v>4959</v>
      </c>
      <c r="P2574" t="s">
        <v>7978</v>
      </c>
      <c r="Q2574">
        <v>-21.47</v>
      </c>
      <c r="R2574" t="s">
        <v>2792</v>
      </c>
      <c r="S2574">
        <v>0.57999999999999996</v>
      </c>
      <c r="T2574">
        <v>41.18</v>
      </c>
      <c r="U2574" t="s">
        <v>2567</v>
      </c>
      <c r="V2574" t="s">
        <v>1213</v>
      </c>
      <c r="W2574" t="s">
        <v>2387</v>
      </c>
      <c r="X2574">
        <v>0.6</v>
      </c>
      <c r="Y2574" t="s">
        <v>63</v>
      </c>
      <c r="Z2574" t="s">
        <v>2010</v>
      </c>
      <c r="AA2574" t="s">
        <v>6054</v>
      </c>
      <c r="AB2574">
        <v>1.92</v>
      </c>
      <c r="AC2574" t="s">
        <v>588</v>
      </c>
      <c r="AD2574">
        <v>81.8</v>
      </c>
      <c r="AE2574" t="s">
        <v>1242</v>
      </c>
      <c r="AF2574">
        <v>3.39</v>
      </c>
      <c r="AG2574">
        <v>0</v>
      </c>
      <c r="AH2574">
        <v>0</v>
      </c>
      <c r="AI2574" s="4">
        <v>40543</v>
      </c>
    </row>
    <row r="2575" spans="1:35">
      <c r="A2575">
        <v>2574</v>
      </c>
      <c r="B2575" t="str">
        <f>"000759"</f>
        <v>000759</v>
      </c>
      <c r="C2575" t="s">
        <v>11922</v>
      </c>
      <c r="D2575" s="4">
        <v>43190</v>
      </c>
      <c r="E2575" t="s">
        <v>1238</v>
      </c>
      <c r="F2575" t="s">
        <v>1238</v>
      </c>
      <c r="G2575" t="s">
        <v>1131</v>
      </c>
      <c r="H2575">
        <v>0.03</v>
      </c>
      <c r="I2575">
        <v>4.37</v>
      </c>
      <c r="J2575">
        <v>0.6</v>
      </c>
      <c r="K2575" t="s">
        <v>527</v>
      </c>
      <c r="L2575">
        <v>1.21</v>
      </c>
      <c r="M2575" t="s">
        <v>9360</v>
      </c>
      <c r="N2575" t="s">
        <v>11923</v>
      </c>
      <c r="O2575" t="s">
        <v>11924</v>
      </c>
      <c r="P2575" t="s">
        <v>2369</v>
      </c>
      <c r="Q2575">
        <v>-83.12</v>
      </c>
      <c r="R2575" t="s">
        <v>1780</v>
      </c>
      <c r="S2575">
        <v>1.24</v>
      </c>
      <c r="T2575">
        <v>21.26</v>
      </c>
      <c r="U2575" t="s">
        <v>9786</v>
      </c>
      <c r="V2575" t="s">
        <v>1601</v>
      </c>
      <c r="W2575" t="s">
        <v>431</v>
      </c>
      <c r="X2575">
        <v>0.6</v>
      </c>
      <c r="Y2575" t="s">
        <v>2225</v>
      </c>
      <c r="Z2575" t="s">
        <v>2225</v>
      </c>
      <c r="AA2575" t="s">
        <v>3684</v>
      </c>
      <c r="AB2575">
        <v>1.62</v>
      </c>
      <c r="AC2575" t="s">
        <v>386</v>
      </c>
      <c r="AD2575">
        <v>35.880000000000003</v>
      </c>
      <c r="AE2575" t="s">
        <v>699</v>
      </c>
      <c r="AF2575">
        <v>1.59</v>
      </c>
      <c r="AG2575">
        <v>0</v>
      </c>
      <c r="AH2575">
        <v>0</v>
      </c>
      <c r="AI2575" s="4">
        <v>35569</v>
      </c>
    </row>
    <row r="2576" spans="1:35">
      <c r="A2576">
        <v>2575</v>
      </c>
      <c r="B2576" t="str">
        <f>"000555"</f>
        <v>000555</v>
      </c>
      <c r="C2576" t="s">
        <v>11925</v>
      </c>
      <c r="D2576" s="4">
        <v>43190</v>
      </c>
      <c r="E2576" t="s">
        <v>8161</v>
      </c>
      <c r="F2576" t="s">
        <v>6541</v>
      </c>
      <c r="G2576" t="s">
        <v>2531</v>
      </c>
      <c r="H2576">
        <v>0.03</v>
      </c>
      <c r="I2576">
        <v>5.08</v>
      </c>
      <c r="J2576">
        <v>0.6</v>
      </c>
      <c r="K2576" t="s">
        <v>1390</v>
      </c>
      <c r="L2576">
        <v>37.24</v>
      </c>
      <c r="M2576" t="s">
        <v>8841</v>
      </c>
      <c r="N2576" t="s">
        <v>11926</v>
      </c>
      <c r="O2576" t="s">
        <v>9651</v>
      </c>
      <c r="P2576" t="s">
        <v>9209</v>
      </c>
      <c r="Q2576">
        <v>59.53</v>
      </c>
      <c r="R2576" t="s">
        <v>1244</v>
      </c>
      <c r="S2576">
        <v>1.66</v>
      </c>
      <c r="T2576">
        <v>19.84</v>
      </c>
      <c r="U2576" t="s">
        <v>550</v>
      </c>
      <c r="V2576" t="s">
        <v>5698</v>
      </c>
      <c r="W2576" t="s">
        <v>494</v>
      </c>
      <c r="X2576">
        <v>0.6</v>
      </c>
      <c r="Y2576" t="s">
        <v>152</v>
      </c>
      <c r="Z2576" t="s">
        <v>3422</v>
      </c>
      <c r="AA2576" t="s">
        <v>804</v>
      </c>
      <c r="AB2576">
        <v>1.93</v>
      </c>
      <c r="AC2576" t="s">
        <v>2881</v>
      </c>
      <c r="AD2576">
        <v>51.57</v>
      </c>
      <c r="AE2576" t="s">
        <v>261</v>
      </c>
      <c r="AF2576">
        <v>2.31</v>
      </c>
      <c r="AG2576">
        <v>0</v>
      </c>
      <c r="AH2576">
        <v>0</v>
      </c>
      <c r="AI2576" s="4">
        <v>34432</v>
      </c>
    </row>
    <row r="2577" spans="1:35">
      <c r="A2577">
        <v>2576</v>
      </c>
      <c r="B2577" t="str">
        <f>"600560"</f>
        <v>600560</v>
      </c>
      <c r="C2577" t="s">
        <v>11927</v>
      </c>
      <c r="D2577" s="4">
        <v>43190</v>
      </c>
      <c r="E2577" t="s">
        <v>509</v>
      </c>
      <c r="F2577" t="s">
        <v>509</v>
      </c>
      <c r="G2577">
        <v>7918</v>
      </c>
      <c r="H2577">
        <v>0.02</v>
      </c>
      <c r="I2577">
        <v>3.31</v>
      </c>
      <c r="J2577">
        <v>0.59</v>
      </c>
      <c r="K2577" t="s">
        <v>804</v>
      </c>
      <c r="L2577">
        <v>-10</v>
      </c>
      <c r="M2577" t="s">
        <v>2650</v>
      </c>
      <c r="N2577" t="s">
        <v>11587</v>
      </c>
      <c r="O2577" t="s">
        <v>11928</v>
      </c>
      <c r="P2577" t="s">
        <v>10065</v>
      </c>
      <c r="Q2577">
        <v>-30.55</v>
      </c>
      <c r="R2577" t="s">
        <v>507</v>
      </c>
      <c r="S2577">
        <v>1.1299999999999999</v>
      </c>
      <c r="T2577">
        <v>21.31</v>
      </c>
      <c r="U2577" t="s">
        <v>1569</v>
      </c>
      <c r="V2577" t="s">
        <v>162</v>
      </c>
      <c r="W2577" t="s">
        <v>1936</v>
      </c>
      <c r="X2577">
        <v>0.59</v>
      </c>
      <c r="Y2577" t="s">
        <v>458</v>
      </c>
      <c r="Z2577" t="s">
        <v>1589</v>
      </c>
      <c r="AA2577" t="s">
        <v>8710</v>
      </c>
      <c r="AB2577">
        <v>2.34</v>
      </c>
      <c r="AC2577" t="s">
        <v>3632</v>
      </c>
      <c r="AD2577">
        <v>44.38</v>
      </c>
      <c r="AE2577" t="s">
        <v>618</v>
      </c>
      <c r="AF2577">
        <v>0.92</v>
      </c>
      <c r="AG2577">
        <v>0</v>
      </c>
      <c r="AH2577">
        <v>0</v>
      </c>
      <c r="AI2577" s="4">
        <v>37518</v>
      </c>
    </row>
    <row r="2578" spans="1:35">
      <c r="A2578">
        <v>2577</v>
      </c>
      <c r="B2578" t="str">
        <f>"300381"</f>
        <v>300381</v>
      </c>
      <c r="C2578" t="s">
        <v>11929</v>
      </c>
      <c r="D2578" s="4">
        <v>43190</v>
      </c>
      <c r="E2578" t="s">
        <v>48</v>
      </c>
      <c r="F2578" t="s">
        <v>47</v>
      </c>
      <c r="G2578" t="s">
        <v>4505</v>
      </c>
      <c r="H2578">
        <v>0.03</v>
      </c>
      <c r="I2578">
        <v>4.75</v>
      </c>
      <c r="J2578">
        <v>0.59</v>
      </c>
      <c r="K2578" t="s">
        <v>52</v>
      </c>
      <c r="L2578">
        <v>9.51</v>
      </c>
      <c r="M2578" t="s">
        <v>9586</v>
      </c>
      <c r="N2578">
        <v>0</v>
      </c>
      <c r="O2578" t="s">
        <v>10043</v>
      </c>
      <c r="P2578" t="s">
        <v>10977</v>
      </c>
      <c r="Q2578">
        <v>4.58</v>
      </c>
      <c r="R2578" t="s">
        <v>611</v>
      </c>
      <c r="S2578">
        <v>1.1299999999999999</v>
      </c>
      <c r="T2578">
        <v>43.26</v>
      </c>
      <c r="U2578" t="s">
        <v>1545</v>
      </c>
      <c r="V2578" t="s">
        <v>516</v>
      </c>
      <c r="W2578" t="s">
        <v>602</v>
      </c>
      <c r="X2578">
        <v>0.59</v>
      </c>
      <c r="Y2578" t="s">
        <v>2328</v>
      </c>
      <c r="Z2578" t="s">
        <v>162</v>
      </c>
      <c r="AA2578" t="s">
        <v>1959</v>
      </c>
      <c r="AB2578">
        <v>1.94</v>
      </c>
      <c r="AC2578" t="s">
        <v>275</v>
      </c>
      <c r="AD2578">
        <v>48.15</v>
      </c>
      <c r="AE2578" t="s">
        <v>978</v>
      </c>
      <c r="AF2578">
        <v>2.5299999999999998</v>
      </c>
      <c r="AG2578">
        <v>0</v>
      </c>
      <c r="AH2578">
        <v>0</v>
      </c>
      <c r="AI2578" s="4">
        <v>41667</v>
      </c>
    </row>
    <row r="2579" spans="1:35">
      <c r="A2579">
        <v>2578</v>
      </c>
      <c r="B2579" t="str">
        <f>"300134"</f>
        <v>300134</v>
      </c>
      <c r="C2579" t="s">
        <v>11930</v>
      </c>
      <c r="D2579" s="4">
        <v>43190</v>
      </c>
      <c r="E2579" t="s">
        <v>63</v>
      </c>
      <c r="F2579" t="s">
        <v>3196</v>
      </c>
      <c r="G2579" t="s">
        <v>1122</v>
      </c>
      <c r="H2579">
        <v>0.04</v>
      </c>
      <c r="I2579">
        <v>6.98</v>
      </c>
      <c r="J2579">
        <v>0.59</v>
      </c>
      <c r="K2579" t="s">
        <v>645</v>
      </c>
      <c r="L2579">
        <v>-4.0199999999999996</v>
      </c>
      <c r="M2579" t="s">
        <v>8177</v>
      </c>
      <c r="N2579" t="s">
        <v>1598</v>
      </c>
      <c r="O2579" t="s">
        <v>11931</v>
      </c>
      <c r="P2579" t="s">
        <v>2163</v>
      </c>
      <c r="Q2579">
        <v>243.6</v>
      </c>
      <c r="R2579" t="s">
        <v>11932</v>
      </c>
      <c r="S2579">
        <v>-0.47</v>
      </c>
      <c r="T2579">
        <v>20.04</v>
      </c>
      <c r="U2579" t="s">
        <v>885</v>
      </c>
      <c r="V2579" t="s">
        <v>524</v>
      </c>
      <c r="W2579" t="s">
        <v>263</v>
      </c>
      <c r="X2579">
        <v>0.59</v>
      </c>
      <c r="Y2579" t="s">
        <v>510</v>
      </c>
      <c r="Z2579" t="s">
        <v>1190</v>
      </c>
      <c r="AA2579" t="s">
        <v>1202</v>
      </c>
      <c r="AB2579">
        <v>1.44</v>
      </c>
      <c r="AC2579" t="s">
        <v>4286</v>
      </c>
      <c r="AD2579">
        <v>74.03</v>
      </c>
      <c r="AE2579" t="s">
        <v>1050</v>
      </c>
      <c r="AF2579">
        <v>6.31</v>
      </c>
      <c r="AG2579">
        <v>0</v>
      </c>
      <c r="AH2579">
        <v>0</v>
      </c>
      <c r="AI2579" s="4">
        <v>40477</v>
      </c>
    </row>
    <row r="2580" spans="1:35">
      <c r="A2580">
        <v>2579</v>
      </c>
      <c r="B2580" t="str">
        <f>"002647"</f>
        <v>002647</v>
      </c>
      <c r="C2580" t="s">
        <v>11933</v>
      </c>
      <c r="D2580" s="4">
        <v>43190</v>
      </c>
      <c r="E2580" t="s">
        <v>1002</v>
      </c>
      <c r="F2580" t="s">
        <v>1002</v>
      </c>
      <c r="G2580" t="s">
        <v>11934</v>
      </c>
      <c r="H2580">
        <v>0.01</v>
      </c>
      <c r="I2580">
        <v>1.39</v>
      </c>
      <c r="J2580">
        <v>0.59</v>
      </c>
      <c r="K2580" t="s">
        <v>668</v>
      </c>
      <c r="L2580">
        <v>744.37</v>
      </c>
      <c r="M2580" t="s">
        <v>10977</v>
      </c>
      <c r="N2580" t="s">
        <v>11935</v>
      </c>
      <c r="O2580" t="s">
        <v>10634</v>
      </c>
      <c r="P2580" t="s">
        <v>11936</v>
      </c>
      <c r="Q2580">
        <v>140.04</v>
      </c>
      <c r="R2580" t="s">
        <v>322</v>
      </c>
      <c r="S2580">
        <v>0.22</v>
      </c>
      <c r="T2580">
        <v>20.39</v>
      </c>
      <c r="U2580" t="s">
        <v>2280</v>
      </c>
      <c r="V2580" t="s">
        <v>973</v>
      </c>
      <c r="W2580" t="s">
        <v>9608</v>
      </c>
      <c r="X2580">
        <v>0.59</v>
      </c>
      <c r="Y2580" t="s">
        <v>304</v>
      </c>
      <c r="Z2580" t="s">
        <v>147</v>
      </c>
      <c r="AA2580" t="s">
        <v>1157</v>
      </c>
      <c r="AB2580">
        <v>12.91</v>
      </c>
      <c r="AC2580" t="s">
        <v>805</v>
      </c>
      <c r="AD2580">
        <v>31.11</v>
      </c>
      <c r="AE2580" t="s">
        <v>676</v>
      </c>
      <c r="AF2580">
        <v>0.09</v>
      </c>
      <c r="AG2580">
        <v>0</v>
      </c>
      <c r="AH2580">
        <v>0</v>
      </c>
      <c r="AI2580" s="4">
        <v>40905</v>
      </c>
    </row>
    <row r="2581" spans="1:35">
      <c r="A2581">
        <v>2580</v>
      </c>
      <c r="B2581" t="str">
        <f>"000620"</f>
        <v>000620</v>
      </c>
      <c r="C2581" t="s">
        <v>11937</v>
      </c>
      <c r="D2581" s="4">
        <v>43190</v>
      </c>
      <c r="E2581" t="s">
        <v>183</v>
      </c>
      <c r="F2581" t="s">
        <v>183</v>
      </c>
      <c r="G2581" t="s">
        <v>881</v>
      </c>
      <c r="H2581">
        <v>0.02</v>
      </c>
      <c r="I2581">
        <v>3.42</v>
      </c>
      <c r="J2581">
        <v>0.59</v>
      </c>
      <c r="K2581" t="s">
        <v>919</v>
      </c>
      <c r="L2581">
        <v>21.88</v>
      </c>
      <c r="M2581" t="s">
        <v>11938</v>
      </c>
      <c r="N2581" t="s">
        <v>86</v>
      </c>
      <c r="O2581" t="s">
        <v>8159</v>
      </c>
      <c r="P2581" t="s">
        <v>5732</v>
      </c>
      <c r="Q2581">
        <v>-42.29</v>
      </c>
      <c r="R2581" t="s">
        <v>4558</v>
      </c>
      <c r="S2581">
        <v>1.93</v>
      </c>
      <c r="T2581">
        <v>25.62</v>
      </c>
      <c r="U2581" t="s">
        <v>6550</v>
      </c>
      <c r="V2581" t="s">
        <v>3031</v>
      </c>
      <c r="W2581" t="s">
        <v>2513</v>
      </c>
      <c r="X2581">
        <v>0.59</v>
      </c>
      <c r="Y2581" t="s">
        <v>1880</v>
      </c>
      <c r="Z2581" t="s">
        <v>5503</v>
      </c>
      <c r="AA2581" t="s">
        <v>1749</v>
      </c>
      <c r="AB2581">
        <v>1.58</v>
      </c>
      <c r="AC2581" t="s">
        <v>979</v>
      </c>
      <c r="AD2581">
        <v>12.71</v>
      </c>
      <c r="AE2581" t="s">
        <v>1920</v>
      </c>
      <c r="AF2581">
        <v>1.08</v>
      </c>
      <c r="AG2581">
        <v>0</v>
      </c>
      <c r="AH2581">
        <v>0</v>
      </c>
      <c r="AI2581" s="4">
        <v>35367</v>
      </c>
    </row>
    <row r="2582" spans="1:35">
      <c r="A2582">
        <v>2581</v>
      </c>
      <c r="B2582" t="str">
        <f>"000096"</f>
        <v>000096</v>
      </c>
      <c r="C2582" t="s">
        <v>11939</v>
      </c>
      <c r="D2582" s="4">
        <v>43190</v>
      </c>
      <c r="E2582" t="s">
        <v>769</v>
      </c>
      <c r="F2582" t="s">
        <v>1309</v>
      </c>
      <c r="G2582" t="s">
        <v>4294</v>
      </c>
      <c r="H2582">
        <v>0.03</v>
      </c>
      <c r="I2582">
        <v>4.51</v>
      </c>
      <c r="J2582">
        <v>0.59</v>
      </c>
      <c r="K2582" t="s">
        <v>1229</v>
      </c>
      <c r="L2582">
        <v>82.97</v>
      </c>
      <c r="M2582" t="s">
        <v>8038</v>
      </c>
      <c r="N2582" t="s">
        <v>6438</v>
      </c>
      <c r="O2582" t="s">
        <v>9616</v>
      </c>
      <c r="P2582" t="s">
        <v>6818</v>
      </c>
      <c r="Q2582">
        <v>-62.51</v>
      </c>
      <c r="R2582" t="s">
        <v>973</v>
      </c>
      <c r="S2582">
        <v>2.15</v>
      </c>
      <c r="T2582">
        <v>9.3800000000000008</v>
      </c>
      <c r="U2582" t="s">
        <v>402</v>
      </c>
      <c r="V2582" t="s">
        <v>80</v>
      </c>
      <c r="W2582" t="s">
        <v>6301</v>
      </c>
      <c r="X2582">
        <v>0.59</v>
      </c>
      <c r="Y2582" t="s">
        <v>84</v>
      </c>
      <c r="Z2582" t="s">
        <v>1626</v>
      </c>
      <c r="AA2582" t="s">
        <v>6024</v>
      </c>
      <c r="AB2582">
        <v>2.38</v>
      </c>
      <c r="AC2582" t="s">
        <v>440</v>
      </c>
      <c r="AD2582">
        <v>93.58</v>
      </c>
      <c r="AE2582" t="s">
        <v>1712</v>
      </c>
      <c r="AF2582">
        <v>0.67</v>
      </c>
      <c r="AG2582">
        <v>0</v>
      </c>
      <c r="AH2582">
        <v>0</v>
      </c>
      <c r="AI2582" s="4">
        <v>36731</v>
      </c>
    </row>
    <row r="2583" spans="1:35">
      <c r="A2583">
        <v>2582</v>
      </c>
      <c r="B2583" t="str">
        <f>"603005"</f>
        <v>603005</v>
      </c>
      <c r="C2583" t="s">
        <v>11940</v>
      </c>
      <c r="D2583" s="4">
        <v>43190</v>
      </c>
      <c r="E2583" t="s">
        <v>1245</v>
      </c>
      <c r="F2583" t="s">
        <v>1457</v>
      </c>
      <c r="G2583">
        <v>7619</v>
      </c>
      <c r="H2583">
        <v>0.04</v>
      </c>
      <c r="I2583">
        <v>7.76</v>
      </c>
      <c r="J2583">
        <v>0.57999999999999996</v>
      </c>
      <c r="K2583" t="s">
        <v>84</v>
      </c>
      <c r="L2583">
        <v>7</v>
      </c>
      <c r="M2583" t="s">
        <v>4764</v>
      </c>
      <c r="N2583" t="s">
        <v>5685</v>
      </c>
      <c r="O2583" t="s">
        <v>4764</v>
      </c>
      <c r="P2583" t="s">
        <v>11941</v>
      </c>
      <c r="Q2583">
        <v>-55.09</v>
      </c>
      <c r="R2583" t="s">
        <v>1907</v>
      </c>
      <c r="S2583">
        <v>2.75</v>
      </c>
      <c r="T2583">
        <v>30.24</v>
      </c>
      <c r="U2583" t="s">
        <v>159</v>
      </c>
      <c r="V2583" t="s">
        <v>895</v>
      </c>
      <c r="W2583" t="s">
        <v>1462</v>
      </c>
      <c r="X2583">
        <v>0.57999999999999996</v>
      </c>
      <c r="Y2583" t="s">
        <v>188</v>
      </c>
      <c r="Z2583" t="s">
        <v>1011</v>
      </c>
      <c r="AA2583" t="s">
        <v>11942</v>
      </c>
      <c r="AB2583">
        <v>3.11</v>
      </c>
      <c r="AC2583" t="s">
        <v>1455</v>
      </c>
      <c r="AD2583">
        <v>86.26</v>
      </c>
      <c r="AE2583" t="s">
        <v>4568</v>
      </c>
      <c r="AF2583">
        <v>3.99</v>
      </c>
      <c r="AG2583">
        <v>0</v>
      </c>
      <c r="AH2583">
        <v>0</v>
      </c>
      <c r="AI2583" s="4">
        <v>41680</v>
      </c>
    </row>
    <row r="2584" spans="1:35">
      <c r="A2584">
        <v>2583</v>
      </c>
      <c r="B2584" t="str">
        <f>"600552"</f>
        <v>600552</v>
      </c>
      <c r="C2584" t="s">
        <v>11943</v>
      </c>
      <c r="D2584" s="4">
        <v>43190</v>
      </c>
      <c r="E2584" t="s">
        <v>63</v>
      </c>
      <c r="F2584" t="s">
        <v>1042</v>
      </c>
      <c r="G2584" t="s">
        <v>2376</v>
      </c>
      <c r="H2584">
        <v>0.02</v>
      </c>
      <c r="I2584">
        <v>3.1</v>
      </c>
      <c r="J2584">
        <v>0.57999999999999996</v>
      </c>
      <c r="K2584" t="s">
        <v>1965</v>
      </c>
      <c r="L2584">
        <v>-20.76</v>
      </c>
      <c r="M2584" t="s">
        <v>11944</v>
      </c>
      <c r="N2584">
        <v>0</v>
      </c>
      <c r="O2584" t="s">
        <v>11945</v>
      </c>
      <c r="P2584" t="s">
        <v>11577</v>
      </c>
      <c r="Q2584">
        <v>15.36</v>
      </c>
      <c r="R2584" t="s">
        <v>3587</v>
      </c>
      <c r="S2584">
        <v>0.81</v>
      </c>
      <c r="T2584">
        <v>14.9</v>
      </c>
      <c r="U2584" t="s">
        <v>1388</v>
      </c>
      <c r="V2584" t="s">
        <v>2238</v>
      </c>
      <c r="W2584" t="s">
        <v>926</v>
      </c>
      <c r="X2584">
        <v>0.57999999999999996</v>
      </c>
      <c r="Y2584" t="s">
        <v>1700</v>
      </c>
      <c r="Z2584" t="s">
        <v>1101</v>
      </c>
      <c r="AA2584" t="s">
        <v>5620</v>
      </c>
      <c r="AB2584">
        <v>1.52</v>
      </c>
      <c r="AC2584" t="s">
        <v>1704</v>
      </c>
      <c r="AD2584">
        <v>44.69</v>
      </c>
      <c r="AE2584" t="s">
        <v>4539</v>
      </c>
      <c r="AF2584">
        <v>1.25</v>
      </c>
      <c r="AG2584">
        <v>0</v>
      </c>
      <c r="AH2584">
        <v>0</v>
      </c>
      <c r="AI2584" s="4">
        <v>37568</v>
      </c>
    </row>
    <row r="2585" spans="1:35">
      <c r="A2585">
        <v>2584</v>
      </c>
      <c r="B2585" t="str">
        <f>"300077"</f>
        <v>300077</v>
      </c>
      <c r="C2585" t="s">
        <v>11946</v>
      </c>
      <c r="D2585" s="4">
        <v>43190</v>
      </c>
      <c r="E2585" t="s">
        <v>1935</v>
      </c>
      <c r="F2585" t="s">
        <v>734</v>
      </c>
      <c r="G2585">
        <v>7876</v>
      </c>
      <c r="H2585">
        <v>0.03</v>
      </c>
      <c r="I2585">
        <v>4.5199999999999996</v>
      </c>
      <c r="J2585">
        <v>0.57999999999999996</v>
      </c>
      <c r="K2585" t="s">
        <v>1624</v>
      </c>
      <c r="L2585">
        <v>2.58</v>
      </c>
      <c r="M2585" t="s">
        <v>4739</v>
      </c>
      <c r="N2585" t="s">
        <v>6076</v>
      </c>
      <c r="O2585" t="s">
        <v>11947</v>
      </c>
      <c r="P2585" t="s">
        <v>8469</v>
      </c>
      <c r="Q2585">
        <v>-31.86</v>
      </c>
      <c r="R2585" t="s">
        <v>11948</v>
      </c>
      <c r="S2585">
        <v>-0.26</v>
      </c>
      <c r="T2585">
        <v>30.88</v>
      </c>
      <c r="U2585" t="s">
        <v>1616</v>
      </c>
      <c r="V2585" t="s">
        <v>2941</v>
      </c>
      <c r="W2585" t="s">
        <v>11949</v>
      </c>
      <c r="X2585">
        <v>0.57999999999999996</v>
      </c>
      <c r="Y2585" t="s">
        <v>1843</v>
      </c>
      <c r="Z2585" t="s">
        <v>418</v>
      </c>
      <c r="AA2585" t="s">
        <v>11950</v>
      </c>
      <c r="AB2585">
        <v>2.3199999999999998</v>
      </c>
      <c r="AC2585" t="s">
        <v>774</v>
      </c>
      <c r="AD2585">
        <v>53.7</v>
      </c>
      <c r="AE2585" t="s">
        <v>576</v>
      </c>
      <c r="AF2585">
        <v>3.74</v>
      </c>
      <c r="AG2585">
        <v>0</v>
      </c>
      <c r="AH2585">
        <v>0</v>
      </c>
      <c r="AI2585" s="4">
        <v>40298</v>
      </c>
    </row>
    <row r="2586" spans="1:35">
      <c r="A2586">
        <v>2585</v>
      </c>
      <c r="B2586" t="str">
        <f>"002418"</f>
        <v>002418</v>
      </c>
      <c r="C2586" t="s">
        <v>11951</v>
      </c>
      <c r="D2586" s="4">
        <v>43190</v>
      </c>
      <c r="E2586" t="s">
        <v>354</v>
      </c>
      <c r="F2586" t="s">
        <v>2739</v>
      </c>
      <c r="G2586" t="s">
        <v>1131</v>
      </c>
      <c r="H2586">
        <v>0.01</v>
      </c>
      <c r="I2586">
        <v>1.96</v>
      </c>
      <c r="J2586">
        <v>0.57999999999999996</v>
      </c>
      <c r="K2586" t="s">
        <v>650</v>
      </c>
      <c r="L2586">
        <v>10.86</v>
      </c>
      <c r="M2586" t="s">
        <v>6308</v>
      </c>
      <c r="N2586" t="s">
        <v>1922</v>
      </c>
      <c r="O2586" t="s">
        <v>11952</v>
      </c>
      <c r="P2586" t="s">
        <v>10877</v>
      </c>
      <c r="Q2586">
        <v>-23.76</v>
      </c>
      <c r="R2586" t="s">
        <v>1394</v>
      </c>
      <c r="S2586">
        <v>0.57999999999999996</v>
      </c>
      <c r="T2586">
        <v>12.34</v>
      </c>
      <c r="U2586" t="s">
        <v>525</v>
      </c>
      <c r="V2586" t="s">
        <v>3733</v>
      </c>
      <c r="W2586" t="s">
        <v>2955</v>
      </c>
      <c r="X2586">
        <v>0.57999999999999996</v>
      </c>
      <c r="Y2586" t="s">
        <v>3068</v>
      </c>
      <c r="Z2586" t="s">
        <v>4205</v>
      </c>
      <c r="AA2586" t="s">
        <v>1223</v>
      </c>
      <c r="AB2586">
        <v>4.01</v>
      </c>
      <c r="AC2586" t="s">
        <v>1449</v>
      </c>
      <c r="AD2586">
        <v>21.58</v>
      </c>
      <c r="AE2586" t="s">
        <v>1324</v>
      </c>
      <c r="AF2586">
        <v>0.33</v>
      </c>
      <c r="AG2586">
        <v>0</v>
      </c>
      <c r="AH2586">
        <v>0</v>
      </c>
      <c r="AI2586" s="4">
        <v>40330</v>
      </c>
    </row>
    <row r="2587" spans="1:35">
      <c r="A2587">
        <v>2586</v>
      </c>
      <c r="B2587" t="str">
        <f>"603335"</f>
        <v>603335</v>
      </c>
      <c r="C2587" t="s">
        <v>11953</v>
      </c>
      <c r="D2587" s="4">
        <v>43190</v>
      </c>
      <c r="E2587" t="s">
        <v>2661</v>
      </c>
      <c r="F2587" t="s">
        <v>3725</v>
      </c>
      <c r="G2587">
        <v>3105</v>
      </c>
      <c r="H2587">
        <v>0.01</v>
      </c>
      <c r="I2587">
        <v>1.64</v>
      </c>
      <c r="J2587">
        <v>0.56999999999999995</v>
      </c>
      <c r="K2587" t="s">
        <v>844</v>
      </c>
      <c r="L2587">
        <v>-8.52</v>
      </c>
      <c r="M2587" t="s">
        <v>11954</v>
      </c>
      <c r="N2587" t="s">
        <v>11955</v>
      </c>
      <c r="O2587" t="s">
        <v>6204</v>
      </c>
      <c r="P2587" t="s">
        <v>3453</v>
      </c>
      <c r="Q2587">
        <v>-78.599999999999994</v>
      </c>
      <c r="R2587" t="s">
        <v>6839</v>
      </c>
      <c r="S2587">
        <v>0.24</v>
      </c>
      <c r="T2587">
        <v>31.92</v>
      </c>
      <c r="U2587" t="s">
        <v>1709</v>
      </c>
      <c r="V2587" t="s">
        <v>475</v>
      </c>
      <c r="W2587" t="s">
        <v>1627</v>
      </c>
      <c r="X2587">
        <v>0.56999999999999995</v>
      </c>
      <c r="Y2587" t="s">
        <v>296</v>
      </c>
      <c r="Z2587" t="s">
        <v>1621</v>
      </c>
      <c r="AA2587" t="s">
        <v>596</v>
      </c>
      <c r="AB2587">
        <v>4.3600000000000003</v>
      </c>
      <c r="AC2587" t="s">
        <v>483</v>
      </c>
      <c r="AD2587">
        <v>61.51</v>
      </c>
      <c r="AE2587" t="s">
        <v>3332</v>
      </c>
      <c r="AF2587">
        <v>0.36</v>
      </c>
      <c r="AG2587">
        <v>0</v>
      </c>
      <c r="AH2587">
        <v>0</v>
      </c>
      <c r="AI2587" s="4">
        <v>42906</v>
      </c>
    </row>
    <row r="2588" spans="1:35">
      <c r="A2588">
        <v>2587</v>
      </c>
      <c r="B2588" t="str">
        <f>"600262"</f>
        <v>600262</v>
      </c>
      <c r="C2588" t="s">
        <v>11956</v>
      </c>
      <c r="D2588" s="4">
        <v>43190</v>
      </c>
      <c r="E2588" t="s">
        <v>2069</v>
      </c>
      <c r="F2588" t="s">
        <v>2069</v>
      </c>
      <c r="G2588" t="s">
        <v>950</v>
      </c>
      <c r="H2588">
        <v>0.04</v>
      </c>
      <c r="I2588">
        <v>6.23</v>
      </c>
      <c r="J2588">
        <v>0.56999999999999995</v>
      </c>
      <c r="K2588" t="s">
        <v>1666</v>
      </c>
      <c r="L2588">
        <v>212.21</v>
      </c>
      <c r="M2588" t="s">
        <v>7732</v>
      </c>
      <c r="N2588" t="s">
        <v>3175</v>
      </c>
      <c r="O2588" t="s">
        <v>10539</v>
      </c>
      <c r="P2588" t="s">
        <v>10238</v>
      </c>
      <c r="Q2588">
        <v>47.66</v>
      </c>
      <c r="R2588" t="s">
        <v>1626</v>
      </c>
      <c r="S2588">
        <v>0.69</v>
      </c>
      <c r="T2588">
        <v>20.73</v>
      </c>
      <c r="U2588" t="s">
        <v>159</v>
      </c>
      <c r="V2588" t="s">
        <v>1367</v>
      </c>
      <c r="W2588" t="s">
        <v>188</v>
      </c>
      <c r="X2588">
        <v>0.56999999999999995</v>
      </c>
      <c r="Y2588" t="s">
        <v>354</v>
      </c>
      <c r="Z2588" t="s">
        <v>978</v>
      </c>
      <c r="AA2588" t="s">
        <v>355</v>
      </c>
      <c r="AB2588">
        <v>3.24</v>
      </c>
      <c r="AC2588" t="s">
        <v>521</v>
      </c>
      <c r="AD2588">
        <v>50.67</v>
      </c>
      <c r="AE2588" t="s">
        <v>78</v>
      </c>
      <c r="AF2588">
        <v>2.38</v>
      </c>
      <c r="AG2588">
        <v>0</v>
      </c>
      <c r="AH2588">
        <v>0</v>
      </c>
      <c r="AI2588" s="4">
        <v>36707</v>
      </c>
    </row>
    <row r="2589" spans="1:35">
      <c r="A2589">
        <v>2588</v>
      </c>
      <c r="B2589" t="str">
        <f>"002630"</f>
        <v>002630</v>
      </c>
      <c r="C2589" t="s">
        <v>11957</v>
      </c>
      <c r="D2589" s="4">
        <v>43190</v>
      </c>
      <c r="E2589" t="s">
        <v>250</v>
      </c>
      <c r="F2589" t="s">
        <v>2421</v>
      </c>
      <c r="G2589" t="s">
        <v>4119</v>
      </c>
      <c r="H2589">
        <v>0.02</v>
      </c>
      <c r="I2589">
        <v>2.76</v>
      </c>
      <c r="J2589">
        <v>0.56999999999999995</v>
      </c>
      <c r="K2589" t="s">
        <v>2329</v>
      </c>
      <c r="L2589">
        <v>7.93</v>
      </c>
      <c r="M2589" t="s">
        <v>422</v>
      </c>
      <c r="N2589" t="s">
        <v>3395</v>
      </c>
      <c r="O2589" t="s">
        <v>5072</v>
      </c>
      <c r="P2589" t="s">
        <v>11661</v>
      </c>
      <c r="Q2589">
        <v>1.76</v>
      </c>
      <c r="R2589" t="s">
        <v>613</v>
      </c>
      <c r="S2589">
        <v>0.96</v>
      </c>
      <c r="T2589">
        <v>18.66</v>
      </c>
      <c r="U2589" t="s">
        <v>1453</v>
      </c>
      <c r="V2589" t="s">
        <v>9492</v>
      </c>
      <c r="W2589" t="s">
        <v>1223</v>
      </c>
      <c r="X2589">
        <v>0.56999999999999995</v>
      </c>
      <c r="Y2589" t="s">
        <v>404</v>
      </c>
      <c r="Z2589" t="s">
        <v>3702</v>
      </c>
      <c r="AA2589" t="s">
        <v>1593</v>
      </c>
      <c r="AB2589">
        <v>2.37</v>
      </c>
      <c r="AC2589" t="s">
        <v>818</v>
      </c>
      <c r="AD2589">
        <v>22.25</v>
      </c>
      <c r="AE2589" t="s">
        <v>164</v>
      </c>
      <c r="AF2589">
        <v>0.69</v>
      </c>
      <c r="AG2589">
        <v>0</v>
      </c>
      <c r="AH2589">
        <v>0</v>
      </c>
      <c r="AI2589" s="4">
        <v>40858</v>
      </c>
    </row>
    <row r="2590" spans="1:35">
      <c r="A2590">
        <v>2589</v>
      </c>
      <c r="B2590" t="str">
        <f>"002490"</f>
        <v>002490</v>
      </c>
      <c r="C2590" t="s">
        <v>11958</v>
      </c>
      <c r="D2590" s="4">
        <v>43190</v>
      </c>
      <c r="E2590" t="s">
        <v>2908</v>
      </c>
      <c r="F2590" t="s">
        <v>1152</v>
      </c>
      <c r="G2590">
        <v>0</v>
      </c>
      <c r="H2590">
        <v>0.01</v>
      </c>
      <c r="I2590">
        <v>2.36</v>
      </c>
      <c r="J2590">
        <v>0.56999999999999995</v>
      </c>
      <c r="K2590" t="s">
        <v>3757</v>
      </c>
      <c r="L2590">
        <v>78.599999999999994</v>
      </c>
      <c r="M2590" t="s">
        <v>11928</v>
      </c>
      <c r="N2590">
        <v>0</v>
      </c>
      <c r="O2590" t="s">
        <v>5288</v>
      </c>
      <c r="P2590" t="s">
        <v>4490</v>
      </c>
      <c r="Q2590">
        <v>119.47</v>
      </c>
      <c r="R2590" t="s">
        <v>4801</v>
      </c>
      <c r="S2590">
        <v>0.06</v>
      </c>
      <c r="T2590">
        <v>10.97</v>
      </c>
      <c r="U2590" t="s">
        <v>1103</v>
      </c>
      <c r="V2590" t="s">
        <v>352</v>
      </c>
      <c r="W2590" t="s">
        <v>864</v>
      </c>
      <c r="X2590">
        <v>0.56999999999999995</v>
      </c>
      <c r="Y2590" t="s">
        <v>369</v>
      </c>
      <c r="Z2590" t="s">
        <v>1219</v>
      </c>
      <c r="AA2590" t="s">
        <v>5195</v>
      </c>
      <c r="AB2590">
        <v>1.71</v>
      </c>
      <c r="AC2590" t="s">
        <v>187</v>
      </c>
      <c r="AD2590">
        <v>31.29</v>
      </c>
      <c r="AE2590" t="s">
        <v>2781</v>
      </c>
      <c r="AF2590">
        <v>1.08</v>
      </c>
      <c r="AG2590">
        <v>0</v>
      </c>
      <c r="AH2590" t="s">
        <v>134</v>
      </c>
      <c r="AI2590" s="4">
        <v>40472</v>
      </c>
    </row>
    <row r="2591" spans="1:35">
      <c r="A2591">
        <v>2590</v>
      </c>
      <c r="B2591" t="str">
        <f>"000532"</f>
        <v>000532</v>
      </c>
      <c r="C2591" t="s">
        <v>11959</v>
      </c>
      <c r="D2591" s="4">
        <v>43190</v>
      </c>
      <c r="E2591" t="s">
        <v>1594</v>
      </c>
      <c r="F2591" t="s">
        <v>3482</v>
      </c>
      <c r="G2591">
        <v>7016</v>
      </c>
      <c r="H2591">
        <v>0.01</v>
      </c>
      <c r="I2591">
        <v>2.16</v>
      </c>
      <c r="J2591">
        <v>0.56999999999999995</v>
      </c>
      <c r="K2591" t="s">
        <v>7351</v>
      </c>
      <c r="L2591">
        <v>-6.94</v>
      </c>
      <c r="M2591" t="s">
        <v>9018</v>
      </c>
      <c r="N2591" t="s">
        <v>4507</v>
      </c>
      <c r="O2591" t="s">
        <v>1740</v>
      </c>
      <c r="P2591" t="s">
        <v>3421</v>
      </c>
      <c r="Q2591">
        <v>17.8</v>
      </c>
      <c r="R2591" t="s">
        <v>1530</v>
      </c>
      <c r="S2591">
        <v>0.92</v>
      </c>
      <c r="T2591">
        <v>43.55</v>
      </c>
      <c r="U2591" t="s">
        <v>1294</v>
      </c>
      <c r="V2591" t="s">
        <v>1941</v>
      </c>
      <c r="W2591" t="s">
        <v>11960</v>
      </c>
      <c r="X2591">
        <v>0.56999999999999995</v>
      </c>
      <c r="Y2591" t="s">
        <v>1062</v>
      </c>
      <c r="Z2591" t="s">
        <v>1082</v>
      </c>
      <c r="AA2591" t="s">
        <v>1712</v>
      </c>
      <c r="AB2591">
        <v>4.5599999999999996</v>
      </c>
      <c r="AC2591" t="s">
        <v>627</v>
      </c>
      <c r="AD2591">
        <v>29.98</v>
      </c>
      <c r="AE2591" t="s">
        <v>227</v>
      </c>
      <c r="AF2591">
        <v>7.0000000000000007E-2</v>
      </c>
      <c r="AG2591">
        <v>0</v>
      </c>
      <c r="AH2591">
        <v>0</v>
      </c>
      <c r="AI2591" s="4">
        <v>34337</v>
      </c>
    </row>
    <row r="2592" spans="1:35">
      <c r="A2592">
        <v>2591</v>
      </c>
      <c r="B2592" t="str">
        <f>"000518"</f>
        <v>000518</v>
      </c>
      <c r="C2592" t="s">
        <v>11961</v>
      </c>
      <c r="D2592" s="4">
        <v>43190</v>
      </c>
      <c r="E2592" t="s">
        <v>978</v>
      </c>
      <c r="F2592" t="s">
        <v>978</v>
      </c>
      <c r="G2592" t="s">
        <v>861</v>
      </c>
      <c r="H2592">
        <v>0</v>
      </c>
      <c r="I2592">
        <v>0.61</v>
      </c>
      <c r="J2592">
        <v>0.56999999999999995</v>
      </c>
      <c r="K2592" t="s">
        <v>11962</v>
      </c>
      <c r="L2592">
        <v>-19.64</v>
      </c>
      <c r="M2592" t="s">
        <v>11963</v>
      </c>
      <c r="N2592">
        <v>9478</v>
      </c>
      <c r="O2592" t="s">
        <v>11964</v>
      </c>
      <c r="P2592" t="s">
        <v>11346</v>
      </c>
      <c r="Q2592">
        <v>-66.7</v>
      </c>
      <c r="R2592" t="s">
        <v>8042</v>
      </c>
      <c r="S2592">
        <v>-0.46</v>
      </c>
      <c r="T2592">
        <v>81.69</v>
      </c>
      <c r="U2592" t="s">
        <v>3986</v>
      </c>
      <c r="V2592" t="s">
        <v>1903</v>
      </c>
      <c r="W2592" t="s">
        <v>6160</v>
      </c>
      <c r="X2592">
        <v>0.56999999999999995</v>
      </c>
      <c r="Y2592" t="s">
        <v>1489</v>
      </c>
      <c r="Z2592" t="s">
        <v>668</v>
      </c>
      <c r="AA2592" t="s">
        <v>1937</v>
      </c>
      <c r="AB2592">
        <v>7</v>
      </c>
      <c r="AC2592" t="s">
        <v>1491</v>
      </c>
      <c r="AD2592">
        <v>68.59</v>
      </c>
      <c r="AE2592" t="s">
        <v>11588</v>
      </c>
      <c r="AF2592">
        <v>0.03</v>
      </c>
      <c r="AG2592">
        <v>0</v>
      </c>
      <c r="AH2592">
        <v>0</v>
      </c>
      <c r="AI2592" s="4">
        <v>34220</v>
      </c>
    </row>
    <row r="2593" spans="1:35">
      <c r="A2593">
        <v>2592</v>
      </c>
      <c r="B2593" t="str">
        <f>"600320"</f>
        <v>600320</v>
      </c>
      <c r="C2593" t="s">
        <v>11965</v>
      </c>
      <c r="D2593" s="4">
        <v>43190</v>
      </c>
      <c r="E2593" t="s">
        <v>245</v>
      </c>
      <c r="F2593" t="s">
        <v>450</v>
      </c>
      <c r="G2593">
        <v>0</v>
      </c>
      <c r="H2593">
        <v>0.02</v>
      </c>
      <c r="I2593">
        <v>3.43</v>
      </c>
      <c r="J2593">
        <v>0.56000000000000005</v>
      </c>
      <c r="K2593" t="s">
        <v>811</v>
      </c>
      <c r="L2593">
        <v>11.04</v>
      </c>
      <c r="M2593" t="s">
        <v>11966</v>
      </c>
      <c r="N2593" t="s">
        <v>9744</v>
      </c>
      <c r="O2593" t="s">
        <v>7854</v>
      </c>
      <c r="P2593" t="s">
        <v>4506</v>
      </c>
      <c r="Q2593">
        <v>25.95</v>
      </c>
      <c r="R2593" t="s">
        <v>818</v>
      </c>
      <c r="S2593">
        <v>0.75</v>
      </c>
      <c r="T2593">
        <v>18.13</v>
      </c>
      <c r="U2593" t="s">
        <v>2218</v>
      </c>
      <c r="V2593" t="s">
        <v>4082</v>
      </c>
      <c r="W2593" t="s">
        <v>1097</v>
      </c>
      <c r="X2593">
        <v>0.56000000000000005</v>
      </c>
      <c r="Y2593" t="s">
        <v>11967</v>
      </c>
      <c r="Z2593" t="s">
        <v>2865</v>
      </c>
      <c r="AA2593" t="s">
        <v>689</v>
      </c>
      <c r="AB2593">
        <v>1.18</v>
      </c>
      <c r="AC2593" t="s">
        <v>571</v>
      </c>
      <c r="AD2593">
        <v>22.79</v>
      </c>
      <c r="AE2593" t="s">
        <v>1064</v>
      </c>
      <c r="AF2593">
        <v>1.26</v>
      </c>
      <c r="AG2593" t="s">
        <v>1062</v>
      </c>
      <c r="AH2593">
        <v>0</v>
      </c>
      <c r="AI2593" s="4">
        <v>36881</v>
      </c>
    </row>
    <row r="2594" spans="1:35">
      <c r="A2594">
        <v>2593</v>
      </c>
      <c r="B2594" t="str">
        <f>"600257"</f>
        <v>600257</v>
      </c>
      <c r="C2594" t="s">
        <v>11968</v>
      </c>
      <c r="D2594" s="4">
        <v>43190</v>
      </c>
      <c r="E2594" t="s">
        <v>2792</v>
      </c>
      <c r="F2594" t="s">
        <v>1317</v>
      </c>
      <c r="G2594" t="s">
        <v>2478</v>
      </c>
      <c r="H2594">
        <v>0.02</v>
      </c>
      <c r="I2594">
        <v>2.68</v>
      </c>
      <c r="J2594">
        <v>0.56000000000000005</v>
      </c>
      <c r="K2594" t="s">
        <v>293</v>
      </c>
      <c r="L2594">
        <v>2.39</v>
      </c>
      <c r="M2594" t="s">
        <v>9642</v>
      </c>
      <c r="N2594" t="s">
        <v>11969</v>
      </c>
      <c r="O2594" t="s">
        <v>9642</v>
      </c>
      <c r="P2594" t="s">
        <v>8582</v>
      </c>
      <c r="Q2594">
        <v>14.66</v>
      </c>
      <c r="R2594" t="s">
        <v>1360</v>
      </c>
      <c r="S2594">
        <v>0.34</v>
      </c>
      <c r="T2594">
        <v>26.6</v>
      </c>
      <c r="U2594" t="s">
        <v>847</v>
      </c>
      <c r="V2594" t="s">
        <v>2683</v>
      </c>
      <c r="W2594" t="s">
        <v>66</v>
      </c>
      <c r="X2594">
        <v>0.56000000000000005</v>
      </c>
      <c r="Y2594" t="s">
        <v>1180</v>
      </c>
      <c r="Z2594" t="s">
        <v>912</v>
      </c>
      <c r="AA2594" t="s">
        <v>5324</v>
      </c>
      <c r="AB2594">
        <v>1.8</v>
      </c>
      <c r="AC2594" t="s">
        <v>101</v>
      </c>
      <c r="AD2594">
        <v>80.84</v>
      </c>
      <c r="AE2594" t="s">
        <v>494</v>
      </c>
      <c r="AF2594">
        <v>1.25</v>
      </c>
      <c r="AG2594">
        <v>0</v>
      </c>
      <c r="AH2594">
        <v>0</v>
      </c>
      <c r="AI2594" s="4">
        <v>36689</v>
      </c>
    </row>
    <row r="2595" spans="1:35">
      <c r="A2595">
        <v>2594</v>
      </c>
      <c r="B2595" t="str">
        <f>"300448"</f>
        <v>300448</v>
      </c>
      <c r="C2595" t="s">
        <v>11970</v>
      </c>
      <c r="D2595" s="4">
        <v>43190</v>
      </c>
      <c r="E2595" t="s">
        <v>1235</v>
      </c>
      <c r="F2595" t="s">
        <v>1417</v>
      </c>
      <c r="G2595">
        <v>7903</v>
      </c>
      <c r="H2595">
        <v>0.02</v>
      </c>
      <c r="I2595">
        <v>2.95</v>
      </c>
      <c r="J2595">
        <v>0.56000000000000005</v>
      </c>
      <c r="K2595" t="s">
        <v>86</v>
      </c>
      <c r="L2595">
        <v>81.599999999999994</v>
      </c>
      <c r="M2595" t="s">
        <v>10261</v>
      </c>
      <c r="N2595" t="s">
        <v>9796</v>
      </c>
      <c r="O2595" t="s">
        <v>10963</v>
      </c>
      <c r="P2595" t="s">
        <v>4257</v>
      </c>
      <c r="Q2595">
        <v>139.38999999999999</v>
      </c>
      <c r="R2595" t="s">
        <v>3441</v>
      </c>
      <c r="S2595">
        <v>0.7</v>
      </c>
      <c r="T2595">
        <v>38.950000000000003</v>
      </c>
      <c r="U2595" t="s">
        <v>1214</v>
      </c>
      <c r="V2595" t="s">
        <v>1946</v>
      </c>
      <c r="W2595" t="s">
        <v>3011</v>
      </c>
      <c r="X2595">
        <v>0.56000000000000005</v>
      </c>
      <c r="Y2595" t="s">
        <v>2031</v>
      </c>
      <c r="Z2595" t="s">
        <v>610</v>
      </c>
      <c r="AA2595" t="s">
        <v>9968</v>
      </c>
      <c r="AB2595">
        <v>3.55</v>
      </c>
      <c r="AC2595" t="s">
        <v>354</v>
      </c>
      <c r="AD2595">
        <v>84.61</v>
      </c>
      <c r="AE2595" t="s">
        <v>2851</v>
      </c>
      <c r="AF2595">
        <v>1.2</v>
      </c>
      <c r="AG2595">
        <v>0</v>
      </c>
      <c r="AH2595">
        <v>0</v>
      </c>
      <c r="AI2595" s="4">
        <v>42118</v>
      </c>
    </row>
    <row r="2596" spans="1:35">
      <c r="A2596">
        <v>2595</v>
      </c>
      <c r="B2596" t="str">
        <f>"300353"</f>
        <v>300353</v>
      </c>
      <c r="C2596" t="s">
        <v>11971</v>
      </c>
      <c r="D2596" s="4">
        <v>43190</v>
      </c>
      <c r="E2596" t="s">
        <v>1243</v>
      </c>
      <c r="F2596" t="s">
        <v>2807</v>
      </c>
      <c r="G2596">
        <v>5814</v>
      </c>
      <c r="H2596">
        <v>0.02</v>
      </c>
      <c r="I2596">
        <v>4.26</v>
      </c>
      <c r="J2596">
        <v>0.56000000000000005</v>
      </c>
      <c r="K2596" t="s">
        <v>1457</v>
      </c>
      <c r="L2596">
        <v>34.299999999999997</v>
      </c>
      <c r="M2596" t="s">
        <v>4643</v>
      </c>
      <c r="N2596" t="s">
        <v>11790</v>
      </c>
      <c r="O2596" t="s">
        <v>4588</v>
      </c>
      <c r="P2596" t="s">
        <v>11132</v>
      </c>
      <c r="Q2596">
        <v>29.18</v>
      </c>
      <c r="R2596" t="s">
        <v>593</v>
      </c>
      <c r="S2596">
        <v>0.57999999999999996</v>
      </c>
      <c r="T2596">
        <v>48.03</v>
      </c>
      <c r="U2596" t="s">
        <v>570</v>
      </c>
      <c r="V2596" t="s">
        <v>548</v>
      </c>
      <c r="W2596" t="s">
        <v>802</v>
      </c>
      <c r="X2596">
        <v>0.56000000000000005</v>
      </c>
      <c r="Y2596" t="s">
        <v>1204</v>
      </c>
      <c r="Z2596" t="s">
        <v>2304</v>
      </c>
      <c r="AA2596" t="s">
        <v>3768</v>
      </c>
      <c r="AB2596">
        <v>2.56</v>
      </c>
      <c r="AC2596" t="s">
        <v>261</v>
      </c>
      <c r="AD2596">
        <v>73.56</v>
      </c>
      <c r="AE2596" t="s">
        <v>350</v>
      </c>
      <c r="AF2596">
        <v>2.62</v>
      </c>
      <c r="AG2596">
        <v>0</v>
      </c>
      <c r="AH2596">
        <v>0</v>
      </c>
      <c r="AI2596" s="4">
        <v>41179</v>
      </c>
    </row>
    <row r="2597" spans="1:35">
      <c r="A2597">
        <v>2596</v>
      </c>
      <c r="B2597" t="str">
        <f>"300268"</f>
        <v>300268</v>
      </c>
      <c r="C2597" t="s">
        <v>11972</v>
      </c>
      <c r="D2597" s="4">
        <v>43190</v>
      </c>
      <c r="E2597" t="s">
        <v>595</v>
      </c>
      <c r="F2597" t="s">
        <v>11973</v>
      </c>
      <c r="G2597">
        <v>7641</v>
      </c>
      <c r="H2597">
        <v>0.01</v>
      </c>
      <c r="I2597">
        <v>1.6</v>
      </c>
      <c r="J2597">
        <v>0.56000000000000005</v>
      </c>
      <c r="K2597" t="s">
        <v>142</v>
      </c>
      <c r="L2597">
        <v>244278.25</v>
      </c>
      <c r="M2597" t="s">
        <v>11974</v>
      </c>
      <c r="N2597">
        <v>0</v>
      </c>
      <c r="O2597" t="s">
        <v>11975</v>
      </c>
      <c r="P2597" t="s">
        <v>6306</v>
      </c>
      <c r="Q2597">
        <v>265.08999999999997</v>
      </c>
      <c r="R2597" t="s">
        <v>11976</v>
      </c>
      <c r="S2597">
        <v>-2.2200000000000002</v>
      </c>
      <c r="T2597">
        <v>7.63</v>
      </c>
      <c r="U2597" t="s">
        <v>835</v>
      </c>
      <c r="V2597" t="s">
        <v>1477</v>
      </c>
      <c r="W2597" t="s">
        <v>280</v>
      </c>
      <c r="X2597">
        <v>0.56000000000000005</v>
      </c>
      <c r="Y2597" t="s">
        <v>3769</v>
      </c>
      <c r="Z2597" t="s">
        <v>1849</v>
      </c>
      <c r="AA2597" t="s">
        <v>45</v>
      </c>
      <c r="AB2597">
        <v>8.39</v>
      </c>
      <c r="AC2597" t="s">
        <v>1364</v>
      </c>
      <c r="AD2597">
        <v>19.010000000000002</v>
      </c>
      <c r="AE2597" t="s">
        <v>137</v>
      </c>
      <c r="AF2597">
        <v>2.81</v>
      </c>
      <c r="AG2597">
        <v>0</v>
      </c>
      <c r="AH2597">
        <v>0</v>
      </c>
      <c r="AI2597" s="4">
        <v>40813</v>
      </c>
    </row>
    <row r="2598" spans="1:35">
      <c r="A2598">
        <v>2597</v>
      </c>
      <c r="B2598" t="str">
        <f>"002591"</f>
        <v>002591</v>
      </c>
      <c r="C2598" t="s">
        <v>11977</v>
      </c>
      <c r="D2598" s="4">
        <v>43190</v>
      </c>
      <c r="E2598" t="s">
        <v>3297</v>
      </c>
      <c r="F2598" t="s">
        <v>1366</v>
      </c>
      <c r="G2598" t="s">
        <v>4360</v>
      </c>
      <c r="H2598">
        <v>0.02</v>
      </c>
      <c r="I2598">
        <v>4.05</v>
      </c>
      <c r="J2598">
        <v>0.56000000000000005</v>
      </c>
      <c r="K2598" t="s">
        <v>11978</v>
      </c>
      <c r="L2598">
        <v>180.71</v>
      </c>
      <c r="M2598" t="s">
        <v>5630</v>
      </c>
      <c r="N2598" t="s">
        <v>10965</v>
      </c>
      <c r="O2598" t="s">
        <v>8742</v>
      </c>
      <c r="P2598" t="s">
        <v>2687</v>
      </c>
      <c r="Q2598">
        <v>155.43</v>
      </c>
      <c r="R2598" t="s">
        <v>1349</v>
      </c>
      <c r="S2598">
        <v>0.37</v>
      </c>
      <c r="T2598">
        <v>57.86</v>
      </c>
      <c r="U2598" t="s">
        <v>80</v>
      </c>
      <c r="V2598" t="s">
        <v>3324</v>
      </c>
      <c r="W2598" t="s">
        <v>2069</v>
      </c>
      <c r="X2598">
        <v>0.56000000000000005</v>
      </c>
      <c r="Y2598" t="s">
        <v>1839</v>
      </c>
      <c r="Z2598" t="s">
        <v>284</v>
      </c>
      <c r="AA2598" t="s">
        <v>11979</v>
      </c>
      <c r="AB2598">
        <v>1.8</v>
      </c>
      <c r="AC2598" t="s">
        <v>548</v>
      </c>
      <c r="AD2598">
        <v>84.34</v>
      </c>
      <c r="AE2598" t="s">
        <v>1722</v>
      </c>
      <c r="AF2598">
        <v>2.78</v>
      </c>
      <c r="AG2598">
        <v>0</v>
      </c>
      <c r="AH2598">
        <v>0</v>
      </c>
      <c r="AI2598" s="4">
        <v>40715</v>
      </c>
    </row>
    <row r="2599" spans="1:35">
      <c r="A2599">
        <v>2598</v>
      </c>
      <c r="B2599" t="str">
        <f>"002584"</f>
        <v>002584</v>
      </c>
      <c r="C2599" t="s">
        <v>11980</v>
      </c>
      <c r="D2599" s="4">
        <v>43190</v>
      </c>
      <c r="E2599" t="s">
        <v>6809</v>
      </c>
      <c r="F2599" t="s">
        <v>1124</v>
      </c>
      <c r="G2599" t="s">
        <v>360</v>
      </c>
      <c r="H2599">
        <v>0.02</v>
      </c>
      <c r="I2599">
        <v>2.9</v>
      </c>
      <c r="J2599">
        <v>0.56000000000000005</v>
      </c>
      <c r="K2599" t="s">
        <v>1204</v>
      </c>
      <c r="L2599">
        <v>6.3</v>
      </c>
      <c r="M2599" t="s">
        <v>10883</v>
      </c>
      <c r="N2599" t="s">
        <v>3284</v>
      </c>
      <c r="O2599" t="s">
        <v>11827</v>
      </c>
      <c r="P2599" t="s">
        <v>7383</v>
      </c>
      <c r="Q2599">
        <v>40.74</v>
      </c>
      <c r="R2599" t="s">
        <v>476</v>
      </c>
      <c r="S2599">
        <v>0.81</v>
      </c>
      <c r="T2599">
        <v>15.55</v>
      </c>
      <c r="U2599" t="s">
        <v>451</v>
      </c>
      <c r="V2599" t="s">
        <v>76</v>
      </c>
      <c r="W2599" t="s">
        <v>3420</v>
      </c>
      <c r="X2599">
        <v>0.56000000000000005</v>
      </c>
      <c r="Y2599" t="s">
        <v>5880</v>
      </c>
      <c r="Z2599" t="s">
        <v>7297</v>
      </c>
      <c r="AA2599" t="s">
        <v>11117</v>
      </c>
      <c r="AB2599">
        <v>3.87</v>
      </c>
      <c r="AC2599" t="s">
        <v>820</v>
      </c>
      <c r="AD2599">
        <v>64.78</v>
      </c>
      <c r="AE2599" t="s">
        <v>1671</v>
      </c>
      <c r="AF2599">
        <v>1.1599999999999999</v>
      </c>
      <c r="AG2599">
        <v>0</v>
      </c>
      <c r="AH2599">
        <v>0</v>
      </c>
      <c r="AI2599" s="4">
        <v>40696</v>
      </c>
    </row>
    <row r="2600" spans="1:35">
      <c r="A2600">
        <v>2599</v>
      </c>
      <c r="B2600" t="str">
        <f>"002399"</f>
        <v>002399</v>
      </c>
      <c r="C2600" t="s">
        <v>11981</v>
      </c>
      <c r="D2600" s="4">
        <v>43190</v>
      </c>
      <c r="E2600" t="s">
        <v>300</v>
      </c>
      <c r="F2600" t="s">
        <v>300</v>
      </c>
      <c r="G2600" t="s">
        <v>11982</v>
      </c>
      <c r="H2600">
        <v>0.03</v>
      </c>
      <c r="I2600">
        <v>6.01</v>
      </c>
      <c r="J2600">
        <v>0.56000000000000005</v>
      </c>
      <c r="K2600" t="s">
        <v>2908</v>
      </c>
      <c r="L2600">
        <v>75.150000000000006</v>
      </c>
      <c r="M2600" t="s">
        <v>6633</v>
      </c>
      <c r="N2600" t="s">
        <v>11983</v>
      </c>
      <c r="O2600" t="s">
        <v>7779</v>
      </c>
      <c r="P2600" t="s">
        <v>11984</v>
      </c>
      <c r="Q2600">
        <v>447.55</v>
      </c>
      <c r="R2600" t="s">
        <v>161</v>
      </c>
      <c r="S2600">
        <v>1.1499999999999999</v>
      </c>
      <c r="T2600">
        <v>31.55</v>
      </c>
      <c r="U2600" t="s">
        <v>719</v>
      </c>
      <c r="V2600" t="s">
        <v>2918</v>
      </c>
      <c r="W2600" t="s">
        <v>358</v>
      </c>
      <c r="X2600">
        <v>0.56000000000000005</v>
      </c>
      <c r="Y2600" t="s">
        <v>3377</v>
      </c>
      <c r="Z2600" t="s">
        <v>1242</v>
      </c>
      <c r="AA2600" t="s">
        <v>253</v>
      </c>
      <c r="AB2600">
        <v>3.77</v>
      </c>
      <c r="AC2600" t="s">
        <v>931</v>
      </c>
      <c r="AD2600">
        <v>57.54</v>
      </c>
      <c r="AE2600" t="s">
        <v>2694</v>
      </c>
      <c r="AF2600">
        <v>3.38</v>
      </c>
      <c r="AG2600">
        <v>0</v>
      </c>
      <c r="AH2600">
        <v>0</v>
      </c>
      <c r="AI2600" s="4">
        <v>40304</v>
      </c>
    </row>
    <row r="2601" spans="1:35">
      <c r="A2601">
        <v>2600</v>
      </c>
      <c r="B2601" t="str">
        <f>"603882"</f>
        <v>603882</v>
      </c>
      <c r="C2601" t="s">
        <v>11985</v>
      </c>
      <c r="D2601" s="4">
        <v>43190</v>
      </c>
      <c r="E2601" t="s">
        <v>2625</v>
      </c>
      <c r="F2601" t="s">
        <v>7974</v>
      </c>
      <c r="G2601">
        <v>2462</v>
      </c>
      <c r="H2601">
        <v>0.02</v>
      </c>
      <c r="I2601">
        <v>3.74</v>
      </c>
      <c r="J2601">
        <v>0.55000000000000004</v>
      </c>
      <c r="K2601" t="s">
        <v>5537</v>
      </c>
      <c r="L2601">
        <v>14.62</v>
      </c>
      <c r="M2601" t="s">
        <v>4242</v>
      </c>
      <c r="N2601" t="s">
        <v>9250</v>
      </c>
      <c r="O2601" t="s">
        <v>4323</v>
      </c>
      <c r="P2601" t="s">
        <v>9468</v>
      </c>
      <c r="Q2601">
        <v>33.299999999999997</v>
      </c>
      <c r="R2601" t="s">
        <v>2590</v>
      </c>
      <c r="S2601">
        <v>0.86</v>
      </c>
      <c r="T2601">
        <v>37.57</v>
      </c>
      <c r="U2601" t="s">
        <v>1488</v>
      </c>
      <c r="V2601" t="s">
        <v>516</v>
      </c>
      <c r="W2601" t="s">
        <v>147</v>
      </c>
      <c r="X2601">
        <v>0.55000000000000004</v>
      </c>
      <c r="Y2601" t="s">
        <v>983</v>
      </c>
      <c r="Z2601" t="s">
        <v>978</v>
      </c>
      <c r="AA2601" t="s">
        <v>1935</v>
      </c>
      <c r="AB2601">
        <v>6.84</v>
      </c>
      <c r="AC2601" t="s">
        <v>646</v>
      </c>
      <c r="AD2601">
        <v>51.44</v>
      </c>
      <c r="AE2601" t="s">
        <v>1575</v>
      </c>
      <c r="AF2601">
        <v>1.82</v>
      </c>
      <c r="AG2601">
        <v>0</v>
      </c>
      <c r="AH2601">
        <v>0</v>
      </c>
      <c r="AI2601" s="4">
        <v>42986</v>
      </c>
    </row>
    <row r="2602" spans="1:35">
      <c r="A2602">
        <v>2601</v>
      </c>
      <c r="B2602" t="str">
        <f>"603160"</f>
        <v>603160</v>
      </c>
      <c r="C2602" t="s">
        <v>11986</v>
      </c>
      <c r="D2602" s="4">
        <v>43190</v>
      </c>
      <c r="E2602" t="s">
        <v>3067</v>
      </c>
      <c r="F2602" t="s">
        <v>985</v>
      </c>
      <c r="G2602">
        <v>8284</v>
      </c>
      <c r="H2602">
        <v>0.04</v>
      </c>
      <c r="I2602">
        <v>7.75</v>
      </c>
      <c r="J2602">
        <v>0.55000000000000004</v>
      </c>
      <c r="K2602" t="s">
        <v>2490</v>
      </c>
      <c r="L2602">
        <v>-21.9</v>
      </c>
      <c r="M2602" t="s">
        <v>11552</v>
      </c>
      <c r="N2602" t="s">
        <v>11987</v>
      </c>
      <c r="O2602" t="s">
        <v>4636</v>
      </c>
      <c r="P2602" t="s">
        <v>9245</v>
      </c>
      <c r="Q2602">
        <v>-88.96</v>
      </c>
      <c r="R2602" t="s">
        <v>1000</v>
      </c>
      <c r="S2602">
        <v>4.3899999999999997</v>
      </c>
      <c r="T2602">
        <v>41.6</v>
      </c>
      <c r="U2602" t="s">
        <v>2197</v>
      </c>
      <c r="V2602" t="s">
        <v>113</v>
      </c>
      <c r="W2602" t="s">
        <v>552</v>
      </c>
      <c r="X2602">
        <v>0.55000000000000004</v>
      </c>
      <c r="Y2602" t="s">
        <v>2908</v>
      </c>
      <c r="Z2602" t="s">
        <v>515</v>
      </c>
      <c r="AA2602" t="s">
        <v>5834</v>
      </c>
      <c r="AB2602">
        <v>8.3800000000000008</v>
      </c>
      <c r="AC2602" t="s">
        <v>305</v>
      </c>
      <c r="AD2602">
        <v>81.510000000000005</v>
      </c>
      <c r="AE2602" t="s">
        <v>926</v>
      </c>
      <c r="AF2602">
        <v>2.83</v>
      </c>
      <c r="AG2602">
        <v>0</v>
      </c>
      <c r="AH2602">
        <v>0</v>
      </c>
      <c r="AI2602" s="4">
        <v>42660</v>
      </c>
    </row>
    <row r="2603" spans="1:35">
      <c r="A2603">
        <v>2602</v>
      </c>
      <c r="B2603" t="str">
        <f>"600279"</f>
        <v>600279</v>
      </c>
      <c r="C2603" t="s">
        <v>11988</v>
      </c>
      <c r="D2603" s="4">
        <v>43190</v>
      </c>
      <c r="E2603" t="s">
        <v>3894</v>
      </c>
      <c r="F2603" t="s">
        <v>3894</v>
      </c>
      <c r="G2603" t="s">
        <v>2229</v>
      </c>
      <c r="H2603">
        <v>0.03</v>
      </c>
      <c r="I2603">
        <v>5.0999999999999996</v>
      </c>
      <c r="J2603">
        <v>0.55000000000000004</v>
      </c>
      <c r="K2603" t="s">
        <v>759</v>
      </c>
      <c r="L2603">
        <v>16.489999999999998</v>
      </c>
      <c r="M2603" t="s">
        <v>3455</v>
      </c>
      <c r="N2603" t="s">
        <v>10484</v>
      </c>
      <c r="O2603" t="s">
        <v>8828</v>
      </c>
      <c r="P2603" t="s">
        <v>10490</v>
      </c>
      <c r="Q2603">
        <v>-18.84</v>
      </c>
      <c r="R2603" t="s">
        <v>1756</v>
      </c>
      <c r="S2603">
        <v>0.96</v>
      </c>
      <c r="T2603">
        <v>6.71</v>
      </c>
      <c r="U2603" t="s">
        <v>2137</v>
      </c>
      <c r="V2603" t="s">
        <v>1252</v>
      </c>
      <c r="W2603" t="s">
        <v>2093</v>
      </c>
      <c r="X2603">
        <v>0.55000000000000004</v>
      </c>
      <c r="Y2603" t="s">
        <v>2833</v>
      </c>
      <c r="Z2603" t="s">
        <v>1843</v>
      </c>
      <c r="AA2603" t="s">
        <v>983</v>
      </c>
      <c r="AB2603">
        <v>0.89</v>
      </c>
      <c r="AC2603" t="s">
        <v>1890</v>
      </c>
      <c r="AD2603">
        <v>43.69</v>
      </c>
      <c r="AE2603" t="s">
        <v>877</v>
      </c>
      <c r="AF2603">
        <v>3.01</v>
      </c>
      <c r="AG2603">
        <v>0</v>
      </c>
      <c r="AH2603">
        <v>0</v>
      </c>
      <c r="AI2603" s="4">
        <v>36738</v>
      </c>
    </row>
    <row r="2604" spans="1:35">
      <c r="A2604">
        <v>2603</v>
      </c>
      <c r="B2604" t="str">
        <f>"300686"</f>
        <v>300686</v>
      </c>
      <c r="C2604" t="s">
        <v>11989</v>
      </c>
      <c r="D2604" s="4">
        <v>43190</v>
      </c>
      <c r="E2604" t="s">
        <v>1038</v>
      </c>
      <c r="F2604" t="s">
        <v>10751</v>
      </c>
      <c r="G2604">
        <v>1734</v>
      </c>
      <c r="H2604">
        <v>0.03</v>
      </c>
      <c r="I2604">
        <v>5.17</v>
      </c>
      <c r="J2604">
        <v>0.55000000000000004</v>
      </c>
      <c r="K2604" t="s">
        <v>1370</v>
      </c>
      <c r="L2604">
        <v>-11.7</v>
      </c>
      <c r="M2604" t="s">
        <v>11990</v>
      </c>
      <c r="N2604">
        <v>0</v>
      </c>
      <c r="O2604" t="s">
        <v>10628</v>
      </c>
      <c r="P2604" t="s">
        <v>11991</v>
      </c>
      <c r="Q2604">
        <v>-68.83</v>
      </c>
      <c r="R2604" t="s">
        <v>3674</v>
      </c>
      <c r="S2604">
        <v>1.87</v>
      </c>
      <c r="T2604">
        <v>18.37</v>
      </c>
      <c r="U2604" t="s">
        <v>960</v>
      </c>
      <c r="V2604" t="s">
        <v>1685</v>
      </c>
      <c r="W2604" t="s">
        <v>603</v>
      </c>
      <c r="X2604">
        <v>0.55000000000000004</v>
      </c>
      <c r="Y2604" t="s">
        <v>2102</v>
      </c>
      <c r="Z2604" t="s">
        <v>2102</v>
      </c>
      <c r="AA2604">
        <v>0</v>
      </c>
      <c r="AB2604">
        <v>4.9400000000000004</v>
      </c>
      <c r="AC2604" t="s">
        <v>1521</v>
      </c>
      <c r="AD2604">
        <v>70.23</v>
      </c>
      <c r="AE2604" t="s">
        <v>4871</v>
      </c>
      <c r="AF2604">
        <v>2.13</v>
      </c>
      <c r="AG2604">
        <v>0</v>
      </c>
      <c r="AH2604">
        <v>0</v>
      </c>
      <c r="AI2604" s="4">
        <v>42951</v>
      </c>
    </row>
    <row r="2605" spans="1:35">
      <c r="A2605">
        <v>2604</v>
      </c>
      <c r="B2605" t="str">
        <f>"002266"</f>
        <v>002266</v>
      </c>
      <c r="C2605" t="s">
        <v>11992</v>
      </c>
      <c r="D2605" s="4">
        <v>43190</v>
      </c>
      <c r="E2605" t="s">
        <v>691</v>
      </c>
      <c r="F2605" t="s">
        <v>1244</v>
      </c>
      <c r="G2605" t="s">
        <v>70</v>
      </c>
      <c r="H2605">
        <v>0.01</v>
      </c>
      <c r="I2605">
        <v>1.57</v>
      </c>
      <c r="J2605">
        <v>0.55000000000000004</v>
      </c>
      <c r="K2605" t="s">
        <v>2733</v>
      </c>
      <c r="L2605">
        <v>-12.82</v>
      </c>
      <c r="M2605" t="s">
        <v>11031</v>
      </c>
      <c r="N2605" t="s">
        <v>11993</v>
      </c>
      <c r="O2605" t="s">
        <v>9897</v>
      </c>
      <c r="P2605" t="s">
        <v>11994</v>
      </c>
      <c r="Q2605">
        <v>-13.27</v>
      </c>
      <c r="R2605" t="s">
        <v>4397</v>
      </c>
      <c r="S2605">
        <v>0.4</v>
      </c>
      <c r="T2605">
        <v>19.77</v>
      </c>
      <c r="U2605" t="s">
        <v>3313</v>
      </c>
      <c r="V2605" t="s">
        <v>1029</v>
      </c>
      <c r="W2605" t="s">
        <v>734</v>
      </c>
      <c r="X2605">
        <v>0.55000000000000004</v>
      </c>
      <c r="Y2605" t="s">
        <v>3562</v>
      </c>
      <c r="Z2605" t="s">
        <v>1700</v>
      </c>
      <c r="AA2605" t="s">
        <v>5930</v>
      </c>
      <c r="AB2605">
        <v>2.36</v>
      </c>
      <c r="AC2605" t="s">
        <v>2057</v>
      </c>
      <c r="AD2605">
        <v>40.659999999999997</v>
      </c>
      <c r="AE2605" t="s">
        <v>415</v>
      </c>
      <c r="AF2605">
        <v>0.1</v>
      </c>
      <c r="AG2605">
        <v>0</v>
      </c>
      <c r="AH2605">
        <v>0</v>
      </c>
      <c r="AI2605" s="4">
        <v>39666</v>
      </c>
    </row>
    <row r="2606" spans="1:35">
      <c r="A2606">
        <v>2605</v>
      </c>
      <c r="B2606" t="str">
        <f>"002253"</f>
        <v>002253</v>
      </c>
      <c r="C2606" t="s">
        <v>11995</v>
      </c>
      <c r="D2606" s="4">
        <v>43190</v>
      </c>
      <c r="E2606" t="s">
        <v>2733</v>
      </c>
      <c r="F2606" t="s">
        <v>193</v>
      </c>
      <c r="G2606">
        <v>4291</v>
      </c>
      <c r="H2606">
        <v>0.03</v>
      </c>
      <c r="I2606">
        <v>5.73</v>
      </c>
      <c r="J2606">
        <v>0.55000000000000004</v>
      </c>
      <c r="K2606" t="s">
        <v>11996</v>
      </c>
      <c r="L2606">
        <v>-10.66</v>
      </c>
      <c r="M2606" t="s">
        <v>3644</v>
      </c>
      <c r="N2606" t="s">
        <v>11997</v>
      </c>
      <c r="O2606" t="s">
        <v>3644</v>
      </c>
      <c r="P2606" t="s">
        <v>7877</v>
      </c>
      <c r="Q2606">
        <v>49</v>
      </c>
      <c r="R2606" t="s">
        <v>916</v>
      </c>
      <c r="S2606">
        <v>0.92</v>
      </c>
      <c r="T2606">
        <v>36.15</v>
      </c>
      <c r="U2606" t="s">
        <v>908</v>
      </c>
      <c r="V2606" t="s">
        <v>1241</v>
      </c>
      <c r="W2606" t="s">
        <v>1806</v>
      </c>
      <c r="X2606">
        <v>0.55000000000000004</v>
      </c>
      <c r="Y2606" t="s">
        <v>1936</v>
      </c>
      <c r="Z2606" t="s">
        <v>11998</v>
      </c>
      <c r="AA2606" t="s">
        <v>11999</v>
      </c>
      <c r="AB2606">
        <v>2.5099999999999998</v>
      </c>
      <c r="AC2606" t="s">
        <v>1307</v>
      </c>
      <c r="AD2606">
        <v>87.16</v>
      </c>
      <c r="AE2606" t="s">
        <v>4009</v>
      </c>
      <c r="AF2606">
        <v>3.55</v>
      </c>
      <c r="AG2606">
        <v>0</v>
      </c>
      <c r="AH2606">
        <v>0</v>
      </c>
      <c r="AI2606" s="4">
        <v>39622</v>
      </c>
    </row>
    <row r="2607" spans="1:35">
      <c r="A2607">
        <v>2606</v>
      </c>
      <c r="B2607" t="str">
        <f>"000909"</f>
        <v>000909</v>
      </c>
      <c r="C2607" t="s">
        <v>12000</v>
      </c>
      <c r="D2607" s="4">
        <v>43190</v>
      </c>
      <c r="E2607" t="s">
        <v>2551</v>
      </c>
      <c r="F2607" t="s">
        <v>679</v>
      </c>
      <c r="G2607">
        <v>9525</v>
      </c>
      <c r="H2607">
        <v>0.02</v>
      </c>
      <c r="I2607">
        <v>3.33</v>
      </c>
      <c r="J2607">
        <v>0.55000000000000004</v>
      </c>
      <c r="K2607" t="s">
        <v>1048</v>
      </c>
      <c r="L2607">
        <v>28.42</v>
      </c>
      <c r="M2607" t="s">
        <v>1407</v>
      </c>
      <c r="N2607" t="s">
        <v>12001</v>
      </c>
      <c r="O2607" t="s">
        <v>4048</v>
      </c>
      <c r="P2607" t="s">
        <v>8116</v>
      </c>
      <c r="Q2607">
        <v>11.93</v>
      </c>
      <c r="R2607" t="s">
        <v>262</v>
      </c>
      <c r="S2607">
        <v>0.71</v>
      </c>
      <c r="T2607">
        <v>9.35</v>
      </c>
      <c r="U2607" t="s">
        <v>2136</v>
      </c>
      <c r="V2607" t="s">
        <v>570</v>
      </c>
      <c r="W2607" t="s">
        <v>8643</v>
      </c>
      <c r="X2607">
        <v>0.55000000000000004</v>
      </c>
      <c r="Y2607" t="s">
        <v>1347</v>
      </c>
      <c r="Z2607" t="s">
        <v>855</v>
      </c>
      <c r="AA2607" t="s">
        <v>1496</v>
      </c>
      <c r="AB2607">
        <v>2.2200000000000002</v>
      </c>
      <c r="AC2607" t="s">
        <v>919</v>
      </c>
      <c r="AD2607">
        <v>27.6</v>
      </c>
      <c r="AE2607" t="s">
        <v>1695</v>
      </c>
      <c r="AF2607">
        <v>1.51</v>
      </c>
      <c r="AG2607">
        <v>0</v>
      </c>
      <c r="AH2607">
        <v>0</v>
      </c>
      <c r="AI2607" s="4">
        <v>36287</v>
      </c>
    </row>
    <row r="2608" spans="1:35">
      <c r="A2608">
        <v>2607</v>
      </c>
      <c r="B2608" t="str">
        <f>"600150"</f>
        <v>600150</v>
      </c>
      <c r="C2608" t="s">
        <v>12002</v>
      </c>
      <c r="D2608" s="4">
        <v>43190</v>
      </c>
      <c r="E2608" t="s">
        <v>176</v>
      </c>
      <c r="F2608" t="s">
        <v>176</v>
      </c>
      <c r="G2608">
        <v>8208</v>
      </c>
      <c r="H2608">
        <v>0.05</v>
      </c>
      <c r="I2608">
        <v>10.65</v>
      </c>
      <c r="J2608">
        <v>0.54</v>
      </c>
      <c r="K2608" t="s">
        <v>583</v>
      </c>
      <c r="L2608">
        <v>-27.85</v>
      </c>
      <c r="M2608" t="s">
        <v>2130</v>
      </c>
      <c r="N2608" t="s">
        <v>559</v>
      </c>
      <c r="O2608" t="s">
        <v>12003</v>
      </c>
      <c r="P2608" t="s">
        <v>1473</v>
      </c>
      <c r="Q2608">
        <v>200.1</v>
      </c>
      <c r="R2608" t="s">
        <v>1081</v>
      </c>
      <c r="S2608">
        <v>4.41</v>
      </c>
      <c r="T2608">
        <v>10.25</v>
      </c>
      <c r="U2608" t="s">
        <v>9714</v>
      </c>
      <c r="V2608" t="s">
        <v>4460</v>
      </c>
      <c r="W2608" t="s">
        <v>4810</v>
      </c>
      <c r="X2608">
        <v>0.54</v>
      </c>
      <c r="Y2608" t="s">
        <v>1153</v>
      </c>
      <c r="Z2608" t="s">
        <v>2050</v>
      </c>
      <c r="AA2608" t="s">
        <v>525</v>
      </c>
      <c r="AB2608">
        <v>0.95</v>
      </c>
      <c r="AC2608" t="s">
        <v>1453</v>
      </c>
      <c r="AD2608">
        <v>31.01</v>
      </c>
      <c r="AE2608" t="s">
        <v>7234</v>
      </c>
      <c r="AF2608">
        <v>4.7699999999999996</v>
      </c>
      <c r="AG2608">
        <v>0</v>
      </c>
      <c r="AH2608">
        <v>0</v>
      </c>
      <c r="AI2608" s="4">
        <v>35935</v>
      </c>
    </row>
    <row r="2609" spans="1:35">
      <c r="A2609">
        <v>2608</v>
      </c>
      <c r="B2609" t="str">
        <f>"600108"</f>
        <v>600108</v>
      </c>
      <c r="C2609" t="s">
        <v>12004</v>
      </c>
      <c r="D2609" s="4">
        <v>43190</v>
      </c>
      <c r="E2609" t="s">
        <v>275</v>
      </c>
      <c r="F2609" t="s">
        <v>275</v>
      </c>
      <c r="G2609" t="s">
        <v>2478</v>
      </c>
      <c r="H2609">
        <v>0.01</v>
      </c>
      <c r="I2609">
        <v>2.4300000000000002</v>
      </c>
      <c r="J2609">
        <v>0.54</v>
      </c>
      <c r="K2609" t="s">
        <v>1012</v>
      </c>
      <c r="L2609">
        <v>36.33</v>
      </c>
      <c r="M2609" t="s">
        <v>12005</v>
      </c>
      <c r="N2609" t="s">
        <v>12006</v>
      </c>
      <c r="O2609" t="s">
        <v>2838</v>
      </c>
      <c r="P2609" t="s">
        <v>2299</v>
      </c>
      <c r="Q2609">
        <v>32.090000000000003</v>
      </c>
      <c r="R2609" t="s">
        <v>510</v>
      </c>
      <c r="S2609">
        <v>0.95</v>
      </c>
      <c r="T2609">
        <v>23.78</v>
      </c>
      <c r="U2609" t="s">
        <v>636</v>
      </c>
      <c r="V2609" t="s">
        <v>1488</v>
      </c>
      <c r="W2609" t="s">
        <v>840</v>
      </c>
      <c r="X2609">
        <v>0.54</v>
      </c>
      <c r="Y2609" t="s">
        <v>818</v>
      </c>
      <c r="Z2609" t="s">
        <v>76</v>
      </c>
      <c r="AA2609" t="s">
        <v>76</v>
      </c>
      <c r="AB2609">
        <v>1.21</v>
      </c>
      <c r="AC2609" t="s">
        <v>3241</v>
      </c>
      <c r="AD2609">
        <v>58.69</v>
      </c>
      <c r="AE2609" t="s">
        <v>68</v>
      </c>
      <c r="AF2609">
        <v>0.27</v>
      </c>
      <c r="AG2609">
        <v>0</v>
      </c>
      <c r="AH2609">
        <v>0</v>
      </c>
      <c r="AI2609" s="4">
        <v>35660</v>
      </c>
    </row>
    <row r="2610" spans="1:35">
      <c r="A2610">
        <v>2609</v>
      </c>
      <c r="B2610" t="str">
        <f>"002627"</f>
        <v>002627</v>
      </c>
      <c r="C2610" t="s">
        <v>12007</v>
      </c>
      <c r="D2610" s="4">
        <v>43190</v>
      </c>
      <c r="E2610" t="s">
        <v>748</v>
      </c>
      <c r="F2610" t="s">
        <v>2306</v>
      </c>
      <c r="G2610" t="s">
        <v>6659</v>
      </c>
      <c r="H2610">
        <v>0.06</v>
      </c>
      <c r="I2610">
        <v>10.89</v>
      </c>
      <c r="J2610">
        <v>0.54</v>
      </c>
      <c r="K2610" t="s">
        <v>2398</v>
      </c>
      <c r="L2610">
        <v>22.98</v>
      </c>
      <c r="M2610" t="s">
        <v>7015</v>
      </c>
      <c r="N2610" t="s">
        <v>7288</v>
      </c>
      <c r="O2610" t="s">
        <v>12008</v>
      </c>
      <c r="P2610" t="s">
        <v>9161</v>
      </c>
      <c r="Q2610">
        <v>-1.21</v>
      </c>
      <c r="R2610" t="s">
        <v>1295</v>
      </c>
      <c r="S2610">
        <v>2.34</v>
      </c>
      <c r="T2610">
        <v>9.3800000000000008</v>
      </c>
      <c r="U2610" t="s">
        <v>1225</v>
      </c>
      <c r="V2610" t="s">
        <v>419</v>
      </c>
      <c r="W2610" t="s">
        <v>2996</v>
      </c>
      <c r="X2610">
        <v>0.54</v>
      </c>
      <c r="Y2610" t="s">
        <v>971</v>
      </c>
      <c r="Z2610" t="s">
        <v>2329</v>
      </c>
      <c r="AA2610" t="s">
        <v>2751</v>
      </c>
      <c r="AB2610">
        <v>1.67</v>
      </c>
      <c r="AC2610" t="s">
        <v>418</v>
      </c>
      <c r="AD2610">
        <v>57.52</v>
      </c>
      <c r="AE2610" t="s">
        <v>1307</v>
      </c>
      <c r="AF2610">
        <v>7.16</v>
      </c>
      <c r="AG2610">
        <v>0</v>
      </c>
      <c r="AH2610">
        <v>0</v>
      </c>
      <c r="AI2610" s="4">
        <v>40850</v>
      </c>
    </row>
    <row r="2611" spans="1:35">
      <c r="A2611">
        <v>2610</v>
      </c>
      <c r="B2611" t="str">
        <f>"002607"</f>
        <v>002607</v>
      </c>
      <c r="C2611" t="s">
        <v>12009</v>
      </c>
      <c r="D2611" s="4">
        <v>43190</v>
      </c>
      <c r="E2611" t="s">
        <v>4354</v>
      </c>
      <c r="F2611" t="s">
        <v>3281</v>
      </c>
      <c r="G2611" t="s">
        <v>4665</v>
      </c>
      <c r="H2611">
        <v>0.01</v>
      </c>
      <c r="I2611">
        <v>2.34</v>
      </c>
      <c r="J2611">
        <v>0.54</v>
      </c>
      <c r="K2611" t="s">
        <v>161</v>
      </c>
      <c r="L2611">
        <v>3.45</v>
      </c>
      <c r="M2611" t="s">
        <v>9518</v>
      </c>
      <c r="N2611" t="s">
        <v>6089</v>
      </c>
      <c r="O2611" t="s">
        <v>11584</v>
      </c>
      <c r="P2611" t="s">
        <v>12010</v>
      </c>
      <c r="Q2611">
        <v>-58.51</v>
      </c>
      <c r="R2611" t="s">
        <v>597</v>
      </c>
      <c r="S2611">
        <v>0.42</v>
      </c>
      <c r="T2611">
        <v>6.15</v>
      </c>
      <c r="U2611" t="s">
        <v>1291</v>
      </c>
      <c r="V2611" t="s">
        <v>876</v>
      </c>
      <c r="W2611" t="s">
        <v>782</v>
      </c>
      <c r="X2611">
        <v>0.54</v>
      </c>
      <c r="Y2611" t="s">
        <v>1039</v>
      </c>
      <c r="Z2611" t="s">
        <v>728</v>
      </c>
      <c r="AA2611" t="s">
        <v>804</v>
      </c>
      <c r="AB2611">
        <v>5.8</v>
      </c>
      <c r="AC2611" t="s">
        <v>702</v>
      </c>
      <c r="AD2611">
        <v>44.96</v>
      </c>
      <c r="AE2611" t="s">
        <v>2454</v>
      </c>
      <c r="AF2611">
        <v>0.87</v>
      </c>
      <c r="AG2611">
        <v>0</v>
      </c>
      <c r="AH2611">
        <v>0</v>
      </c>
      <c r="AI2611" s="4">
        <v>40765</v>
      </c>
    </row>
    <row r="2612" spans="1:35">
      <c r="A2612">
        <v>2611</v>
      </c>
      <c r="B2612" t="str">
        <f>"000534"</f>
        <v>000534</v>
      </c>
      <c r="C2612" t="s">
        <v>12011</v>
      </c>
      <c r="D2612" s="4">
        <v>43190</v>
      </c>
      <c r="E2612" t="s">
        <v>1615</v>
      </c>
      <c r="F2612" t="s">
        <v>542</v>
      </c>
      <c r="G2612" t="s">
        <v>12012</v>
      </c>
      <c r="H2612">
        <v>0.02</v>
      </c>
      <c r="I2612">
        <v>3.12</v>
      </c>
      <c r="J2612">
        <v>0.54</v>
      </c>
      <c r="K2612" t="s">
        <v>5921</v>
      </c>
      <c r="L2612">
        <v>59.27</v>
      </c>
      <c r="M2612" t="s">
        <v>12013</v>
      </c>
      <c r="N2612" t="s">
        <v>12014</v>
      </c>
      <c r="O2612" t="s">
        <v>12015</v>
      </c>
      <c r="P2612" t="s">
        <v>7623</v>
      </c>
      <c r="Q2612">
        <v>136.15</v>
      </c>
      <c r="R2612" t="s">
        <v>1768</v>
      </c>
      <c r="S2612">
        <v>0.89</v>
      </c>
      <c r="T2612">
        <v>80.290000000000006</v>
      </c>
      <c r="U2612" t="s">
        <v>710</v>
      </c>
      <c r="V2612" t="s">
        <v>1678</v>
      </c>
      <c r="W2612" t="s">
        <v>1202</v>
      </c>
      <c r="X2612">
        <v>0.54</v>
      </c>
      <c r="Y2612" t="s">
        <v>1496</v>
      </c>
      <c r="Z2612" t="s">
        <v>703</v>
      </c>
      <c r="AA2612" t="s">
        <v>282</v>
      </c>
      <c r="AB2612">
        <v>3.81</v>
      </c>
      <c r="AC2612" t="s">
        <v>391</v>
      </c>
      <c r="AD2612">
        <v>59.62</v>
      </c>
      <c r="AE2612" t="s">
        <v>2915</v>
      </c>
      <c r="AF2612">
        <v>0.81</v>
      </c>
      <c r="AG2612">
        <v>0</v>
      </c>
      <c r="AH2612">
        <v>0</v>
      </c>
      <c r="AI2612" s="4">
        <v>34344</v>
      </c>
    </row>
    <row r="2613" spans="1:35">
      <c r="A2613">
        <v>2612</v>
      </c>
      <c r="B2613" t="str">
        <f>"601666"</f>
        <v>601666</v>
      </c>
      <c r="C2613" t="s">
        <v>12016</v>
      </c>
      <c r="D2613" s="4">
        <v>43190</v>
      </c>
      <c r="E2613" t="s">
        <v>826</v>
      </c>
      <c r="F2613" t="s">
        <v>826</v>
      </c>
      <c r="G2613" t="s">
        <v>791</v>
      </c>
      <c r="H2613">
        <v>0.03</v>
      </c>
      <c r="I2613">
        <v>5.19</v>
      </c>
      <c r="J2613">
        <v>0.54</v>
      </c>
      <c r="K2613" t="s">
        <v>3653</v>
      </c>
      <c r="L2613">
        <v>-15.51</v>
      </c>
      <c r="M2613" t="s">
        <v>1360</v>
      </c>
      <c r="N2613" t="s">
        <v>4450</v>
      </c>
      <c r="O2613" t="s">
        <v>2069</v>
      </c>
      <c r="P2613" t="s">
        <v>12017</v>
      </c>
      <c r="Q2613">
        <v>-80.77</v>
      </c>
      <c r="R2613" t="s">
        <v>1923</v>
      </c>
      <c r="S2613">
        <v>2.13</v>
      </c>
      <c r="T2613">
        <v>16.97</v>
      </c>
      <c r="U2613" t="s">
        <v>555</v>
      </c>
      <c r="V2613" t="s">
        <v>310</v>
      </c>
      <c r="W2613" t="s">
        <v>1099</v>
      </c>
      <c r="X2613">
        <v>0.54</v>
      </c>
      <c r="Y2613" t="s">
        <v>11702</v>
      </c>
      <c r="Z2613" t="s">
        <v>761</v>
      </c>
      <c r="AA2613" t="s">
        <v>3472</v>
      </c>
      <c r="AB2613">
        <v>0.8</v>
      </c>
      <c r="AC2613" t="s">
        <v>841</v>
      </c>
      <c r="AD2613">
        <v>27.65</v>
      </c>
      <c r="AE2613" t="s">
        <v>502</v>
      </c>
      <c r="AF2613">
        <v>1.18</v>
      </c>
      <c r="AG2613">
        <v>0</v>
      </c>
      <c r="AH2613">
        <v>0</v>
      </c>
      <c r="AI2613" s="4">
        <v>39044</v>
      </c>
    </row>
    <row r="2614" spans="1:35">
      <c r="A2614">
        <v>2613</v>
      </c>
      <c r="B2614" t="str">
        <f>"600689"</f>
        <v>600689</v>
      </c>
      <c r="C2614" t="s">
        <v>12018</v>
      </c>
      <c r="D2614" s="4">
        <v>43190</v>
      </c>
      <c r="E2614" t="s">
        <v>3768</v>
      </c>
      <c r="F2614" t="s">
        <v>1936</v>
      </c>
      <c r="G2614">
        <v>4321</v>
      </c>
      <c r="H2614">
        <v>0.01</v>
      </c>
      <c r="I2614">
        <v>2.2999999999999998</v>
      </c>
      <c r="J2614">
        <v>0.53</v>
      </c>
      <c r="K2614" t="s">
        <v>1712</v>
      </c>
      <c r="L2614">
        <v>24.16</v>
      </c>
      <c r="M2614" t="s">
        <v>3453</v>
      </c>
      <c r="N2614" t="s">
        <v>12019</v>
      </c>
      <c r="O2614" t="s">
        <v>11460</v>
      </c>
      <c r="P2614" t="s">
        <v>5916</v>
      </c>
      <c r="Q2614">
        <v>-93.98</v>
      </c>
      <c r="R2614" t="s">
        <v>12020</v>
      </c>
      <c r="S2614">
        <v>-7.0000000000000007E-2</v>
      </c>
      <c r="T2614">
        <v>6.09</v>
      </c>
      <c r="U2614" t="s">
        <v>615</v>
      </c>
      <c r="V2614" t="s">
        <v>78</v>
      </c>
      <c r="W2614" t="s">
        <v>9528</v>
      </c>
      <c r="X2614">
        <v>0.53</v>
      </c>
      <c r="Y2614" t="s">
        <v>2142</v>
      </c>
      <c r="Z2614" t="s">
        <v>1624</v>
      </c>
      <c r="AA2614" t="s">
        <v>12021</v>
      </c>
      <c r="AB2614">
        <v>3.93</v>
      </c>
      <c r="AC2614" t="s">
        <v>2112</v>
      </c>
      <c r="AD2614">
        <v>64.25</v>
      </c>
      <c r="AE2614" t="s">
        <v>1011</v>
      </c>
      <c r="AF2614">
        <v>1.05</v>
      </c>
      <c r="AG2614" t="s">
        <v>12022</v>
      </c>
      <c r="AH2614">
        <v>0</v>
      </c>
      <c r="AI2614" s="4">
        <v>34281</v>
      </c>
    </row>
    <row r="2615" spans="1:35">
      <c r="A2615">
        <v>2614</v>
      </c>
      <c r="B2615" t="str">
        <f>"300631"</f>
        <v>300631</v>
      </c>
      <c r="C2615" t="s">
        <v>12023</v>
      </c>
      <c r="D2615" s="4">
        <v>43190</v>
      </c>
      <c r="E2615" t="s">
        <v>197</v>
      </c>
      <c r="F2615" t="s">
        <v>12024</v>
      </c>
      <c r="G2615">
        <v>6717</v>
      </c>
      <c r="H2615">
        <v>0.03</v>
      </c>
      <c r="I2615">
        <v>5.56</v>
      </c>
      <c r="J2615">
        <v>0.53</v>
      </c>
      <c r="K2615" t="s">
        <v>12025</v>
      </c>
      <c r="L2615">
        <v>8.67</v>
      </c>
      <c r="M2615" t="s">
        <v>7770</v>
      </c>
      <c r="N2615">
        <v>8785</v>
      </c>
      <c r="O2615" t="s">
        <v>11311</v>
      </c>
      <c r="P2615" t="s">
        <v>6117</v>
      </c>
      <c r="Q2615">
        <v>17.38</v>
      </c>
      <c r="R2615" t="s">
        <v>1048</v>
      </c>
      <c r="S2615">
        <v>2.89</v>
      </c>
      <c r="T2615">
        <v>43.24</v>
      </c>
      <c r="U2615" t="s">
        <v>488</v>
      </c>
      <c r="V2615" t="s">
        <v>1015</v>
      </c>
      <c r="W2615" t="s">
        <v>355</v>
      </c>
      <c r="X2615">
        <v>0.53</v>
      </c>
      <c r="Y2615" t="s">
        <v>200</v>
      </c>
      <c r="Z2615" t="s">
        <v>382</v>
      </c>
      <c r="AA2615" t="s">
        <v>12026</v>
      </c>
      <c r="AB2615">
        <v>3.75</v>
      </c>
      <c r="AC2615" t="s">
        <v>2094</v>
      </c>
      <c r="AD2615">
        <v>74.52</v>
      </c>
      <c r="AE2615" t="s">
        <v>920</v>
      </c>
      <c r="AF2615">
        <v>1.38</v>
      </c>
      <c r="AG2615">
        <v>0</v>
      </c>
      <c r="AH2615">
        <v>0</v>
      </c>
      <c r="AI2615" s="4">
        <v>42817</v>
      </c>
    </row>
    <row r="2616" spans="1:35">
      <c r="A2616">
        <v>2615</v>
      </c>
      <c r="B2616" t="str">
        <f>"002731"</f>
        <v>002731</v>
      </c>
      <c r="C2616" t="s">
        <v>12027</v>
      </c>
      <c r="D2616" s="4">
        <v>43190</v>
      </c>
      <c r="E2616" t="s">
        <v>2034</v>
      </c>
      <c r="F2616" t="s">
        <v>86</v>
      </c>
      <c r="G2616">
        <v>8866</v>
      </c>
      <c r="H2616">
        <v>0.04</v>
      </c>
      <c r="I2616">
        <v>7.81</v>
      </c>
      <c r="J2616">
        <v>0.53</v>
      </c>
      <c r="K2616" t="s">
        <v>2517</v>
      </c>
      <c r="L2616">
        <v>15.24</v>
      </c>
      <c r="M2616" t="s">
        <v>9639</v>
      </c>
      <c r="N2616" t="s">
        <v>12028</v>
      </c>
      <c r="O2616" t="s">
        <v>10535</v>
      </c>
      <c r="P2616" t="s">
        <v>12029</v>
      </c>
      <c r="Q2616">
        <v>163.66</v>
      </c>
      <c r="R2616" t="s">
        <v>1058</v>
      </c>
      <c r="S2616">
        <v>3.91</v>
      </c>
      <c r="T2616">
        <v>6.75</v>
      </c>
      <c r="U2616" t="s">
        <v>1881</v>
      </c>
      <c r="V2616" t="s">
        <v>1039</v>
      </c>
      <c r="W2616" t="s">
        <v>204</v>
      </c>
      <c r="X2616">
        <v>0.53</v>
      </c>
      <c r="Y2616" t="s">
        <v>1052</v>
      </c>
      <c r="Z2616" t="s">
        <v>1244</v>
      </c>
      <c r="AA2616" t="s">
        <v>4873</v>
      </c>
      <c r="AB2616">
        <v>1.82</v>
      </c>
      <c r="AC2616" t="s">
        <v>250</v>
      </c>
      <c r="AD2616">
        <v>42.01</v>
      </c>
      <c r="AE2616" t="s">
        <v>498</v>
      </c>
      <c r="AF2616">
        <v>2.67</v>
      </c>
      <c r="AG2616">
        <v>0</v>
      </c>
      <c r="AH2616">
        <v>0</v>
      </c>
      <c r="AI2616" s="4">
        <v>41947</v>
      </c>
    </row>
    <row r="2617" spans="1:35">
      <c r="A2617">
        <v>2616</v>
      </c>
      <c r="B2617" t="str">
        <f>"002576"</f>
        <v>002576</v>
      </c>
      <c r="C2617" t="s">
        <v>12030</v>
      </c>
      <c r="D2617" s="4">
        <v>43190</v>
      </c>
      <c r="E2617" t="s">
        <v>64</v>
      </c>
      <c r="F2617" t="s">
        <v>993</v>
      </c>
      <c r="G2617">
        <v>6819</v>
      </c>
      <c r="H2617">
        <v>0.03</v>
      </c>
      <c r="I2617">
        <v>5.19</v>
      </c>
      <c r="J2617">
        <v>0.53</v>
      </c>
      <c r="K2617" t="s">
        <v>126</v>
      </c>
      <c r="L2617">
        <v>0.89</v>
      </c>
      <c r="M2617" t="s">
        <v>12031</v>
      </c>
      <c r="N2617" t="s">
        <v>12032</v>
      </c>
      <c r="O2617" t="s">
        <v>12033</v>
      </c>
      <c r="P2617" t="s">
        <v>2260</v>
      </c>
      <c r="Q2617">
        <v>-71.08</v>
      </c>
      <c r="R2617" t="s">
        <v>209</v>
      </c>
      <c r="S2617">
        <v>0.73</v>
      </c>
      <c r="T2617">
        <v>10.97</v>
      </c>
      <c r="U2617" t="s">
        <v>602</v>
      </c>
      <c r="V2617" t="s">
        <v>1756</v>
      </c>
      <c r="W2617" t="s">
        <v>292</v>
      </c>
      <c r="X2617">
        <v>0.53</v>
      </c>
      <c r="Y2617" t="s">
        <v>2142</v>
      </c>
      <c r="Z2617" t="s">
        <v>94</v>
      </c>
      <c r="AA2617" t="s">
        <v>11694</v>
      </c>
      <c r="AB2617">
        <v>1.71</v>
      </c>
      <c r="AC2617" t="s">
        <v>226</v>
      </c>
      <c r="AD2617">
        <v>77.86</v>
      </c>
      <c r="AE2617" t="s">
        <v>592</v>
      </c>
      <c r="AF2617">
        <v>3.31</v>
      </c>
      <c r="AG2617">
        <v>0</v>
      </c>
      <c r="AH2617">
        <v>0</v>
      </c>
      <c r="AI2617" s="4">
        <v>40661</v>
      </c>
    </row>
    <row r="2618" spans="1:35">
      <c r="A2618">
        <v>2617</v>
      </c>
      <c r="B2618" t="str">
        <f>"002439"</f>
        <v>002439</v>
      </c>
      <c r="C2618" t="s">
        <v>12034</v>
      </c>
      <c r="D2618" s="4">
        <v>43190</v>
      </c>
      <c r="E2618" t="s">
        <v>6545</v>
      </c>
      <c r="F2618" t="s">
        <v>2450</v>
      </c>
      <c r="G2618" t="s">
        <v>103</v>
      </c>
      <c r="H2618">
        <v>0.02</v>
      </c>
      <c r="I2618">
        <v>3.43</v>
      </c>
      <c r="J2618">
        <v>0.53</v>
      </c>
      <c r="K2618" t="s">
        <v>1402</v>
      </c>
      <c r="L2618">
        <v>2.04</v>
      </c>
      <c r="M2618" t="s">
        <v>7487</v>
      </c>
      <c r="N2618" t="s">
        <v>2401</v>
      </c>
      <c r="O2618" t="s">
        <v>12035</v>
      </c>
      <c r="P2618" t="s">
        <v>12036</v>
      </c>
      <c r="Q2618">
        <v>343.29</v>
      </c>
      <c r="R2618" t="s">
        <v>300</v>
      </c>
      <c r="S2618">
        <v>1.34</v>
      </c>
      <c r="T2618">
        <v>56.97</v>
      </c>
      <c r="U2618" t="s">
        <v>2239</v>
      </c>
      <c r="V2618" t="s">
        <v>261</v>
      </c>
      <c r="W2618" t="s">
        <v>676</v>
      </c>
      <c r="X2618">
        <v>0.53</v>
      </c>
      <c r="Y2618" t="s">
        <v>4754</v>
      </c>
      <c r="Z2618" t="s">
        <v>903</v>
      </c>
      <c r="AA2618" t="s">
        <v>1990</v>
      </c>
      <c r="AB2618">
        <v>5.92</v>
      </c>
      <c r="AC2618" t="s">
        <v>313</v>
      </c>
      <c r="AD2618">
        <v>75.180000000000007</v>
      </c>
      <c r="AE2618" t="s">
        <v>687</v>
      </c>
      <c r="AF2618">
        <v>1.04</v>
      </c>
      <c r="AG2618">
        <v>0</v>
      </c>
      <c r="AH2618">
        <v>0</v>
      </c>
      <c r="AI2618" s="4">
        <v>40352</v>
      </c>
    </row>
    <row r="2619" spans="1:35">
      <c r="A2619">
        <v>2618</v>
      </c>
      <c r="B2619" t="str">
        <f>"002350"</f>
        <v>002350</v>
      </c>
      <c r="C2619" t="s">
        <v>12037</v>
      </c>
      <c r="D2619" s="4">
        <v>43190</v>
      </c>
      <c r="E2619" t="s">
        <v>999</v>
      </c>
      <c r="F2619" t="s">
        <v>1703</v>
      </c>
      <c r="G2619">
        <v>9084</v>
      </c>
      <c r="H2619">
        <v>0.01</v>
      </c>
      <c r="I2619">
        <v>3.48</v>
      </c>
      <c r="J2619">
        <v>0.53</v>
      </c>
      <c r="K2619" t="s">
        <v>1324</v>
      </c>
      <c r="L2619">
        <v>26.59</v>
      </c>
      <c r="M2619" t="s">
        <v>7304</v>
      </c>
      <c r="N2619" t="s">
        <v>12038</v>
      </c>
      <c r="O2619" t="s">
        <v>12039</v>
      </c>
      <c r="P2619" t="s">
        <v>11974</v>
      </c>
      <c r="Q2619">
        <v>177.72</v>
      </c>
      <c r="R2619" t="s">
        <v>48</v>
      </c>
      <c r="S2619">
        <v>0.82</v>
      </c>
      <c r="T2619">
        <v>25.52</v>
      </c>
      <c r="U2619" t="s">
        <v>1881</v>
      </c>
      <c r="V2619" t="s">
        <v>1752</v>
      </c>
      <c r="W2619" t="s">
        <v>324</v>
      </c>
      <c r="X2619">
        <v>0.53</v>
      </c>
      <c r="Y2619" t="s">
        <v>80</v>
      </c>
      <c r="Z2619" t="s">
        <v>1082</v>
      </c>
      <c r="AA2619" t="s">
        <v>3768</v>
      </c>
      <c r="AB2619">
        <v>1.75</v>
      </c>
      <c r="AC2619" t="s">
        <v>1082</v>
      </c>
      <c r="AD2619">
        <v>45.03</v>
      </c>
      <c r="AE2619" t="s">
        <v>157</v>
      </c>
      <c r="AF2619">
        <v>1.64</v>
      </c>
      <c r="AG2619">
        <v>0</v>
      </c>
      <c r="AH2619">
        <v>0</v>
      </c>
      <c r="AI2619" s="4">
        <v>40212</v>
      </c>
    </row>
    <row r="2620" spans="1:35">
      <c r="A2620">
        <v>2619</v>
      </c>
      <c r="B2620" t="str">
        <f>"002297"</f>
        <v>002297</v>
      </c>
      <c r="C2620" t="s">
        <v>12040</v>
      </c>
      <c r="D2620" s="4">
        <v>43190</v>
      </c>
      <c r="E2620" t="s">
        <v>1006</v>
      </c>
      <c r="F2620" t="s">
        <v>2915</v>
      </c>
      <c r="G2620">
        <v>6582</v>
      </c>
      <c r="H2620">
        <v>0.02</v>
      </c>
      <c r="I2620">
        <v>3.23</v>
      </c>
      <c r="J2620">
        <v>0.53</v>
      </c>
      <c r="K2620" t="s">
        <v>920</v>
      </c>
      <c r="L2620">
        <v>16.23</v>
      </c>
      <c r="M2620" t="s">
        <v>12041</v>
      </c>
      <c r="N2620" t="s">
        <v>12042</v>
      </c>
      <c r="O2620" t="s">
        <v>6252</v>
      </c>
      <c r="P2620" t="s">
        <v>8592</v>
      </c>
      <c r="Q2620">
        <v>326.45999999999998</v>
      </c>
      <c r="R2620" t="s">
        <v>12043</v>
      </c>
      <c r="S2620">
        <v>-0.24</v>
      </c>
      <c r="T2620">
        <v>29.38</v>
      </c>
      <c r="U2620" t="s">
        <v>1390</v>
      </c>
      <c r="V2620" t="s">
        <v>295</v>
      </c>
      <c r="W2620" t="s">
        <v>914</v>
      </c>
      <c r="X2620">
        <v>0.53</v>
      </c>
      <c r="Y2620" t="s">
        <v>1847</v>
      </c>
      <c r="Z2620" t="s">
        <v>1874</v>
      </c>
      <c r="AA2620" t="s">
        <v>12044</v>
      </c>
      <c r="AB2620">
        <v>1.77</v>
      </c>
      <c r="AC2620" t="s">
        <v>908</v>
      </c>
      <c r="AD2620">
        <v>68.98</v>
      </c>
      <c r="AE2620" t="s">
        <v>973</v>
      </c>
      <c r="AF2620">
        <v>2.4300000000000002</v>
      </c>
      <c r="AG2620">
        <v>0</v>
      </c>
      <c r="AH2620">
        <v>0</v>
      </c>
      <c r="AI2620" s="4">
        <v>40085</v>
      </c>
    </row>
    <row r="2621" spans="1:35">
      <c r="A2621">
        <v>2620</v>
      </c>
      <c r="B2621" t="str">
        <f>"000695"</f>
        <v>000695</v>
      </c>
      <c r="C2621" t="s">
        <v>12045</v>
      </c>
      <c r="D2621" s="4">
        <v>43190</v>
      </c>
      <c r="E2621" t="s">
        <v>262</v>
      </c>
      <c r="F2621" t="s">
        <v>262</v>
      </c>
      <c r="G2621" t="s">
        <v>1440</v>
      </c>
      <c r="H2621">
        <v>0.01</v>
      </c>
      <c r="I2621">
        <v>1.53</v>
      </c>
      <c r="J2621">
        <v>0.53</v>
      </c>
      <c r="K2621" t="s">
        <v>914</v>
      </c>
      <c r="L2621">
        <v>66.47</v>
      </c>
      <c r="M2621" t="s">
        <v>4846</v>
      </c>
      <c r="N2621" t="s">
        <v>4747</v>
      </c>
      <c r="O2621" t="s">
        <v>8757</v>
      </c>
      <c r="P2621" t="s">
        <v>621</v>
      </c>
      <c r="Q2621">
        <v>114.94</v>
      </c>
      <c r="R2621" t="s">
        <v>8373</v>
      </c>
      <c r="S2621">
        <v>0.09</v>
      </c>
      <c r="T2621">
        <v>8.8699999999999992</v>
      </c>
      <c r="U2621" t="s">
        <v>867</v>
      </c>
      <c r="V2621" t="s">
        <v>2035</v>
      </c>
      <c r="W2621" t="s">
        <v>782</v>
      </c>
      <c r="X2621">
        <v>0.53</v>
      </c>
      <c r="Y2621" t="s">
        <v>548</v>
      </c>
      <c r="Z2621" t="s">
        <v>192</v>
      </c>
      <c r="AA2621" t="s">
        <v>12046</v>
      </c>
      <c r="AB2621">
        <v>5.53</v>
      </c>
      <c r="AC2621" t="s">
        <v>344</v>
      </c>
      <c r="AD2621">
        <v>19.57</v>
      </c>
      <c r="AE2621" t="s">
        <v>12047</v>
      </c>
      <c r="AF2621">
        <v>0.34</v>
      </c>
      <c r="AG2621">
        <v>0</v>
      </c>
      <c r="AH2621">
        <v>0</v>
      </c>
      <c r="AI2621" s="4">
        <v>35479</v>
      </c>
    </row>
    <row r="2622" spans="1:35">
      <c r="A2622">
        <v>2621</v>
      </c>
      <c r="B2622" t="str">
        <f>"000557"</f>
        <v>000557</v>
      </c>
      <c r="C2622" t="s">
        <v>12048</v>
      </c>
      <c r="D2622" s="4">
        <v>43190</v>
      </c>
      <c r="E2622" t="s">
        <v>584</v>
      </c>
      <c r="F2622" t="s">
        <v>6809</v>
      </c>
      <c r="G2622">
        <v>9866</v>
      </c>
      <c r="H2622">
        <v>0.01</v>
      </c>
      <c r="I2622">
        <v>2.77</v>
      </c>
      <c r="J2622">
        <v>0.53</v>
      </c>
      <c r="K2622" t="s">
        <v>290</v>
      </c>
      <c r="L2622">
        <v>15.83</v>
      </c>
      <c r="M2622" t="s">
        <v>2888</v>
      </c>
      <c r="N2622">
        <v>0</v>
      </c>
      <c r="O2622" t="s">
        <v>2888</v>
      </c>
      <c r="P2622" t="s">
        <v>10442</v>
      </c>
      <c r="Q2622">
        <v>75.709999999999994</v>
      </c>
      <c r="R2622" t="s">
        <v>12049</v>
      </c>
      <c r="S2622">
        <v>-0.77</v>
      </c>
      <c r="T2622">
        <v>35.159999999999997</v>
      </c>
      <c r="U2622" t="s">
        <v>2736</v>
      </c>
      <c r="V2622" t="s">
        <v>1575</v>
      </c>
      <c r="W2622" t="s">
        <v>612</v>
      </c>
      <c r="X2622">
        <v>0.53</v>
      </c>
      <c r="Y2622" t="s">
        <v>4539</v>
      </c>
      <c r="Z2622" t="s">
        <v>2139</v>
      </c>
      <c r="AA2622" t="s">
        <v>595</v>
      </c>
      <c r="AB2622">
        <v>1.1200000000000001</v>
      </c>
      <c r="AC2622" t="s">
        <v>1545</v>
      </c>
      <c r="AD2622">
        <v>80.81</v>
      </c>
      <c r="AE2622" t="s">
        <v>1601</v>
      </c>
      <c r="AF2622">
        <v>2.44</v>
      </c>
      <c r="AG2622">
        <v>0</v>
      </c>
      <c r="AH2622">
        <v>0</v>
      </c>
      <c r="AI2622" s="4">
        <v>34502</v>
      </c>
    </row>
    <row r="2623" spans="1:35">
      <c r="A2623">
        <v>2622</v>
      </c>
      <c r="B2623" t="str">
        <f>"000533"</f>
        <v>000533</v>
      </c>
      <c r="C2623" t="s">
        <v>12050</v>
      </c>
      <c r="D2623" s="4">
        <v>43190</v>
      </c>
      <c r="E2623" t="s">
        <v>1392</v>
      </c>
      <c r="F2623" t="s">
        <v>2394</v>
      </c>
      <c r="G2623" t="s">
        <v>1218</v>
      </c>
      <c r="H2623">
        <v>0.01</v>
      </c>
      <c r="I2623">
        <v>2.2999999999999998</v>
      </c>
      <c r="J2623">
        <v>0.53</v>
      </c>
      <c r="K2623" t="s">
        <v>1625</v>
      </c>
      <c r="L2623">
        <v>906.35</v>
      </c>
      <c r="M2623" t="s">
        <v>9459</v>
      </c>
      <c r="N2623" t="s">
        <v>12051</v>
      </c>
      <c r="O2623" t="s">
        <v>5301</v>
      </c>
      <c r="P2623" t="s">
        <v>12052</v>
      </c>
      <c r="Q2623">
        <v>138.22999999999999</v>
      </c>
      <c r="R2623" t="s">
        <v>1608</v>
      </c>
      <c r="S2623">
        <v>1.1000000000000001</v>
      </c>
      <c r="T2623">
        <v>3.35</v>
      </c>
      <c r="U2623" t="s">
        <v>1344</v>
      </c>
      <c r="V2623" t="s">
        <v>1090</v>
      </c>
      <c r="W2623" t="s">
        <v>1245</v>
      </c>
      <c r="X2623">
        <v>0.53</v>
      </c>
      <c r="Y2623" t="s">
        <v>638</v>
      </c>
      <c r="Z2623" t="s">
        <v>461</v>
      </c>
      <c r="AA2623" t="s">
        <v>12053</v>
      </c>
      <c r="AB2623">
        <v>1.54</v>
      </c>
      <c r="AC2623" t="s">
        <v>983</v>
      </c>
      <c r="AD2623">
        <v>28.86</v>
      </c>
      <c r="AE2623" t="s">
        <v>12054</v>
      </c>
      <c r="AF2623">
        <v>0.06</v>
      </c>
      <c r="AG2623">
        <v>0</v>
      </c>
      <c r="AH2623">
        <v>0</v>
      </c>
      <c r="AI2623" s="4">
        <v>34337</v>
      </c>
    </row>
    <row r="2624" spans="1:35">
      <c r="A2624">
        <v>2623</v>
      </c>
      <c r="B2624" t="str">
        <f>"603126"</f>
        <v>603126</v>
      </c>
      <c r="C2624" t="s">
        <v>12055</v>
      </c>
      <c r="D2624" s="4">
        <v>43190</v>
      </c>
      <c r="E2624" t="s">
        <v>2674</v>
      </c>
      <c r="F2624" t="s">
        <v>2674</v>
      </c>
      <c r="G2624">
        <v>9303</v>
      </c>
      <c r="H2624">
        <v>0.01</v>
      </c>
      <c r="I2624">
        <v>2.54</v>
      </c>
      <c r="J2624">
        <v>0.53</v>
      </c>
      <c r="K2624" t="s">
        <v>144</v>
      </c>
      <c r="L2624">
        <v>-2.04</v>
      </c>
      <c r="M2624" t="s">
        <v>6582</v>
      </c>
      <c r="N2624">
        <v>0</v>
      </c>
      <c r="O2624" t="s">
        <v>9471</v>
      </c>
      <c r="P2624" t="s">
        <v>7701</v>
      </c>
      <c r="Q2624">
        <v>-47.46</v>
      </c>
      <c r="R2624" t="s">
        <v>2908</v>
      </c>
      <c r="S2624">
        <v>1.24</v>
      </c>
      <c r="T2624">
        <v>24.09</v>
      </c>
      <c r="U2624" t="s">
        <v>818</v>
      </c>
      <c r="V2624" t="s">
        <v>712</v>
      </c>
      <c r="W2624" t="s">
        <v>2930</v>
      </c>
      <c r="X2624">
        <v>0.53</v>
      </c>
      <c r="Y2624" t="s">
        <v>263</v>
      </c>
      <c r="Z2624" t="s">
        <v>1082</v>
      </c>
      <c r="AA2624" t="s">
        <v>1366</v>
      </c>
      <c r="AB2624">
        <v>2.5299999999999998</v>
      </c>
      <c r="AC2624" t="s">
        <v>983</v>
      </c>
      <c r="AD2624">
        <v>48.57</v>
      </c>
      <c r="AE2624" t="s">
        <v>10094</v>
      </c>
      <c r="AF2624">
        <v>0.12</v>
      </c>
      <c r="AG2624">
        <v>0</v>
      </c>
      <c r="AH2624">
        <v>0</v>
      </c>
      <c r="AI2624" s="4">
        <v>41851</v>
      </c>
    </row>
    <row r="2625" spans="1:35">
      <c r="A2625">
        <v>2624</v>
      </c>
      <c r="B2625" t="str">
        <f>"300484"</f>
        <v>300484</v>
      </c>
      <c r="C2625" t="s">
        <v>12056</v>
      </c>
      <c r="D2625" s="4">
        <v>43190</v>
      </c>
      <c r="E2625" t="s">
        <v>415</v>
      </c>
      <c r="F2625" t="s">
        <v>12057</v>
      </c>
      <c r="G2625">
        <v>5504</v>
      </c>
      <c r="H2625">
        <v>0.02</v>
      </c>
      <c r="I2625">
        <v>3.41</v>
      </c>
      <c r="J2625">
        <v>0.52</v>
      </c>
      <c r="K2625" t="s">
        <v>12058</v>
      </c>
      <c r="L2625">
        <v>-58.91</v>
      </c>
      <c r="M2625" t="s">
        <v>12059</v>
      </c>
      <c r="N2625" t="s">
        <v>12060</v>
      </c>
      <c r="O2625" t="s">
        <v>12059</v>
      </c>
      <c r="P2625" t="s">
        <v>6750</v>
      </c>
      <c r="Q2625">
        <v>-89.42</v>
      </c>
      <c r="R2625" t="s">
        <v>1035</v>
      </c>
      <c r="S2625">
        <v>1.79</v>
      </c>
      <c r="T2625">
        <v>39.89</v>
      </c>
      <c r="U2625" t="s">
        <v>323</v>
      </c>
      <c r="V2625" t="s">
        <v>2767</v>
      </c>
      <c r="W2625" t="s">
        <v>12061</v>
      </c>
      <c r="X2625">
        <v>0.52</v>
      </c>
      <c r="Y2625" t="s">
        <v>2953</v>
      </c>
      <c r="Z2625" t="s">
        <v>2953</v>
      </c>
      <c r="AA2625" t="s">
        <v>12062</v>
      </c>
      <c r="AB2625">
        <v>3.48</v>
      </c>
      <c r="AC2625" t="s">
        <v>523</v>
      </c>
      <c r="AD2625">
        <v>64.19</v>
      </c>
      <c r="AE2625" t="s">
        <v>12063</v>
      </c>
      <c r="AF2625">
        <v>0.4</v>
      </c>
      <c r="AG2625">
        <v>0</v>
      </c>
      <c r="AH2625">
        <v>0</v>
      </c>
      <c r="AI2625" s="4">
        <v>42451</v>
      </c>
    </row>
    <row r="2626" spans="1:35">
      <c r="A2626">
        <v>2625</v>
      </c>
      <c r="B2626" t="str">
        <f>"300317"</f>
        <v>300317</v>
      </c>
      <c r="C2626" t="s">
        <v>12064</v>
      </c>
      <c r="D2626" s="4">
        <v>43190</v>
      </c>
      <c r="E2626" t="s">
        <v>2444</v>
      </c>
      <c r="F2626" t="s">
        <v>144</v>
      </c>
      <c r="G2626">
        <v>9787</v>
      </c>
      <c r="H2626">
        <v>0.03</v>
      </c>
      <c r="I2626">
        <v>5.79</v>
      </c>
      <c r="J2626">
        <v>0.52</v>
      </c>
      <c r="K2626" t="s">
        <v>364</v>
      </c>
      <c r="L2626">
        <v>-30.11</v>
      </c>
      <c r="M2626" t="s">
        <v>9124</v>
      </c>
      <c r="N2626">
        <v>0</v>
      </c>
      <c r="O2626" t="s">
        <v>3046</v>
      </c>
      <c r="P2626" t="s">
        <v>3004</v>
      </c>
      <c r="Q2626">
        <v>-73.67</v>
      </c>
      <c r="R2626" t="s">
        <v>4397</v>
      </c>
      <c r="S2626">
        <v>0.93</v>
      </c>
      <c r="T2626">
        <v>30.75</v>
      </c>
      <c r="U2626" t="s">
        <v>2706</v>
      </c>
      <c r="V2626" t="s">
        <v>830</v>
      </c>
      <c r="W2626" t="s">
        <v>402</v>
      </c>
      <c r="X2626">
        <v>0.52</v>
      </c>
      <c r="Y2626" t="s">
        <v>763</v>
      </c>
      <c r="Z2626" t="s">
        <v>725</v>
      </c>
      <c r="AA2626" t="s">
        <v>1214</v>
      </c>
      <c r="AB2626">
        <v>2.0499999999999998</v>
      </c>
      <c r="AC2626" t="s">
        <v>8225</v>
      </c>
      <c r="AD2626">
        <v>54.56</v>
      </c>
      <c r="AE2626" t="s">
        <v>2028</v>
      </c>
      <c r="AF2626">
        <v>3.88</v>
      </c>
      <c r="AG2626">
        <v>0</v>
      </c>
      <c r="AH2626">
        <v>0</v>
      </c>
      <c r="AI2626" s="4">
        <v>41040</v>
      </c>
    </row>
    <row r="2627" spans="1:35">
      <c r="A2627">
        <v>2626</v>
      </c>
      <c r="B2627" t="str">
        <f>"300215"</f>
        <v>300215</v>
      </c>
      <c r="C2627" t="s">
        <v>12065</v>
      </c>
      <c r="D2627" s="4">
        <v>43190</v>
      </c>
      <c r="E2627" t="s">
        <v>650</v>
      </c>
      <c r="F2627" t="s">
        <v>1058</v>
      </c>
      <c r="G2627" t="s">
        <v>2229</v>
      </c>
      <c r="H2627">
        <v>0.01</v>
      </c>
      <c r="I2627">
        <v>2.5299999999999998</v>
      </c>
      <c r="J2627">
        <v>0.52</v>
      </c>
      <c r="K2627" t="s">
        <v>657</v>
      </c>
      <c r="L2627">
        <v>13.91</v>
      </c>
      <c r="M2627" t="s">
        <v>3041</v>
      </c>
      <c r="N2627">
        <v>0</v>
      </c>
      <c r="O2627" t="s">
        <v>3041</v>
      </c>
      <c r="P2627" t="s">
        <v>12066</v>
      </c>
      <c r="Q2627">
        <v>48.07</v>
      </c>
      <c r="R2627" t="s">
        <v>346</v>
      </c>
      <c r="S2627">
        <v>0.47</v>
      </c>
      <c r="T2627">
        <v>39.380000000000003</v>
      </c>
      <c r="U2627" t="s">
        <v>447</v>
      </c>
      <c r="V2627" t="s">
        <v>6799</v>
      </c>
      <c r="W2627" t="s">
        <v>789</v>
      </c>
      <c r="X2627">
        <v>0.52</v>
      </c>
      <c r="Y2627" t="s">
        <v>183</v>
      </c>
      <c r="Z2627" t="s">
        <v>405</v>
      </c>
      <c r="AA2627" t="s">
        <v>1671</v>
      </c>
      <c r="AB2627">
        <v>2.29</v>
      </c>
      <c r="AC2627" t="s">
        <v>119</v>
      </c>
      <c r="AD2627">
        <v>50.95</v>
      </c>
      <c r="AE2627" t="s">
        <v>1487</v>
      </c>
      <c r="AF2627">
        <v>0.95</v>
      </c>
      <c r="AG2627">
        <v>0</v>
      </c>
      <c r="AH2627">
        <v>0</v>
      </c>
      <c r="AI2627" s="4">
        <v>40674</v>
      </c>
    </row>
    <row r="2628" spans="1:35">
      <c r="A2628">
        <v>2627</v>
      </c>
      <c r="B2628" t="str">
        <f>"300133"</f>
        <v>300133</v>
      </c>
      <c r="C2628" t="s">
        <v>12067</v>
      </c>
      <c r="D2628" s="4">
        <v>43190</v>
      </c>
      <c r="E2628" t="s">
        <v>1126</v>
      </c>
      <c r="F2628" t="s">
        <v>982</v>
      </c>
      <c r="G2628" t="s">
        <v>12068</v>
      </c>
      <c r="H2628">
        <v>0.02</v>
      </c>
      <c r="I2628">
        <v>3.89</v>
      </c>
      <c r="J2628">
        <v>0.52</v>
      </c>
      <c r="K2628" t="s">
        <v>1652</v>
      </c>
      <c r="L2628">
        <v>33.39</v>
      </c>
      <c r="M2628" t="s">
        <v>1573</v>
      </c>
      <c r="N2628" t="s">
        <v>3991</v>
      </c>
      <c r="O2628" t="s">
        <v>8949</v>
      </c>
      <c r="P2628" t="s">
        <v>9287</v>
      </c>
      <c r="Q2628">
        <v>-74.95</v>
      </c>
      <c r="R2628" t="s">
        <v>2273</v>
      </c>
      <c r="S2628">
        <v>1.3</v>
      </c>
      <c r="T2628">
        <v>36.03</v>
      </c>
      <c r="U2628" t="s">
        <v>932</v>
      </c>
      <c r="V2628" t="s">
        <v>8769</v>
      </c>
      <c r="W2628" t="s">
        <v>6595</v>
      </c>
      <c r="X2628">
        <v>0.52</v>
      </c>
      <c r="Y2628" t="s">
        <v>1344</v>
      </c>
      <c r="Z2628" t="s">
        <v>4286</v>
      </c>
      <c r="AA2628" t="s">
        <v>337</v>
      </c>
      <c r="AB2628">
        <v>2.5299999999999998</v>
      </c>
      <c r="AC2628" t="s">
        <v>5279</v>
      </c>
      <c r="AD2628">
        <v>55.3</v>
      </c>
      <c r="AE2628" t="s">
        <v>1205</v>
      </c>
      <c r="AF2628">
        <v>1.69</v>
      </c>
      <c r="AG2628">
        <v>0</v>
      </c>
      <c r="AH2628">
        <v>0</v>
      </c>
      <c r="AI2628" s="4">
        <v>40477</v>
      </c>
    </row>
    <row r="2629" spans="1:35">
      <c r="A2629">
        <v>2628</v>
      </c>
      <c r="B2629" t="str">
        <f>"002743"</f>
        <v>002743</v>
      </c>
      <c r="C2629" t="s">
        <v>12069</v>
      </c>
      <c r="D2629" s="4">
        <v>43190</v>
      </c>
      <c r="E2629" t="s">
        <v>678</v>
      </c>
      <c r="F2629" t="s">
        <v>1672</v>
      </c>
      <c r="G2629" t="s">
        <v>708</v>
      </c>
      <c r="H2629">
        <v>0.03</v>
      </c>
      <c r="I2629">
        <v>5.92</v>
      </c>
      <c r="J2629">
        <v>0.52</v>
      </c>
      <c r="K2629" t="s">
        <v>2394</v>
      </c>
      <c r="L2629">
        <v>41.57</v>
      </c>
      <c r="M2629" t="s">
        <v>5828</v>
      </c>
      <c r="N2629" t="s">
        <v>9007</v>
      </c>
      <c r="O2629" t="s">
        <v>9160</v>
      </c>
      <c r="P2629" t="s">
        <v>12070</v>
      </c>
      <c r="Q2629">
        <v>46.57</v>
      </c>
      <c r="R2629" t="s">
        <v>922</v>
      </c>
      <c r="S2629">
        <v>1.32</v>
      </c>
      <c r="T2629">
        <v>8.0500000000000007</v>
      </c>
      <c r="U2629" t="s">
        <v>1947</v>
      </c>
      <c r="V2629" t="s">
        <v>1859</v>
      </c>
      <c r="W2629" t="s">
        <v>63</v>
      </c>
      <c r="X2629">
        <v>0.52</v>
      </c>
      <c r="Y2629" t="s">
        <v>2301</v>
      </c>
      <c r="Z2629" t="s">
        <v>356</v>
      </c>
      <c r="AA2629" t="s">
        <v>354</v>
      </c>
      <c r="AB2629">
        <v>1.18</v>
      </c>
      <c r="AC2629" t="s">
        <v>1000</v>
      </c>
      <c r="AD2629">
        <v>33.24</v>
      </c>
      <c r="AE2629" t="s">
        <v>625</v>
      </c>
      <c r="AF2629">
        <v>3.57</v>
      </c>
      <c r="AG2629">
        <v>0</v>
      </c>
      <c r="AH2629">
        <v>0</v>
      </c>
      <c r="AI2629" s="4">
        <v>42052</v>
      </c>
    </row>
    <row r="2630" spans="1:35">
      <c r="A2630">
        <v>2629</v>
      </c>
      <c r="B2630" t="str">
        <f>"002593"</f>
        <v>002593</v>
      </c>
      <c r="C2630" t="s">
        <v>12071</v>
      </c>
      <c r="D2630" s="4">
        <v>43190</v>
      </c>
      <c r="E2630" t="s">
        <v>5415</v>
      </c>
      <c r="F2630" t="s">
        <v>381</v>
      </c>
      <c r="G2630" t="s">
        <v>1381</v>
      </c>
      <c r="H2630">
        <v>0.01</v>
      </c>
      <c r="I2630">
        <v>2.62</v>
      </c>
      <c r="J2630">
        <v>0.52</v>
      </c>
      <c r="K2630" t="s">
        <v>2295</v>
      </c>
      <c r="L2630">
        <v>83.72</v>
      </c>
      <c r="M2630" t="s">
        <v>6186</v>
      </c>
      <c r="N2630" t="s">
        <v>12072</v>
      </c>
      <c r="O2630" t="s">
        <v>12073</v>
      </c>
      <c r="P2630" t="s">
        <v>9014</v>
      </c>
      <c r="Q2630">
        <v>22.14</v>
      </c>
      <c r="R2630" t="s">
        <v>2468</v>
      </c>
      <c r="S2630">
        <v>0.56000000000000005</v>
      </c>
      <c r="T2630">
        <v>13.48</v>
      </c>
      <c r="U2630" t="s">
        <v>1031</v>
      </c>
      <c r="V2630" t="s">
        <v>589</v>
      </c>
      <c r="W2630" t="s">
        <v>1487</v>
      </c>
      <c r="X2630">
        <v>0.52</v>
      </c>
      <c r="Y2630" t="s">
        <v>514</v>
      </c>
      <c r="Z2630" t="s">
        <v>2328</v>
      </c>
      <c r="AA2630" t="s">
        <v>255</v>
      </c>
      <c r="AB2630">
        <v>1.22</v>
      </c>
      <c r="AC2630" t="s">
        <v>980</v>
      </c>
      <c r="AD2630">
        <v>46.02</v>
      </c>
      <c r="AE2630" t="s">
        <v>2194</v>
      </c>
      <c r="AF2630">
        <v>1.05</v>
      </c>
      <c r="AG2630">
        <v>0</v>
      </c>
      <c r="AH2630">
        <v>0</v>
      </c>
      <c r="AI2630" s="4">
        <v>40722</v>
      </c>
    </row>
    <row r="2631" spans="1:35">
      <c r="A2631">
        <v>2630</v>
      </c>
      <c r="B2631" t="str">
        <f>"002453"</f>
        <v>002453</v>
      </c>
      <c r="C2631" t="s">
        <v>12074</v>
      </c>
      <c r="D2631" s="4">
        <v>43190</v>
      </c>
      <c r="E2631" t="s">
        <v>2490</v>
      </c>
      <c r="F2631" t="s">
        <v>2413</v>
      </c>
      <c r="G2631" t="s">
        <v>630</v>
      </c>
      <c r="H2631">
        <v>0.01</v>
      </c>
      <c r="I2631">
        <v>1.54</v>
      </c>
      <c r="J2631">
        <v>0.52</v>
      </c>
      <c r="K2631" t="s">
        <v>2142</v>
      </c>
      <c r="L2631">
        <v>8.32</v>
      </c>
      <c r="M2631" t="s">
        <v>4949</v>
      </c>
      <c r="N2631" t="s">
        <v>1422</v>
      </c>
      <c r="O2631" t="s">
        <v>5003</v>
      </c>
      <c r="P2631" t="s">
        <v>11252</v>
      </c>
      <c r="Q2631">
        <v>162.27000000000001</v>
      </c>
      <c r="R2631" t="s">
        <v>12075</v>
      </c>
      <c r="S2631">
        <v>-0.11</v>
      </c>
      <c r="T2631">
        <v>24.42</v>
      </c>
      <c r="U2631" t="s">
        <v>1029</v>
      </c>
      <c r="V2631" t="s">
        <v>894</v>
      </c>
      <c r="W2631" t="s">
        <v>647</v>
      </c>
      <c r="X2631">
        <v>0.52</v>
      </c>
      <c r="Y2631" t="s">
        <v>350</v>
      </c>
      <c r="Z2631" t="s">
        <v>124</v>
      </c>
      <c r="AA2631" t="s">
        <v>10925</v>
      </c>
      <c r="AB2631">
        <v>3.7</v>
      </c>
      <c r="AC2631" t="s">
        <v>1852</v>
      </c>
      <c r="AD2631">
        <v>38.229999999999997</v>
      </c>
      <c r="AE2631" t="s">
        <v>1074</v>
      </c>
      <c r="AF2631">
        <v>0.6</v>
      </c>
      <c r="AG2631">
        <v>0</v>
      </c>
      <c r="AH2631">
        <v>0</v>
      </c>
      <c r="AI2631" s="4">
        <v>40379</v>
      </c>
    </row>
    <row r="2632" spans="1:35">
      <c r="A2632">
        <v>2631</v>
      </c>
      <c r="B2632" t="str">
        <f>"000976"</f>
        <v>000976</v>
      </c>
      <c r="C2632" t="s">
        <v>12076</v>
      </c>
      <c r="D2632" s="4">
        <v>43190</v>
      </c>
      <c r="E2632" t="s">
        <v>847</v>
      </c>
      <c r="F2632" t="s">
        <v>2647</v>
      </c>
      <c r="G2632" t="s">
        <v>522</v>
      </c>
      <c r="H2632">
        <v>0.01</v>
      </c>
      <c r="I2632">
        <v>2.58</v>
      </c>
      <c r="J2632">
        <v>0.52</v>
      </c>
      <c r="K2632" t="s">
        <v>844</v>
      </c>
      <c r="L2632">
        <v>-41.67</v>
      </c>
      <c r="M2632" t="s">
        <v>10530</v>
      </c>
      <c r="N2632" t="s">
        <v>12077</v>
      </c>
      <c r="O2632" t="s">
        <v>10530</v>
      </c>
      <c r="P2632" t="s">
        <v>5257</v>
      </c>
      <c r="Q2632">
        <v>25.05</v>
      </c>
      <c r="R2632" t="s">
        <v>7733</v>
      </c>
      <c r="S2632">
        <v>-0.15</v>
      </c>
      <c r="T2632">
        <v>29.73</v>
      </c>
      <c r="U2632" t="s">
        <v>3605</v>
      </c>
      <c r="V2632" t="s">
        <v>251</v>
      </c>
      <c r="W2632" t="s">
        <v>368</v>
      </c>
      <c r="X2632">
        <v>0.52</v>
      </c>
      <c r="Y2632" t="s">
        <v>4009</v>
      </c>
      <c r="Z2632" t="s">
        <v>2358</v>
      </c>
      <c r="AA2632" t="s">
        <v>3942</v>
      </c>
      <c r="AB2632">
        <v>2.99</v>
      </c>
      <c r="AC2632" t="s">
        <v>1677</v>
      </c>
      <c r="AD2632">
        <v>83.67</v>
      </c>
      <c r="AE2632" t="s">
        <v>2100</v>
      </c>
      <c r="AF2632">
        <v>1.68</v>
      </c>
      <c r="AG2632">
        <v>0</v>
      </c>
      <c r="AH2632">
        <v>0</v>
      </c>
      <c r="AI2632" s="4">
        <v>36678</v>
      </c>
    </row>
    <row r="2633" spans="1:35">
      <c r="A2633">
        <v>2632</v>
      </c>
      <c r="B2633" t="str">
        <f>"600235"</f>
        <v>600235</v>
      </c>
      <c r="C2633" t="s">
        <v>12078</v>
      </c>
      <c r="D2633" s="4">
        <v>43190</v>
      </c>
      <c r="E2633" t="s">
        <v>1712</v>
      </c>
      <c r="F2633" t="s">
        <v>1712</v>
      </c>
      <c r="G2633" t="s">
        <v>2234</v>
      </c>
      <c r="H2633">
        <v>0.02</v>
      </c>
      <c r="I2633">
        <v>3.65</v>
      </c>
      <c r="J2633">
        <v>0.52</v>
      </c>
      <c r="K2633" t="s">
        <v>2665</v>
      </c>
      <c r="L2633">
        <v>-2.85</v>
      </c>
      <c r="M2633" t="s">
        <v>12079</v>
      </c>
      <c r="N2633" t="s">
        <v>12080</v>
      </c>
      <c r="O2633" t="s">
        <v>7523</v>
      </c>
      <c r="P2633" t="s">
        <v>5440</v>
      </c>
      <c r="Q2633">
        <v>-7.5</v>
      </c>
      <c r="R2633" t="s">
        <v>3047</v>
      </c>
      <c r="S2633">
        <v>0.09</v>
      </c>
      <c r="T2633">
        <v>18.03</v>
      </c>
      <c r="U2633" t="s">
        <v>2753</v>
      </c>
      <c r="V2633" t="s">
        <v>361</v>
      </c>
      <c r="W2633" t="s">
        <v>978</v>
      </c>
      <c r="X2633">
        <v>0.52</v>
      </c>
      <c r="Y2633" t="s">
        <v>125</v>
      </c>
      <c r="Z2633" t="s">
        <v>1802</v>
      </c>
      <c r="AA2633" t="s">
        <v>5871</v>
      </c>
      <c r="AB2633">
        <v>1.27</v>
      </c>
      <c r="AC2633" t="s">
        <v>101</v>
      </c>
      <c r="AD2633">
        <v>59.2</v>
      </c>
      <c r="AE2633" t="s">
        <v>4796</v>
      </c>
      <c r="AF2633">
        <v>2.36</v>
      </c>
      <c r="AG2633">
        <v>0</v>
      </c>
      <c r="AH2633">
        <v>0</v>
      </c>
      <c r="AI2633" s="4">
        <v>36692</v>
      </c>
    </row>
    <row r="2634" spans="1:35">
      <c r="A2634">
        <v>2633</v>
      </c>
      <c r="B2634" t="str">
        <f>"600969"</f>
        <v>600969</v>
      </c>
      <c r="C2634" t="s">
        <v>12081</v>
      </c>
      <c r="D2634" s="4">
        <v>43190</v>
      </c>
      <c r="E2634" t="s">
        <v>1324</v>
      </c>
      <c r="F2634" t="s">
        <v>1324</v>
      </c>
      <c r="G2634" t="s">
        <v>1122</v>
      </c>
      <c r="H2634">
        <v>0.05</v>
      </c>
      <c r="I2634">
        <v>9.24</v>
      </c>
      <c r="J2634">
        <v>0.51</v>
      </c>
      <c r="K2634" t="s">
        <v>741</v>
      </c>
      <c r="L2634">
        <v>18.18</v>
      </c>
      <c r="M2634" t="s">
        <v>12082</v>
      </c>
      <c r="N2634" t="s">
        <v>4880</v>
      </c>
      <c r="O2634" t="s">
        <v>12083</v>
      </c>
      <c r="P2634" t="s">
        <v>3403</v>
      </c>
      <c r="Q2634">
        <v>16.78</v>
      </c>
      <c r="R2634" t="s">
        <v>4427</v>
      </c>
      <c r="S2634">
        <v>1.38</v>
      </c>
      <c r="T2634">
        <v>13.19</v>
      </c>
      <c r="U2634" t="s">
        <v>311</v>
      </c>
      <c r="V2634" t="s">
        <v>230</v>
      </c>
      <c r="W2634" t="s">
        <v>2447</v>
      </c>
      <c r="X2634">
        <v>0.51</v>
      </c>
      <c r="Y2634" t="s">
        <v>5693</v>
      </c>
      <c r="Z2634" t="s">
        <v>50</v>
      </c>
      <c r="AA2634" t="s">
        <v>9176</v>
      </c>
      <c r="AB2634">
        <v>0.66</v>
      </c>
      <c r="AC2634" t="s">
        <v>457</v>
      </c>
      <c r="AD2634">
        <v>26.84</v>
      </c>
      <c r="AE2634" t="s">
        <v>710</v>
      </c>
      <c r="AF2634">
        <v>6.66</v>
      </c>
      <c r="AG2634">
        <v>0</v>
      </c>
      <c r="AH2634">
        <v>0</v>
      </c>
      <c r="AI2634" s="4">
        <v>38085</v>
      </c>
    </row>
    <row r="2635" spans="1:35">
      <c r="A2635">
        <v>2634</v>
      </c>
      <c r="B2635" t="str">
        <f>"600523"</f>
        <v>600523</v>
      </c>
      <c r="C2635" t="s">
        <v>12084</v>
      </c>
      <c r="D2635" s="4">
        <v>43190</v>
      </c>
      <c r="E2635" t="s">
        <v>78</v>
      </c>
      <c r="F2635" t="s">
        <v>78</v>
      </c>
      <c r="G2635" t="s">
        <v>70</v>
      </c>
      <c r="H2635">
        <v>0.03</v>
      </c>
      <c r="I2635">
        <v>5.43</v>
      </c>
      <c r="J2635">
        <v>0.51</v>
      </c>
      <c r="K2635" t="s">
        <v>675</v>
      </c>
      <c r="L2635">
        <v>-26.62</v>
      </c>
      <c r="M2635" t="s">
        <v>11220</v>
      </c>
      <c r="N2635" t="s">
        <v>12085</v>
      </c>
      <c r="O2635" t="s">
        <v>10250</v>
      </c>
      <c r="P2635" t="s">
        <v>9481</v>
      </c>
      <c r="Q2635">
        <v>-65.25</v>
      </c>
      <c r="R2635" t="s">
        <v>1868</v>
      </c>
      <c r="S2635">
        <v>1.85</v>
      </c>
      <c r="T2635">
        <v>21.61</v>
      </c>
      <c r="U2635" t="s">
        <v>431</v>
      </c>
      <c r="V2635" t="s">
        <v>1348</v>
      </c>
      <c r="W2635" t="s">
        <v>1714</v>
      </c>
      <c r="X2635">
        <v>0.51</v>
      </c>
      <c r="Y2635" t="s">
        <v>295</v>
      </c>
      <c r="Z2635" t="s">
        <v>521</v>
      </c>
      <c r="AA2635" t="s">
        <v>9487</v>
      </c>
      <c r="AB2635">
        <v>1.53</v>
      </c>
      <c r="AC2635" t="s">
        <v>565</v>
      </c>
      <c r="AD2635">
        <v>63.49</v>
      </c>
      <c r="AE2635" t="s">
        <v>6052</v>
      </c>
      <c r="AF2635">
        <v>2.0299999999999998</v>
      </c>
      <c r="AG2635">
        <v>0</v>
      </c>
      <c r="AH2635">
        <v>0</v>
      </c>
      <c r="AI2635" s="4">
        <v>37252</v>
      </c>
    </row>
    <row r="2636" spans="1:35">
      <c r="A2636">
        <v>2635</v>
      </c>
      <c r="B2636" t="str">
        <f>"600266"</f>
        <v>600266</v>
      </c>
      <c r="C2636" t="s">
        <v>12086</v>
      </c>
      <c r="D2636" s="4">
        <v>43190</v>
      </c>
      <c r="E2636" t="s">
        <v>848</v>
      </c>
      <c r="F2636" t="s">
        <v>848</v>
      </c>
      <c r="G2636" t="s">
        <v>1838</v>
      </c>
      <c r="H2636">
        <v>7.0000000000000007E-2</v>
      </c>
      <c r="I2636">
        <v>12.32</v>
      </c>
      <c r="J2636">
        <v>0.51</v>
      </c>
      <c r="K2636" t="s">
        <v>833</v>
      </c>
      <c r="L2636">
        <v>-31.79</v>
      </c>
      <c r="M2636" t="s">
        <v>610</v>
      </c>
      <c r="N2636" t="s">
        <v>3504</v>
      </c>
      <c r="O2636" t="s">
        <v>863</v>
      </c>
      <c r="P2636" t="s">
        <v>1627</v>
      </c>
      <c r="Q2636">
        <v>11.24</v>
      </c>
      <c r="R2636" t="s">
        <v>7584</v>
      </c>
      <c r="S2636">
        <v>5.86</v>
      </c>
      <c r="T2636">
        <v>37.72</v>
      </c>
      <c r="U2636" t="s">
        <v>12087</v>
      </c>
      <c r="V2636" t="s">
        <v>12088</v>
      </c>
      <c r="W2636" t="s">
        <v>1366</v>
      </c>
      <c r="X2636">
        <v>0.51</v>
      </c>
      <c r="Y2636" t="s">
        <v>3036</v>
      </c>
      <c r="Z2636" t="s">
        <v>4542</v>
      </c>
      <c r="AA2636" t="s">
        <v>4725</v>
      </c>
      <c r="AB2636">
        <v>0.76</v>
      </c>
      <c r="AC2636" t="s">
        <v>718</v>
      </c>
      <c r="AD2636">
        <v>20.87</v>
      </c>
      <c r="AE2636" t="s">
        <v>949</v>
      </c>
      <c r="AF2636">
        <v>2.42</v>
      </c>
      <c r="AG2636">
        <v>0</v>
      </c>
      <c r="AH2636">
        <v>0</v>
      </c>
      <c r="AI2636" s="4">
        <v>36194</v>
      </c>
    </row>
    <row r="2637" spans="1:35">
      <c r="A2637">
        <v>2636</v>
      </c>
      <c r="B2637" t="str">
        <f>"300318"</f>
        <v>300318</v>
      </c>
      <c r="C2637" t="s">
        <v>12089</v>
      </c>
      <c r="D2637" s="4">
        <v>43190</v>
      </c>
      <c r="E2637" t="s">
        <v>605</v>
      </c>
      <c r="F2637" t="s">
        <v>3324</v>
      </c>
      <c r="G2637" t="s">
        <v>4573</v>
      </c>
      <c r="H2637">
        <v>0.01</v>
      </c>
      <c r="I2637">
        <v>1.34</v>
      </c>
      <c r="J2637">
        <v>0.51</v>
      </c>
      <c r="K2637" t="s">
        <v>1038</v>
      </c>
      <c r="L2637">
        <v>54.02</v>
      </c>
      <c r="M2637" t="s">
        <v>11010</v>
      </c>
      <c r="N2637" t="s">
        <v>2807</v>
      </c>
      <c r="O2637" t="s">
        <v>2899</v>
      </c>
      <c r="P2637" t="s">
        <v>11935</v>
      </c>
      <c r="Q2637">
        <v>439.86</v>
      </c>
      <c r="R2637" t="s">
        <v>535</v>
      </c>
      <c r="S2637">
        <v>0.36</v>
      </c>
      <c r="T2637">
        <v>50.52</v>
      </c>
      <c r="U2637" t="s">
        <v>223</v>
      </c>
      <c r="V2637" t="s">
        <v>285</v>
      </c>
      <c r="W2637" t="s">
        <v>155</v>
      </c>
      <c r="X2637">
        <v>0.51</v>
      </c>
      <c r="Y2637" t="s">
        <v>300</v>
      </c>
      <c r="Z2637" t="s">
        <v>602</v>
      </c>
      <c r="AA2637" t="s">
        <v>610</v>
      </c>
      <c r="AB2637">
        <v>3.52</v>
      </c>
      <c r="AC2637" t="s">
        <v>602</v>
      </c>
      <c r="AD2637">
        <v>45.42</v>
      </c>
      <c r="AE2637" t="s">
        <v>536</v>
      </c>
      <c r="AF2637">
        <v>0</v>
      </c>
      <c r="AG2637">
        <v>0</v>
      </c>
      <c r="AH2637">
        <v>0</v>
      </c>
      <c r="AI2637" s="4">
        <v>41052</v>
      </c>
    </row>
    <row r="2638" spans="1:35">
      <c r="A2638">
        <v>2637</v>
      </c>
      <c r="B2638" t="str">
        <f>"300263"</f>
        <v>300263</v>
      </c>
      <c r="C2638" t="s">
        <v>12090</v>
      </c>
      <c r="D2638" s="4">
        <v>43190</v>
      </c>
      <c r="E2638" t="s">
        <v>1852</v>
      </c>
      <c r="F2638" t="s">
        <v>1037</v>
      </c>
      <c r="G2638" t="s">
        <v>1448</v>
      </c>
      <c r="H2638">
        <v>0.01</v>
      </c>
      <c r="I2638">
        <v>2.78</v>
      </c>
      <c r="J2638">
        <v>0.51</v>
      </c>
      <c r="K2638" t="s">
        <v>262</v>
      </c>
      <c r="L2638">
        <v>19.14</v>
      </c>
      <c r="M2638" t="s">
        <v>12091</v>
      </c>
      <c r="N2638" t="s">
        <v>621</v>
      </c>
      <c r="O2638" t="s">
        <v>8709</v>
      </c>
      <c r="P2638" t="s">
        <v>12092</v>
      </c>
      <c r="Q2638">
        <v>30.55</v>
      </c>
      <c r="R2638" t="s">
        <v>174</v>
      </c>
      <c r="S2638">
        <v>0.6</v>
      </c>
      <c r="T2638">
        <v>26.82</v>
      </c>
      <c r="U2638" t="s">
        <v>1397</v>
      </c>
      <c r="V2638" t="s">
        <v>1752</v>
      </c>
      <c r="W2638" t="s">
        <v>1968</v>
      </c>
      <c r="X2638">
        <v>0.51</v>
      </c>
      <c r="Y2638" t="s">
        <v>919</v>
      </c>
      <c r="Z2638" t="s">
        <v>4953</v>
      </c>
      <c r="AA2638" t="s">
        <v>12093</v>
      </c>
      <c r="AB2638">
        <v>1.9</v>
      </c>
      <c r="AC2638" t="s">
        <v>1516</v>
      </c>
      <c r="AD2638">
        <v>67.569999999999993</v>
      </c>
      <c r="AE2638" t="s">
        <v>1368</v>
      </c>
      <c r="AF2638">
        <v>1.1200000000000001</v>
      </c>
      <c r="AG2638">
        <v>0</v>
      </c>
      <c r="AH2638">
        <v>0</v>
      </c>
      <c r="AI2638" s="4">
        <v>40802</v>
      </c>
    </row>
    <row r="2639" spans="1:35">
      <c r="A2639">
        <v>2638</v>
      </c>
      <c r="B2639" t="str">
        <f>"002321"</f>
        <v>002321</v>
      </c>
      <c r="C2639" t="s">
        <v>12094</v>
      </c>
      <c r="D2639" s="4">
        <v>43190</v>
      </c>
      <c r="E2639" t="s">
        <v>289</v>
      </c>
      <c r="F2639" t="s">
        <v>806</v>
      </c>
      <c r="G2639">
        <v>8843</v>
      </c>
      <c r="H2639">
        <v>0.02</v>
      </c>
      <c r="I2639">
        <v>4.68</v>
      </c>
      <c r="J2639">
        <v>0.51</v>
      </c>
      <c r="K2639" t="s">
        <v>973</v>
      </c>
      <c r="L2639">
        <v>65.63</v>
      </c>
      <c r="M2639" t="s">
        <v>11884</v>
      </c>
      <c r="N2639" t="s">
        <v>12095</v>
      </c>
      <c r="O2639" t="s">
        <v>12096</v>
      </c>
      <c r="P2639" t="s">
        <v>7743</v>
      </c>
      <c r="Q2639">
        <v>45.9</v>
      </c>
      <c r="R2639" t="s">
        <v>205</v>
      </c>
      <c r="S2639">
        <v>0.55000000000000004</v>
      </c>
      <c r="T2639">
        <v>11.18</v>
      </c>
      <c r="U2639" t="s">
        <v>9300</v>
      </c>
      <c r="V2639" t="s">
        <v>1532</v>
      </c>
      <c r="W2639" t="s">
        <v>1752</v>
      </c>
      <c r="X2639">
        <v>0.51</v>
      </c>
      <c r="Y2639" t="s">
        <v>5850</v>
      </c>
      <c r="Z2639" t="s">
        <v>830</v>
      </c>
      <c r="AA2639" t="s">
        <v>3632</v>
      </c>
      <c r="AB2639">
        <v>1.28</v>
      </c>
      <c r="AC2639" t="s">
        <v>981</v>
      </c>
      <c r="AD2639">
        <v>30.9</v>
      </c>
      <c r="AE2639" t="s">
        <v>50</v>
      </c>
      <c r="AF2639">
        <v>3.02</v>
      </c>
      <c r="AG2639">
        <v>0</v>
      </c>
      <c r="AH2639">
        <v>0</v>
      </c>
      <c r="AI2639" s="4">
        <v>40163</v>
      </c>
    </row>
    <row r="2640" spans="1:35">
      <c r="A2640">
        <v>2639</v>
      </c>
      <c r="B2640" t="str">
        <f>"002315"</f>
        <v>002315</v>
      </c>
      <c r="C2640" t="s">
        <v>12097</v>
      </c>
      <c r="D2640" s="4">
        <v>43190</v>
      </c>
      <c r="E2640" t="s">
        <v>1999</v>
      </c>
      <c r="F2640" t="s">
        <v>322</v>
      </c>
      <c r="G2640">
        <v>5307</v>
      </c>
      <c r="H2640">
        <v>0.04</v>
      </c>
      <c r="I2640">
        <v>7.48</v>
      </c>
      <c r="J2640">
        <v>0.51</v>
      </c>
      <c r="K2640" t="s">
        <v>200</v>
      </c>
      <c r="L2640">
        <v>-9.7899999999999991</v>
      </c>
      <c r="M2640" t="s">
        <v>7100</v>
      </c>
      <c r="N2640" t="s">
        <v>9794</v>
      </c>
      <c r="O2640" t="s">
        <v>8469</v>
      </c>
      <c r="P2640" t="s">
        <v>10327</v>
      </c>
      <c r="Q2640">
        <v>-14.65</v>
      </c>
      <c r="R2640" t="s">
        <v>138</v>
      </c>
      <c r="S2640">
        <v>1.0900000000000001</v>
      </c>
      <c r="T2640">
        <v>69.45</v>
      </c>
      <c r="U2640" t="s">
        <v>1294</v>
      </c>
      <c r="V2640" t="s">
        <v>747</v>
      </c>
      <c r="W2640" t="s">
        <v>12098</v>
      </c>
      <c r="X2640">
        <v>0.51</v>
      </c>
      <c r="Y2640" t="s">
        <v>633</v>
      </c>
      <c r="Z2640" t="s">
        <v>97</v>
      </c>
      <c r="AA2640" t="s">
        <v>2161</v>
      </c>
      <c r="AB2640">
        <v>1.88</v>
      </c>
      <c r="AC2640" t="s">
        <v>187</v>
      </c>
      <c r="AD2640">
        <v>75.2</v>
      </c>
      <c r="AE2640" t="s">
        <v>699</v>
      </c>
      <c r="AF2640">
        <v>4.6100000000000003</v>
      </c>
      <c r="AG2640">
        <v>0</v>
      </c>
      <c r="AH2640">
        <v>0</v>
      </c>
      <c r="AI2640" s="4">
        <v>40156</v>
      </c>
    </row>
    <row r="2641" spans="1:35">
      <c r="A2641">
        <v>2640</v>
      </c>
      <c r="B2641" t="str">
        <f>"000923"</f>
        <v>000923</v>
      </c>
      <c r="C2641" t="s">
        <v>12099</v>
      </c>
      <c r="D2641" s="4">
        <v>43190</v>
      </c>
      <c r="E2641" t="s">
        <v>504</v>
      </c>
      <c r="F2641" t="s">
        <v>148</v>
      </c>
      <c r="G2641">
        <v>5658</v>
      </c>
      <c r="H2641">
        <v>0.05</v>
      </c>
      <c r="I2641">
        <v>10.06</v>
      </c>
      <c r="J2641">
        <v>0.51</v>
      </c>
      <c r="K2641" t="s">
        <v>354</v>
      </c>
      <c r="L2641">
        <v>-11.25</v>
      </c>
      <c r="M2641" t="s">
        <v>12100</v>
      </c>
      <c r="N2641" t="s">
        <v>4793</v>
      </c>
      <c r="O2641" t="s">
        <v>12101</v>
      </c>
      <c r="P2641" t="s">
        <v>12102</v>
      </c>
      <c r="Q2641">
        <v>-80.67</v>
      </c>
      <c r="R2641" t="s">
        <v>162</v>
      </c>
      <c r="S2641">
        <v>2.1800000000000002</v>
      </c>
      <c r="T2641">
        <v>59.71</v>
      </c>
      <c r="U2641" t="s">
        <v>413</v>
      </c>
      <c r="V2641" t="s">
        <v>8378</v>
      </c>
      <c r="W2641" t="s">
        <v>1223</v>
      </c>
      <c r="X2641">
        <v>0.51</v>
      </c>
      <c r="Y2641" t="s">
        <v>3886</v>
      </c>
      <c r="Z2641" t="s">
        <v>2542</v>
      </c>
      <c r="AA2641" t="s">
        <v>2753</v>
      </c>
      <c r="AB2641">
        <v>1.3</v>
      </c>
      <c r="AC2641" t="s">
        <v>7234</v>
      </c>
      <c r="AD2641">
        <v>48.34</v>
      </c>
      <c r="AE2641" t="s">
        <v>2106</v>
      </c>
      <c r="AF2641">
        <v>7.29</v>
      </c>
      <c r="AG2641">
        <v>0</v>
      </c>
      <c r="AH2641">
        <v>0</v>
      </c>
      <c r="AI2641" s="4">
        <v>36355</v>
      </c>
    </row>
    <row r="2642" spans="1:35">
      <c r="A2642">
        <v>2641</v>
      </c>
      <c r="B2642" t="str">
        <f>"000570"</f>
        <v>000570</v>
      </c>
      <c r="C2642" t="s">
        <v>12103</v>
      </c>
      <c r="D2642" s="4">
        <v>43190</v>
      </c>
      <c r="E2642" t="s">
        <v>1685</v>
      </c>
      <c r="F2642" t="s">
        <v>3027</v>
      </c>
      <c r="G2642">
        <v>0</v>
      </c>
      <c r="H2642">
        <v>0.02</v>
      </c>
      <c r="I2642">
        <v>3.93</v>
      </c>
      <c r="J2642">
        <v>0.51</v>
      </c>
      <c r="K2642" t="s">
        <v>456</v>
      </c>
      <c r="L2642">
        <v>-18</v>
      </c>
      <c r="M2642" t="s">
        <v>8265</v>
      </c>
      <c r="N2642" t="s">
        <v>12104</v>
      </c>
      <c r="O2642" t="s">
        <v>11577</v>
      </c>
      <c r="P2642" t="s">
        <v>170</v>
      </c>
      <c r="Q2642">
        <v>-67.58</v>
      </c>
      <c r="R2642" t="s">
        <v>2510</v>
      </c>
      <c r="S2642">
        <v>1.2</v>
      </c>
      <c r="T2642">
        <v>13.23</v>
      </c>
      <c r="U2642" t="s">
        <v>2871</v>
      </c>
      <c r="V2642" t="s">
        <v>2753</v>
      </c>
      <c r="W2642" t="s">
        <v>318</v>
      </c>
      <c r="X2642">
        <v>0.51</v>
      </c>
      <c r="Y2642" t="s">
        <v>584</v>
      </c>
      <c r="Z2642" t="s">
        <v>101</v>
      </c>
      <c r="AA2642" t="s">
        <v>290</v>
      </c>
      <c r="AB2642">
        <v>1.03</v>
      </c>
      <c r="AC2642" t="s">
        <v>728</v>
      </c>
      <c r="AD2642">
        <v>59.98</v>
      </c>
      <c r="AE2642" t="s">
        <v>2031</v>
      </c>
      <c r="AF2642">
        <v>0.28999999999999998</v>
      </c>
      <c r="AG2642" t="s">
        <v>609</v>
      </c>
      <c r="AH2642">
        <v>0</v>
      </c>
      <c r="AI2642" s="4">
        <v>34516</v>
      </c>
    </row>
    <row r="2643" spans="1:35">
      <c r="A2643">
        <v>2642</v>
      </c>
      <c r="B2643" t="str">
        <f>"603690"</f>
        <v>603690</v>
      </c>
      <c r="C2643" t="s">
        <v>12105</v>
      </c>
      <c r="D2643" s="4">
        <v>43190</v>
      </c>
      <c r="E2643" t="s">
        <v>118</v>
      </c>
      <c r="F2643" t="s">
        <v>9530</v>
      </c>
      <c r="G2643">
        <v>4600</v>
      </c>
      <c r="H2643">
        <v>0.01</v>
      </c>
      <c r="I2643">
        <v>1.95</v>
      </c>
      <c r="J2643">
        <v>0.5</v>
      </c>
      <c r="K2643" t="s">
        <v>12106</v>
      </c>
      <c r="L2643">
        <v>49.58</v>
      </c>
      <c r="M2643" t="s">
        <v>1727</v>
      </c>
      <c r="N2643" t="s">
        <v>8412</v>
      </c>
      <c r="O2643" t="s">
        <v>3722</v>
      </c>
      <c r="P2643" t="s">
        <v>11824</v>
      </c>
      <c r="Q2643">
        <v>-71.36</v>
      </c>
      <c r="R2643" t="s">
        <v>2034</v>
      </c>
      <c r="S2643">
        <v>0.72</v>
      </c>
      <c r="T2643">
        <v>32.15</v>
      </c>
      <c r="U2643" t="s">
        <v>699</v>
      </c>
      <c r="V2643" t="s">
        <v>4397</v>
      </c>
      <c r="W2643" t="s">
        <v>322</v>
      </c>
      <c r="X2643">
        <v>0.5</v>
      </c>
      <c r="Y2643" t="s">
        <v>2110</v>
      </c>
      <c r="Z2643" t="s">
        <v>941</v>
      </c>
      <c r="AA2643" t="s">
        <v>4845</v>
      </c>
      <c r="AB2643">
        <v>9.39</v>
      </c>
      <c r="AC2643" t="s">
        <v>623</v>
      </c>
      <c r="AD2643">
        <v>37.99</v>
      </c>
      <c r="AE2643" t="s">
        <v>12107</v>
      </c>
      <c r="AF2643">
        <v>0.25</v>
      </c>
      <c r="AG2643">
        <v>0</v>
      </c>
      <c r="AH2643">
        <v>0</v>
      </c>
      <c r="AI2643" s="4">
        <v>42748</v>
      </c>
    </row>
    <row r="2644" spans="1:35">
      <c r="A2644">
        <v>2643</v>
      </c>
      <c r="B2644" t="str">
        <f>"601958"</f>
        <v>601958</v>
      </c>
      <c r="C2644" t="s">
        <v>12108</v>
      </c>
      <c r="D2644" s="4">
        <v>43190</v>
      </c>
      <c r="E2644" t="s">
        <v>236</v>
      </c>
      <c r="F2644" t="s">
        <v>236</v>
      </c>
      <c r="G2644" t="s">
        <v>8496</v>
      </c>
      <c r="H2644">
        <v>0.02</v>
      </c>
      <c r="I2644">
        <v>3.98</v>
      </c>
      <c r="J2644">
        <v>0.5</v>
      </c>
      <c r="K2644" t="s">
        <v>691</v>
      </c>
      <c r="L2644">
        <v>-24.29</v>
      </c>
      <c r="M2644" t="s">
        <v>12109</v>
      </c>
      <c r="N2644" t="s">
        <v>8038</v>
      </c>
      <c r="O2644" t="s">
        <v>12110</v>
      </c>
      <c r="P2644" t="s">
        <v>1876</v>
      </c>
      <c r="Q2644">
        <v>1327.81</v>
      </c>
      <c r="R2644" t="s">
        <v>119</v>
      </c>
      <c r="S2644">
        <v>0.62</v>
      </c>
      <c r="T2644">
        <v>14.44</v>
      </c>
      <c r="U2644" t="s">
        <v>3129</v>
      </c>
      <c r="V2644" t="s">
        <v>4683</v>
      </c>
      <c r="W2644" t="s">
        <v>1660</v>
      </c>
      <c r="X2644">
        <v>0.5</v>
      </c>
      <c r="Y2644" t="s">
        <v>589</v>
      </c>
      <c r="Z2644" t="s">
        <v>264</v>
      </c>
      <c r="AA2644" t="s">
        <v>115</v>
      </c>
      <c r="AB2644">
        <v>1.5</v>
      </c>
      <c r="AC2644" t="s">
        <v>311</v>
      </c>
      <c r="AD2644">
        <v>80.209999999999994</v>
      </c>
      <c r="AE2644" t="s">
        <v>467</v>
      </c>
      <c r="AF2644">
        <v>2.09</v>
      </c>
      <c r="AG2644">
        <v>0</v>
      </c>
      <c r="AH2644">
        <v>0</v>
      </c>
      <c r="AI2644" s="4">
        <v>39555</v>
      </c>
    </row>
    <row r="2645" spans="1:35">
      <c r="A2645">
        <v>2644</v>
      </c>
      <c r="B2645" t="str">
        <f>"600812"</f>
        <v>600812</v>
      </c>
      <c r="C2645" t="s">
        <v>12111</v>
      </c>
      <c r="D2645" s="4">
        <v>43190</v>
      </c>
      <c r="E2645" t="s">
        <v>1244</v>
      </c>
      <c r="F2645" t="s">
        <v>1244</v>
      </c>
      <c r="G2645" t="s">
        <v>987</v>
      </c>
      <c r="H2645">
        <v>0.02</v>
      </c>
      <c r="I2645">
        <v>3.27</v>
      </c>
      <c r="J2645">
        <v>0.5</v>
      </c>
      <c r="K2645" t="s">
        <v>1516</v>
      </c>
      <c r="L2645">
        <v>13.94</v>
      </c>
      <c r="M2645" t="s">
        <v>4226</v>
      </c>
      <c r="N2645" t="s">
        <v>8126</v>
      </c>
      <c r="O2645" t="s">
        <v>8553</v>
      </c>
      <c r="P2645" t="s">
        <v>12112</v>
      </c>
      <c r="Q2645">
        <v>96.02</v>
      </c>
      <c r="R2645" t="s">
        <v>12113</v>
      </c>
      <c r="S2645">
        <v>0</v>
      </c>
      <c r="T2645">
        <v>35.74</v>
      </c>
      <c r="U2645" t="s">
        <v>2545</v>
      </c>
      <c r="V2645" t="s">
        <v>2186</v>
      </c>
      <c r="W2645" t="s">
        <v>6751</v>
      </c>
      <c r="X2645">
        <v>0.5</v>
      </c>
      <c r="Y2645" t="s">
        <v>399</v>
      </c>
      <c r="Z2645" t="s">
        <v>10899</v>
      </c>
      <c r="AA2645" t="s">
        <v>570</v>
      </c>
      <c r="AB2645">
        <v>1.25</v>
      </c>
      <c r="AC2645" t="s">
        <v>739</v>
      </c>
      <c r="AD2645">
        <v>31.05</v>
      </c>
      <c r="AE2645" t="s">
        <v>312</v>
      </c>
      <c r="AF2645">
        <v>2.13</v>
      </c>
      <c r="AG2645">
        <v>0</v>
      </c>
      <c r="AH2645">
        <v>0</v>
      </c>
      <c r="AI2645" s="4">
        <v>34348</v>
      </c>
    </row>
    <row r="2646" spans="1:35">
      <c r="A2646">
        <v>2645</v>
      </c>
      <c r="B2646" t="str">
        <f>"300521"</f>
        <v>300521</v>
      </c>
      <c r="C2646" t="s">
        <v>12114</v>
      </c>
      <c r="D2646" s="4">
        <v>43190</v>
      </c>
      <c r="E2646" t="s">
        <v>1016</v>
      </c>
      <c r="F2646" t="s">
        <v>12115</v>
      </c>
      <c r="G2646">
        <v>7471</v>
      </c>
      <c r="H2646">
        <v>0.02</v>
      </c>
      <c r="I2646">
        <v>3.4</v>
      </c>
      <c r="J2646">
        <v>0.5</v>
      </c>
      <c r="K2646" t="s">
        <v>12116</v>
      </c>
      <c r="L2646">
        <v>-9.23</v>
      </c>
      <c r="M2646" t="s">
        <v>12117</v>
      </c>
      <c r="N2646" t="s">
        <v>281</v>
      </c>
      <c r="O2646" t="s">
        <v>12117</v>
      </c>
      <c r="P2646" t="s">
        <v>621</v>
      </c>
      <c r="Q2646">
        <v>-60.46</v>
      </c>
      <c r="R2646" t="s">
        <v>3332</v>
      </c>
      <c r="S2646">
        <v>1.3</v>
      </c>
      <c r="T2646">
        <v>50.03</v>
      </c>
      <c r="U2646" t="s">
        <v>1438</v>
      </c>
      <c r="V2646" t="s">
        <v>2581</v>
      </c>
      <c r="W2646" t="s">
        <v>12118</v>
      </c>
      <c r="X2646">
        <v>0.5</v>
      </c>
      <c r="Y2646" t="s">
        <v>12119</v>
      </c>
      <c r="Z2646" t="s">
        <v>3000</v>
      </c>
      <c r="AA2646" t="s">
        <v>12120</v>
      </c>
      <c r="AB2646">
        <v>3.18</v>
      </c>
      <c r="AC2646" t="s">
        <v>3374</v>
      </c>
      <c r="AD2646">
        <v>90.72</v>
      </c>
      <c r="AE2646" t="s">
        <v>1974</v>
      </c>
      <c r="AF2646">
        <v>0.97</v>
      </c>
      <c r="AG2646">
        <v>0</v>
      </c>
      <c r="AH2646">
        <v>0</v>
      </c>
      <c r="AI2646" s="4">
        <v>42556</v>
      </c>
    </row>
    <row r="2647" spans="1:35">
      <c r="A2647">
        <v>2646</v>
      </c>
      <c r="B2647" t="str">
        <f>"300419"</f>
        <v>300419</v>
      </c>
      <c r="C2647" t="s">
        <v>12121</v>
      </c>
      <c r="D2647" s="4">
        <v>43190</v>
      </c>
      <c r="E2647" t="s">
        <v>2268</v>
      </c>
      <c r="F2647" t="s">
        <v>935</v>
      </c>
      <c r="G2647">
        <v>7097</v>
      </c>
      <c r="H2647">
        <v>0.02</v>
      </c>
      <c r="I2647">
        <v>4.0599999999999996</v>
      </c>
      <c r="J2647">
        <v>0.5</v>
      </c>
      <c r="K2647" t="s">
        <v>322</v>
      </c>
      <c r="L2647">
        <v>22.99</v>
      </c>
      <c r="M2647" t="s">
        <v>3758</v>
      </c>
      <c r="N2647" t="s">
        <v>3260</v>
      </c>
      <c r="O2647" t="s">
        <v>8622</v>
      </c>
      <c r="P2647" t="s">
        <v>3423</v>
      </c>
      <c r="Q2647">
        <v>-52.64</v>
      </c>
      <c r="R2647" t="s">
        <v>186</v>
      </c>
      <c r="S2647">
        <v>0.82</v>
      </c>
      <c r="T2647">
        <v>22.09</v>
      </c>
      <c r="U2647" t="s">
        <v>1126</v>
      </c>
      <c r="V2647" t="s">
        <v>1375</v>
      </c>
      <c r="W2647" t="s">
        <v>2424</v>
      </c>
      <c r="X2647">
        <v>0.5</v>
      </c>
      <c r="Y2647" t="s">
        <v>1733</v>
      </c>
      <c r="Z2647" t="s">
        <v>1995</v>
      </c>
      <c r="AA2647" t="s">
        <v>10019</v>
      </c>
      <c r="AB2647">
        <v>1.48</v>
      </c>
      <c r="AC2647" t="s">
        <v>547</v>
      </c>
      <c r="AD2647">
        <v>84.99</v>
      </c>
      <c r="AE2647" t="s">
        <v>4000</v>
      </c>
      <c r="AF2647">
        <v>2.1800000000000002</v>
      </c>
      <c r="AG2647">
        <v>0</v>
      </c>
      <c r="AH2647">
        <v>0</v>
      </c>
      <c r="AI2647" s="4">
        <v>42026</v>
      </c>
    </row>
    <row r="2648" spans="1:35">
      <c r="A2648">
        <v>2647</v>
      </c>
      <c r="B2648" t="str">
        <f>"300013"</f>
        <v>300013</v>
      </c>
      <c r="C2648" t="s">
        <v>12122</v>
      </c>
      <c r="D2648" s="4">
        <v>43190</v>
      </c>
      <c r="E2648" t="s">
        <v>1810</v>
      </c>
      <c r="F2648" t="s">
        <v>1999</v>
      </c>
      <c r="G2648" t="s">
        <v>6659</v>
      </c>
      <c r="H2648">
        <v>0.02</v>
      </c>
      <c r="I2648">
        <v>4.63</v>
      </c>
      <c r="J2648">
        <v>0.5</v>
      </c>
      <c r="K2648" t="s">
        <v>415</v>
      </c>
      <c r="L2648">
        <v>20.86</v>
      </c>
      <c r="M2648" t="s">
        <v>9437</v>
      </c>
      <c r="N2648" t="s">
        <v>11954</v>
      </c>
      <c r="O2648" t="s">
        <v>9976</v>
      </c>
      <c r="P2648" t="s">
        <v>12123</v>
      </c>
      <c r="Q2648">
        <v>-43.23</v>
      </c>
      <c r="R2648" t="s">
        <v>505</v>
      </c>
      <c r="S2648">
        <v>0.53</v>
      </c>
      <c r="T2648">
        <v>34.479999999999997</v>
      </c>
      <c r="U2648" t="s">
        <v>2100</v>
      </c>
      <c r="V2648" t="s">
        <v>1496</v>
      </c>
      <c r="W2648" t="s">
        <v>1596</v>
      </c>
      <c r="X2648">
        <v>0.5</v>
      </c>
      <c r="Y2648" t="s">
        <v>926</v>
      </c>
      <c r="Z2648" t="s">
        <v>46</v>
      </c>
      <c r="AA2648" t="s">
        <v>2922</v>
      </c>
      <c r="AB2648">
        <v>2.13</v>
      </c>
      <c r="AC2648" t="s">
        <v>176</v>
      </c>
      <c r="AD2648">
        <v>51.43</v>
      </c>
      <c r="AE2648" t="s">
        <v>460</v>
      </c>
      <c r="AF2648">
        <v>3.04</v>
      </c>
      <c r="AG2648">
        <v>0</v>
      </c>
      <c r="AH2648">
        <v>0</v>
      </c>
      <c r="AI2648" s="4">
        <v>40116</v>
      </c>
    </row>
    <row r="2649" spans="1:35">
      <c r="A2649">
        <v>2648</v>
      </c>
      <c r="B2649" t="str">
        <f>"002861"</f>
        <v>002861</v>
      </c>
      <c r="C2649" t="s">
        <v>12124</v>
      </c>
      <c r="D2649" s="4">
        <v>43190</v>
      </c>
      <c r="E2649" t="s">
        <v>2360</v>
      </c>
      <c r="F2649" t="s">
        <v>12125</v>
      </c>
      <c r="G2649">
        <v>1626</v>
      </c>
      <c r="H2649">
        <v>0.04</v>
      </c>
      <c r="I2649">
        <v>8.2200000000000006</v>
      </c>
      <c r="J2649">
        <v>0.5</v>
      </c>
      <c r="K2649" t="s">
        <v>552</v>
      </c>
      <c r="L2649">
        <v>16.84</v>
      </c>
      <c r="M2649" t="s">
        <v>12126</v>
      </c>
      <c r="N2649" t="s">
        <v>5049</v>
      </c>
      <c r="O2649" t="s">
        <v>5298</v>
      </c>
      <c r="P2649" t="s">
        <v>12127</v>
      </c>
      <c r="Q2649">
        <v>-66.16</v>
      </c>
      <c r="R2649" t="s">
        <v>914</v>
      </c>
      <c r="S2649">
        <v>3.2</v>
      </c>
      <c r="T2649">
        <v>23.97</v>
      </c>
      <c r="U2649" t="s">
        <v>250</v>
      </c>
      <c r="V2649" t="s">
        <v>2683</v>
      </c>
      <c r="W2649" t="s">
        <v>4614</v>
      </c>
      <c r="X2649">
        <v>0.5</v>
      </c>
      <c r="Y2649" t="s">
        <v>595</v>
      </c>
      <c r="Z2649" t="s">
        <v>322</v>
      </c>
      <c r="AA2649" t="s">
        <v>8588</v>
      </c>
      <c r="AB2649">
        <v>2.97</v>
      </c>
      <c r="AC2649" t="s">
        <v>407</v>
      </c>
      <c r="AD2649">
        <v>88.57</v>
      </c>
      <c r="AE2649" t="s">
        <v>196</v>
      </c>
      <c r="AF2649">
        <v>3.72</v>
      </c>
      <c r="AG2649">
        <v>0</v>
      </c>
      <c r="AH2649">
        <v>0</v>
      </c>
      <c r="AI2649" s="4">
        <v>42838</v>
      </c>
    </row>
    <row r="2650" spans="1:35">
      <c r="A2650">
        <v>2649</v>
      </c>
      <c r="B2650" t="str">
        <f>"000931"</f>
        <v>000931</v>
      </c>
      <c r="C2650" t="s">
        <v>12128</v>
      </c>
      <c r="D2650" s="4">
        <v>43190</v>
      </c>
      <c r="E2650" t="s">
        <v>632</v>
      </c>
      <c r="F2650" t="s">
        <v>2001</v>
      </c>
      <c r="G2650">
        <v>7196</v>
      </c>
      <c r="H2650">
        <v>0.01</v>
      </c>
      <c r="I2650">
        <v>2.13</v>
      </c>
      <c r="J2650">
        <v>0.5</v>
      </c>
      <c r="K2650" t="s">
        <v>1578</v>
      </c>
      <c r="L2650">
        <v>34.65</v>
      </c>
      <c r="M2650" t="s">
        <v>2906</v>
      </c>
      <c r="N2650" t="s">
        <v>12129</v>
      </c>
      <c r="O2650" t="s">
        <v>8613</v>
      </c>
      <c r="P2650" t="s">
        <v>8742</v>
      </c>
      <c r="Q2650">
        <v>125.67</v>
      </c>
      <c r="R2650" t="s">
        <v>12130</v>
      </c>
      <c r="S2650">
        <v>-1.17</v>
      </c>
      <c r="T2650">
        <v>60.91</v>
      </c>
      <c r="U2650" t="s">
        <v>612</v>
      </c>
      <c r="V2650" t="s">
        <v>2568</v>
      </c>
      <c r="W2650" t="s">
        <v>1480</v>
      </c>
      <c r="X2650">
        <v>0.5</v>
      </c>
      <c r="Y2650" t="s">
        <v>76</v>
      </c>
      <c r="Z2650" t="s">
        <v>1307</v>
      </c>
      <c r="AA2650" t="s">
        <v>824</v>
      </c>
      <c r="AB2650">
        <v>2.57</v>
      </c>
      <c r="AC2650" t="s">
        <v>847</v>
      </c>
      <c r="AD2650">
        <v>46.47</v>
      </c>
      <c r="AE2650" t="s">
        <v>1244</v>
      </c>
      <c r="AF2650">
        <v>2.17</v>
      </c>
      <c r="AG2650">
        <v>0</v>
      </c>
      <c r="AH2650">
        <v>0</v>
      </c>
      <c r="AI2650" s="4">
        <v>36353</v>
      </c>
    </row>
    <row r="2651" spans="1:35">
      <c r="A2651">
        <v>2650</v>
      </c>
      <c r="B2651" t="str">
        <f>"000899"</f>
        <v>000899</v>
      </c>
      <c r="C2651" t="s">
        <v>12131</v>
      </c>
      <c r="D2651" s="4">
        <v>43190</v>
      </c>
      <c r="E2651" t="s">
        <v>4514</v>
      </c>
      <c r="F2651" t="s">
        <v>4002</v>
      </c>
      <c r="G2651" t="s">
        <v>1199</v>
      </c>
      <c r="H2651">
        <v>0.02</v>
      </c>
      <c r="I2651">
        <v>4.5999999999999996</v>
      </c>
      <c r="J2651">
        <v>0.5</v>
      </c>
      <c r="K2651" t="s">
        <v>1088</v>
      </c>
      <c r="L2651">
        <v>-15.94</v>
      </c>
      <c r="M2651" t="s">
        <v>12132</v>
      </c>
      <c r="N2651" t="s">
        <v>6924</v>
      </c>
      <c r="O2651" t="s">
        <v>7872</v>
      </c>
      <c r="P2651" t="s">
        <v>7872</v>
      </c>
      <c r="Q2651">
        <v>-68.900000000000006</v>
      </c>
      <c r="R2651" t="s">
        <v>3741</v>
      </c>
      <c r="S2651">
        <v>0.78</v>
      </c>
      <c r="T2651">
        <v>7.83</v>
      </c>
      <c r="U2651" t="s">
        <v>309</v>
      </c>
      <c r="V2651" t="s">
        <v>747</v>
      </c>
      <c r="W2651" t="s">
        <v>1263</v>
      </c>
      <c r="X2651">
        <v>0.5</v>
      </c>
      <c r="Y2651" t="s">
        <v>589</v>
      </c>
      <c r="Z2651" t="s">
        <v>419</v>
      </c>
      <c r="AA2651" t="s">
        <v>6541</v>
      </c>
      <c r="AB2651">
        <v>0.88</v>
      </c>
      <c r="AC2651" t="s">
        <v>830</v>
      </c>
      <c r="AD2651">
        <v>60.79</v>
      </c>
      <c r="AE2651" t="s">
        <v>306</v>
      </c>
      <c r="AF2651">
        <v>2.4900000000000002</v>
      </c>
      <c r="AG2651">
        <v>0</v>
      </c>
      <c r="AH2651">
        <v>0</v>
      </c>
      <c r="AI2651" s="4">
        <v>35760</v>
      </c>
    </row>
    <row r="2652" spans="1:35">
      <c r="A2652">
        <v>2651</v>
      </c>
      <c r="B2652" t="str">
        <f>"000862"</f>
        <v>000862</v>
      </c>
      <c r="C2652" t="s">
        <v>12133</v>
      </c>
      <c r="D2652" s="4">
        <v>43190</v>
      </c>
      <c r="E2652" t="s">
        <v>1723</v>
      </c>
      <c r="F2652" t="s">
        <v>2563</v>
      </c>
      <c r="G2652" t="s">
        <v>1199</v>
      </c>
      <c r="H2652">
        <v>0.02</v>
      </c>
      <c r="I2652">
        <v>3.68</v>
      </c>
      <c r="J2652">
        <v>0.5</v>
      </c>
      <c r="K2652" t="s">
        <v>122</v>
      </c>
      <c r="L2652">
        <v>8.82</v>
      </c>
      <c r="M2652" t="s">
        <v>11238</v>
      </c>
      <c r="N2652" t="s">
        <v>12134</v>
      </c>
      <c r="O2652" t="s">
        <v>9869</v>
      </c>
      <c r="P2652" t="s">
        <v>9767</v>
      </c>
      <c r="Q2652">
        <v>389.73</v>
      </c>
      <c r="R2652" t="s">
        <v>12135</v>
      </c>
      <c r="S2652">
        <v>-1.18</v>
      </c>
      <c r="T2652">
        <v>41.12</v>
      </c>
      <c r="U2652" t="s">
        <v>2713</v>
      </c>
      <c r="V2652" t="s">
        <v>298</v>
      </c>
      <c r="W2652" t="s">
        <v>4013</v>
      </c>
      <c r="X2652">
        <v>0.5</v>
      </c>
      <c r="Y2652" t="s">
        <v>1109</v>
      </c>
      <c r="Z2652" t="s">
        <v>1082</v>
      </c>
      <c r="AA2652" t="s">
        <v>111</v>
      </c>
      <c r="AB2652">
        <v>0.84</v>
      </c>
      <c r="AC2652" t="s">
        <v>370</v>
      </c>
      <c r="AD2652">
        <v>28.46</v>
      </c>
      <c r="AE2652" t="s">
        <v>1386</v>
      </c>
      <c r="AF2652">
        <v>3.83</v>
      </c>
      <c r="AG2652">
        <v>0</v>
      </c>
      <c r="AH2652">
        <v>0</v>
      </c>
      <c r="AI2652" s="4">
        <v>36053</v>
      </c>
    </row>
    <row r="2653" spans="1:35">
      <c r="A2653">
        <v>2652</v>
      </c>
      <c r="B2653" t="str">
        <f>"000523"</f>
        <v>000523</v>
      </c>
      <c r="C2653" t="s">
        <v>12136</v>
      </c>
      <c r="D2653" s="4">
        <v>43190</v>
      </c>
      <c r="E2653" t="s">
        <v>269</v>
      </c>
      <c r="F2653" t="s">
        <v>4044</v>
      </c>
      <c r="G2653" t="s">
        <v>4763</v>
      </c>
      <c r="H2653">
        <v>0.02</v>
      </c>
      <c r="I2653">
        <v>3.55</v>
      </c>
      <c r="J2653">
        <v>0.5</v>
      </c>
      <c r="K2653" t="s">
        <v>2057</v>
      </c>
      <c r="L2653">
        <v>43.54</v>
      </c>
      <c r="M2653" t="s">
        <v>8306</v>
      </c>
      <c r="N2653" t="s">
        <v>12137</v>
      </c>
      <c r="O2653" t="s">
        <v>11138</v>
      </c>
      <c r="P2653" t="s">
        <v>9050</v>
      </c>
      <c r="Q2653">
        <v>25.24</v>
      </c>
      <c r="R2653" t="s">
        <v>618</v>
      </c>
      <c r="S2653">
        <v>0.4</v>
      </c>
      <c r="T2653">
        <v>2.66</v>
      </c>
      <c r="U2653" t="s">
        <v>1110</v>
      </c>
      <c r="V2653" t="s">
        <v>3241</v>
      </c>
      <c r="W2653" t="s">
        <v>1827</v>
      </c>
      <c r="X2653">
        <v>0.5</v>
      </c>
      <c r="Y2653" t="s">
        <v>2989</v>
      </c>
      <c r="Z2653" t="s">
        <v>785</v>
      </c>
      <c r="AA2653" t="s">
        <v>6896</v>
      </c>
      <c r="AB2653">
        <v>2.23</v>
      </c>
      <c r="AC2653" t="s">
        <v>510</v>
      </c>
      <c r="AD2653">
        <v>33.21</v>
      </c>
      <c r="AE2653" t="s">
        <v>521</v>
      </c>
      <c r="AF2653">
        <v>2.04</v>
      </c>
      <c r="AG2653">
        <v>0</v>
      </c>
      <c r="AH2653">
        <v>0</v>
      </c>
      <c r="AI2653" s="4">
        <v>34281</v>
      </c>
    </row>
    <row r="2654" spans="1:35">
      <c r="A2654">
        <v>2653</v>
      </c>
      <c r="B2654" t="str">
        <f>"600851"</f>
        <v>600851</v>
      </c>
      <c r="C2654" t="s">
        <v>12138</v>
      </c>
      <c r="D2654" s="4">
        <v>43190</v>
      </c>
      <c r="E2654" t="s">
        <v>264</v>
      </c>
      <c r="F2654" t="s">
        <v>3234</v>
      </c>
      <c r="G2654" t="s">
        <v>3585</v>
      </c>
      <c r="H2654">
        <v>0.02</v>
      </c>
      <c r="I2654">
        <v>3.05</v>
      </c>
      <c r="J2654">
        <v>0.49</v>
      </c>
      <c r="K2654" t="s">
        <v>415</v>
      </c>
      <c r="L2654">
        <v>12.56</v>
      </c>
      <c r="M2654" t="s">
        <v>5118</v>
      </c>
      <c r="N2654" t="s">
        <v>12139</v>
      </c>
      <c r="O2654" t="s">
        <v>12140</v>
      </c>
      <c r="P2654" t="s">
        <v>10059</v>
      </c>
      <c r="Q2654">
        <v>79.89</v>
      </c>
      <c r="R2654" t="s">
        <v>593</v>
      </c>
      <c r="S2654">
        <v>0.27</v>
      </c>
      <c r="T2654">
        <v>47.69</v>
      </c>
      <c r="U2654" t="s">
        <v>5794</v>
      </c>
      <c r="V2654" t="s">
        <v>327</v>
      </c>
      <c r="W2654" t="s">
        <v>36</v>
      </c>
      <c r="X2654">
        <v>0.49</v>
      </c>
      <c r="Y2654" t="s">
        <v>2678</v>
      </c>
      <c r="Z2654" t="s">
        <v>267</v>
      </c>
      <c r="AA2654" t="s">
        <v>1088</v>
      </c>
      <c r="AB2654">
        <v>3.08</v>
      </c>
      <c r="AC2654" t="s">
        <v>1890</v>
      </c>
      <c r="AD2654">
        <v>76.58</v>
      </c>
      <c r="AE2654" t="s">
        <v>1209</v>
      </c>
      <c r="AF2654">
        <v>0.36</v>
      </c>
      <c r="AG2654" t="s">
        <v>2686</v>
      </c>
      <c r="AH2654">
        <v>0</v>
      </c>
      <c r="AI2654" s="4">
        <v>34428</v>
      </c>
    </row>
    <row r="2655" spans="1:35">
      <c r="A2655">
        <v>2654</v>
      </c>
      <c r="B2655" t="str">
        <f>"600406"</f>
        <v>600406</v>
      </c>
      <c r="C2655" t="s">
        <v>12141</v>
      </c>
      <c r="D2655" s="4">
        <v>43190</v>
      </c>
      <c r="E2655" t="s">
        <v>1090</v>
      </c>
      <c r="F2655" t="s">
        <v>1390</v>
      </c>
      <c r="G2655" t="s">
        <v>6544</v>
      </c>
      <c r="H2655">
        <v>0.02</v>
      </c>
      <c r="I2655">
        <v>5.56</v>
      </c>
      <c r="J2655">
        <v>0.49</v>
      </c>
      <c r="K2655" t="s">
        <v>1133</v>
      </c>
      <c r="L2655">
        <v>19.86</v>
      </c>
      <c r="M2655" t="s">
        <v>603</v>
      </c>
      <c r="N2655" t="s">
        <v>11595</v>
      </c>
      <c r="O2655" t="s">
        <v>1597</v>
      </c>
      <c r="P2655" t="s">
        <v>7789</v>
      </c>
      <c r="Q2655">
        <v>38.74</v>
      </c>
      <c r="R2655" t="s">
        <v>525</v>
      </c>
      <c r="S2655">
        <v>2.2799999999999998</v>
      </c>
      <c r="T2655">
        <v>24.8</v>
      </c>
      <c r="U2655" t="s">
        <v>3371</v>
      </c>
      <c r="V2655" t="s">
        <v>4082</v>
      </c>
      <c r="W2655" t="s">
        <v>1738</v>
      </c>
      <c r="X2655">
        <v>0.49</v>
      </c>
      <c r="Y2655" t="s">
        <v>1385</v>
      </c>
      <c r="Z2655" t="s">
        <v>2616</v>
      </c>
      <c r="AA2655" t="s">
        <v>64</v>
      </c>
      <c r="AB2655">
        <v>3.08</v>
      </c>
      <c r="AC2655" t="s">
        <v>462</v>
      </c>
      <c r="AD2655">
        <v>44.79</v>
      </c>
      <c r="AE2655" t="s">
        <v>3303</v>
      </c>
      <c r="AF2655">
        <v>2.11</v>
      </c>
      <c r="AG2655">
        <v>0</v>
      </c>
      <c r="AH2655">
        <v>0</v>
      </c>
      <c r="AI2655" s="4">
        <v>37910</v>
      </c>
    </row>
    <row r="2656" spans="1:35">
      <c r="A2656">
        <v>2655</v>
      </c>
      <c r="B2656" t="str">
        <f>"600292"</f>
        <v>600292</v>
      </c>
      <c r="C2656" t="s">
        <v>12142</v>
      </c>
      <c r="D2656" s="4">
        <v>43190</v>
      </c>
      <c r="E2656" t="s">
        <v>805</v>
      </c>
      <c r="F2656" t="s">
        <v>805</v>
      </c>
      <c r="G2656" t="s">
        <v>3091</v>
      </c>
      <c r="H2656">
        <v>0.03</v>
      </c>
      <c r="I2656">
        <v>6.28</v>
      </c>
      <c r="J2656">
        <v>0.49</v>
      </c>
      <c r="K2656" t="s">
        <v>523</v>
      </c>
      <c r="L2656">
        <v>11.09</v>
      </c>
      <c r="M2656" t="s">
        <v>9810</v>
      </c>
      <c r="N2656" t="s">
        <v>621</v>
      </c>
      <c r="O2656" t="s">
        <v>7112</v>
      </c>
      <c r="P2656" t="s">
        <v>12143</v>
      </c>
      <c r="Q2656">
        <v>8.92</v>
      </c>
      <c r="R2656" t="s">
        <v>1946</v>
      </c>
      <c r="S2656">
        <v>1.17</v>
      </c>
      <c r="T2656">
        <v>19.98</v>
      </c>
      <c r="U2656" t="s">
        <v>12144</v>
      </c>
      <c r="V2656" t="s">
        <v>2866</v>
      </c>
      <c r="W2656" t="s">
        <v>113</v>
      </c>
      <c r="X2656">
        <v>0.49</v>
      </c>
      <c r="Y2656" t="s">
        <v>1486</v>
      </c>
      <c r="Z2656" t="s">
        <v>273</v>
      </c>
      <c r="AA2656" t="s">
        <v>1806</v>
      </c>
      <c r="AB2656">
        <v>0.92</v>
      </c>
      <c r="AC2656" t="s">
        <v>3749</v>
      </c>
      <c r="AD2656">
        <v>54.39</v>
      </c>
      <c r="AE2656" t="s">
        <v>864</v>
      </c>
      <c r="AF2656">
        <v>3.83</v>
      </c>
      <c r="AG2656">
        <v>0</v>
      </c>
      <c r="AH2656">
        <v>0</v>
      </c>
      <c r="AI2656" s="4">
        <v>36831</v>
      </c>
    </row>
    <row r="2657" spans="1:35">
      <c r="A2657">
        <v>2656</v>
      </c>
      <c r="B2657" t="str">
        <f>"600082"</f>
        <v>600082</v>
      </c>
      <c r="C2657" t="s">
        <v>12145</v>
      </c>
      <c r="D2657" s="4">
        <v>43190</v>
      </c>
      <c r="E2657" t="s">
        <v>359</v>
      </c>
      <c r="F2657" t="s">
        <v>1779</v>
      </c>
      <c r="G2657" t="s">
        <v>5531</v>
      </c>
      <c r="H2657">
        <v>0.01</v>
      </c>
      <c r="I2657">
        <v>2.63</v>
      </c>
      <c r="J2657">
        <v>0.49</v>
      </c>
      <c r="K2657" t="s">
        <v>12146</v>
      </c>
      <c r="L2657">
        <v>-73.31</v>
      </c>
      <c r="M2657" t="s">
        <v>2940</v>
      </c>
      <c r="N2657" t="s">
        <v>12077</v>
      </c>
      <c r="O2657" t="s">
        <v>5674</v>
      </c>
      <c r="P2657" t="s">
        <v>9948</v>
      </c>
      <c r="Q2657">
        <v>152.13</v>
      </c>
      <c r="R2657" t="s">
        <v>289</v>
      </c>
      <c r="S2657">
        <v>0.83</v>
      </c>
      <c r="T2657">
        <v>64.2</v>
      </c>
      <c r="U2657" t="s">
        <v>2093</v>
      </c>
      <c r="V2657" t="s">
        <v>2901</v>
      </c>
      <c r="W2657" t="s">
        <v>1864</v>
      </c>
      <c r="X2657">
        <v>0.49</v>
      </c>
      <c r="Y2657" t="s">
        <v>891</v>
      </c>
      <c r="Z2657" t="s">
        <v>847</v>
      </c>
      <c r="AA2657" t="s">
        <v>828</v>
      </c>
      <c r="AB2657">
        <v>1.79</v>
      </c>
      <c r="AC2657" t="s">
        <v>820</v>
      </c>
      <c r="AD2657">
        <v>47.69</v>
      </c>
      <c r="AE2657" t="s">
        <v>2608</v>
      </c>
      <c r="AF2657">
        <v>0.64</v>
      </c>
      <c r="AG2657">
        <v>0</v>
      </c>
      <c r="AH2657">
        <v>0</v>
      </c>
      <c r="AI2657" s="4">
        <v>35601</v>
      </c>
    </row>
    <row r="2658" spans="1:35">
      <c r="A2658">
        <v>2657</v>
      </c>
      <c r="B2658" t="str">
        <f>"300680"</f>
        <v>300680</v>
      </c>
      <c r="C2658" t="s">
        <v>12147</v>
      </c>
      <c r="D2658" s="4">
        <v>43190</v>
      </c>
      <c r="E2658" t="s">
        <v>4230</v>
      </c>
      <c r="F2658" t="s">
        <v>4457</v>
      </c>
      <c r="G2658">
        <v>1941</v>
      </c>
      <c r="H2658">
        <v>0.02</v>
      </c>
      <c r="I2658">
        <v>4.82</v>
      </c>
      <c r="J2658">
        <v>0.49</v>
      </c>
      <c r="K2658" t="s">
        <v>12148</v>
      </c>
      <c r="L2658">
        <v>-48.9</v>
      </c>
      <c r="M2658" t="s">
        <v>7326</v>
      </c>
      <c r="N2658" t="s">
        <v>7238</v>
      </c>
      <c r="O2658" t="s">
        <v>2720</v>
      </c>
      <c r="P2658" t="s">
        <v>12149</v>
      </c>
      <c r="Q2658">
        <v>-74.81</v>
      </c>
      <c r="R2658" t="s">
        <v>12150</v>
      </c>
      <c r="S2658">
        <v>1.08</v>
      </c>
      <c r="T2658">
        <v>29.06</v>
      </c>
      <c r="U2658" t="s">
        <v>196</v>
      </c>
      <c r="V2658" t="s">
        <v>1048</v>
      </c>
      <c r="W2658" t="s">
        <v>198</v>
      </c>
      <c r="X2658">
        <v>0.49</v>
      </c>
      <c r="Y2658" t="s">
        <v>1627</v>
      </c>
      <c r="Z2658" t="s">
        <v>1475</v>
      </c>
      <c r="AA2658" t="s">
        <v>12151</v>
      </c>
      <c r="AB2658">
        <v>5.9</v>
      </c>
      <c r="AC2658" t="s">
        <v>1074</v>
      </c>
      <c r="AD2658">
        <v>74.7</v>
      </c>
      <c r="AE2658" t="s">
        <v>1855</v>
      </c>
      <c r="AF2658">
        <v>2.54</v>
      </c>
      <c r="AG2658">
        <v>0</v>
      </c>
      <c r="AH2658">
        <v>0</v>
      </c>
      <c r="AI2658" s="4">
        <v>42941</v>
      </c>
    </row>
    <row r="2659" spans="1:35">
      <c r="A2659">
        <v>2658</v>
      </c>
      <c r="B2659" t="str">
        <f>"002827"</f>
        <v>002827</v>
      </c>
      <c r="C2659" t="s">
        <v>12152</v>
      </c>
      <c r="D2659" s="4">
        <v>43190</v>
      </c>
      <c r="E2659" t="s">
        <v>37</v>
      </c>
      <c r="F2659" t="s">
        <v>8340</v>
      </c>
      <c r="G2659">
        <v>3406</v>
      </c>
      <c r="H2659">
        <v>0.02</v>
      </c>
      <c r="I2659">
        <v>4.45</v>
      </c>
      <c r="J2659">
        <v>0.49</v>
      </c>
      <c r="K2659" t="s">
        <v>12153</v>
      </c>
      <c r="L2659">
        <v>-23.18</v>
      </c>
      <c r="M2659" t="s">
        <v>5028</v>
      </c>
      <c r="N2659">
        <v>0</v>
      </c>
      <c r="O2659" t="s">
        <v>12154</v>
      </c>
      <c r="P2659" t="s">
        <v>11056</v>
      </c>
      <c r="Q2659">
        <v>-65.75</v>
      </c>
      <c r="R2659" t="s">
        <v>415</v>
      </c>
      <c r="S2659">
        <v>1.1299999999999999</v>
      </c>
      <c r="T2659">
        <v>46.71</v>
      </c>
      <c r="U2659" t="s">
        <v>1705</v>
      </c>
      <c r="V2659" t="s">
        <v>1659</v>
      </c>
      <c r="W2659" t="s">
        <v>296</v>
      </c>
      <c r="X2659">
        <v>0.49</v>
      </c>
      <c r="Y2659" t="s">
        <v>12155</v>
      </c>
      <c r="Z2659" t="s">
        <v>1992</v>
      </c>
      <c r="AA2659" t="s">
        <v>11095</v>
      </c>
      <c r="AB2659">
        <v>3.12</v>
      </c>
      <c r="AC2659" t="s">
        <v>2428</v>
      </c>
      <c r="AD2659">
        <v>92.16</v>
      </c>
      <c r="AE2659" t="s">
        <v>1968</v>
      </c>
      <c r="AF2659">
        <v>2.0099999999999998</v>
      </c>
      <c r="AG2659">
        <v>0</v>
      </c>
      <c r="AH2659">
        <v>0</v>
      </c>
      <c r="AI2659" s="4">
        <v>42713</v>
      </c>
    </row>
    <row r="2660" spans="1:35">
      <c r="A2660">
        <v>2659</v>
      </c>
      <c r="B2660" t="str">
        <f>"002374"</f>
        <v>002374</v>
      </c>
      <c r="C2660" t="s">
        <v>12156</v>
      </c>
      <c r="D2660" s="4">
        <v>43190</v>
      </c>
      <c r="E2660" t="s">
        <v>648</v>
      </c>
      <c r="F2660" t="s">
        <v>201</v>
      </c>
      <c r="G2660" t="s">
        <v>3585</v>
      </c>
      <c r="H2660">
        <v>0.02</v>
      </c>
      <c r="I2660">
        <v>3.65</v>
      </c>
      <c r="J2660">
        <v>0.49</v>
      </c>
      <c r="K2660" t="s">
        <v>1028</v>
      </c>
      <c r="L2660">
        <v>29.45</v>
      </c>
      <c r="M2660" t="s">
        <v>12157</v>
      </c>
      <c r="N2660" t="s">
        <v>12158</v>
      </c>
      <c r="O2660" t="s">
        <v>12159</v>
      </c>
      <c r="P2660" t="s">
        <v>4444</v>
      </c>
      <c r="Q2660">
        <v>834.42</v>
      </c>
      <c r="R2660" t="s">
        <v>2563</v>
      </c>
      <c r="S2660">
        <v>0.56999999999999995</v>
      </c>
      <c r="T2660">
        <v>14.05</v>
      </c>
      <c r="U2660" t="s">
        <v>2044</v>
      </c>
      <c r="V2660" t="s">
        <v>502</v>
      </c>
      <c r="W2660" t="s">
        <v>2456</v>
      </c>
      <c r="X2660">
        <v>0.49</v>
      </c>
      <c r="Y2660" t="s">
        <v>583</v>
      </c>
      <c r="Z2660" t="s">
        <v>306</v>
      </c>
      <c r="AA2660" t="s">
        <v>2111</v>
      </c>
      <c r="AB2660">
        <v>1</v>
      </c>
      <c r="AC2660" t="s">
        <v>1054</v>
      </c>
      <c r="AD2660">
        <v>50.88</v>
      </c>
      <c r="AE2660" t="s">
        <v>1455</v>
      </c>
      <c r="AF2660">
        <v>2.06</v>
      </c>
      <c r="AG2660">
        <v>0</v>
      </c>
      <c r="AH2660">
        <v>0</v>
      </c>
      <c r="AI2660" s="4">
        <v>40255</v>
      </c>
    </row>
    <row r="2661" spans="1:35">
      <c r="A2661">
        <v>2660</v>
      </c>
      <c r="B2661" t="str">
        <f>"000881"</f>
        <v>000881</v>
      </c>
      <c r="C2661" t="s">
        <v>12160</v>
      </c>
      <c r="D2661" s="4">
        <v>43190</v>
      </c>
      <c r="E2661" t="s">
        <v>521</v>
      </c>
      <c r="F2661" t="s">
        <v>325</v>
      </c>
      <c r="G2661">
        <v>9167</v>
      </c>
      <c r="H2661">
        <v>0.02</v>
      </c>
      <c r="I2661">
        <v>5.09</v>
      </c>
      <c r="J2661">
        <v>0.49</v>
      </c>
      <c r="K2661" t="s">
        <v>124</v>
      </c>
      <c r="L2661">
        <v>15.96</v>
      </c>
      <c r="M2661" t="s">
        <v>5345</v>
      </c>
      <c r="N2661" t="s">
        <v>12161</v>
      </c>
      <c r="O2661" t="s">
        <v>9179</v>
      </c>
      <c r="P2661" t="s">
        <v>9414</v>
      </c>
      <c r="Q2661">
        <v>-30.8</v>
      </c>
      <c r="R2661" t="s">
        <v>250</v>
      </c>
      <c r="S2661">
        <v>1.1200000000000001</v>
      </c>
      <c r="T2661">
        <v>18.45</v>
      </c>
      <c r="U2661" t="s">
        <v>3449</v>
      </c>
      <c r="V2661" t="s">
        <v>2042</v>
      </c>
      <c r="W2661" t="s">
        <v>877</v>
      </c>
      <c r="X2661">
        <v>0.49</v>
      </c>
      <c r="Y2661" t="s">
        <v>1177</v>
      </c>
      <c r="Z2661" t="s">
        <v>732</v>
      </c>
      <c r="AA2661" t="s">
        <v>619</v>
      </c>
      <c r="AB2661">
        <v>1.58</v>
      </c>
      <c r="AC2661" t="s">
        <v>1085</v>
      </c>
      <c r="AD2661">
        <v>47.99</v>
      </c>
      <c r="AE2661" t="s">
        <v>2071</v>
      </c>
      <c r="AF2661">
        <v>2.93</v>
      </c>
      <c r="AG2661">
        <v>0</v>
      </c>
      <c r="AH2661">
        <v>0</v>
      </c>
      <c r="AI2661" s="4">
        <v>36040</v>
      </c>
    </row>
    <row r="2662" spans="1:35">
      <c r="A2662">
        <v>2661</v>
      </c>
      <c r="B2662" t="str">
        <f>"000716"</f>
        <v>000716</v>
      </c>
      <c r="C2662" t="s">
        <v>12162</v>
      </c>
      <c r="D2662" s="4">
        <v>43190</v>
      </c>
      <c r="E2662" t="s">
        <v>2177</v>
      </c>
      <c r="F2662" t="s">
        <v>105</v>
      </c>
      <c r="G2662" t="s">
        <v>6659</v>
      </c>
      <c r="H2662">
        <v>0.02</v>
      </c>
      <c r="I2662">
        <v>3.66</v>
      </c>
      <c r="J2662">
        <v>0.49</v>
      </c>
      <c r="K2662" t="s">
        <v>2156</v>
      </c>
      <c r="L2662">
        <v>17.91</v>
      </c>
      <c r="M2662" t="s">
        <v>8037</v>
      </c>
      <c r="N2662" t="s">
        <v>12163</v>
      </c>
      <c r="O2662" t="s">
        <v>5317</v>
      </c>
      <c r="P2662" t="s">
        <v>12164</v>
      </c>
      <c r="Q2662">
        <v>-46.31</v>
      </c>
      <c r="R2662" t="s">
        <v>1383</v>
      </c>
      <c r="S2662">
        <v>0.5</v>
      </c>
      <c r="T2662">
        <v>32.130000000000003</v>
      </c>
      <c r="U2662" t="s">
        <v>4509</v>
      </c>
      <c r="V2662" t="s">
        <v>728</v>
      </c>
      <c r="W2662" t="s">
        <v>978</v>
      </c>
      <c r="X2662">
        <v>0.49</v>
      </c>
      <c r="Y2662" t="s">
        <v>243</v>
      </c>
      <c r="Z2662" t="s">
        <v>757</v>
      </c>
      <c r="AA2662" t="s">
        <v>4962</v>
      </c>
      <c r="AB2662">
        <v>0.95</v>
      </c>
      <c r="AC2662" t="s">
        <v>370</v>
      </c>
      <c r="AD2662">
        <v>52.23</v>
      </c>
      <c r="AE2662" t="s">
        <v>391</v>
      </c>
      <c r="AF2662">
        <v>2.15</v>
      </c>
      <c r="AG2662">
        <v>0</v>
      </c>
      <c r="AH2662">
        <v>0</v>
      </c>
      <c r="AI2662" s="4">
        <v>35538</v>
      </c>
    </row>
    <row r="2663" spans="1:35">
      <c r="A2663">
        <v>2662</v>
      </c>
      <c r="B2663" t="str">
        <f>"000099"</f>
        <v>000099</v>
      </c>
      <c r="C2663" t="s">
        <v>12165</v>
      </c>
      <c r="D2663" s="4">
        <v>43190</v>
      </c>
      <c r="E2663" t="s">
        <v>1216</v>
      </c>
      <c r="F2663" t="s">
        <v>1216</v>
      </c>
      <c r="G2663">
        <v>9439</v>
      </c>
      <c r="H2663">
        <v>0.02</v>
      </c>
      <c r="I2663">
        <v>4.87</v>
      </c>
      <c r="J2663">
        <v>0.49</v>
      </c>
      <c r="K2663" t="s">
        <v>1067</v>
      </c>
      <c r="L2663">
        <v>7.62</v>
      </c>
      <c r="M2663" t="s">
        <v>12166</v>
      </c>
      <c r="N2663" t="s">
        <v>8235</v>
      </c>
      <c r="O2663" t="s">
        <v>12167</v>
      </c>
      <c r="P2663" t="s">
        <v>5141</v>
      </c>
      <c r="Q2663">
        <v>4.46</v>
      </c>
      <c r="R2663" t="s">
        <v>602</v>
      </c>
      <c r="S2663">
        <v>1.8</v>
      </c>
      <c r="T2663">
        <v>17.37</v>
      </c>
      <c r="U2663" t="s">
        <v>3645</v>
      </c>
      <c r="V2663" t="s">
        <v>646</v>
      </c>
      <c r="W2663" t="s">
        <v>589</v>
      </c>
      <c r="X2663">
        <v>0.49</v>
      </c>
      <c r="Y2663" t="s">
        <v>2273</v>
      </c>
      <c r="Z2663" t="s">
        <v>2783</v>
      </c>
      <c r="AA2663" t="s">
        <v>1062</v>
      </c>
      <c r="AB2663">
        <v>1.3</v>
      </c>
      <c r="AC2663" t="s">
        <v>583</v>
      </c>
      <c r="AD2663">
        <v>54.3</v>
      </c>
      <c r="AE2663" t="s">
        <v>978</v>
      </c>
      <c r="AF2663">
        <v>1.7</v>
      </c>
      <c r="AG2663">
        <v>0</v>
      </c>
      <c r="AH2663">
        <v>0</v>
      </c>
      <c r="AI2663" s="4">
        <v>36738</v>
      </c>
    </row>
    <row r="2664" spans="1:35">
      <c r="A2664">
        <v>2663</v>
      </c>
      <c r="B2664" t="str">
        <f>"603050"</f>
        <v>603050</v>
      </c>
      <c r="C2664" t="s">
        <v>12168</v>
      </c>
      <c r="D2664" s="4">
        <v>43190</v>
      </c>
      <c r="E2664" t="s">
        <v>1203</v>
      </c>
      <c r="F2664" t="s">
        <v>12169</v>
      </c>
      <c r="G2664">
        <v>2249</v>
      </c>
      <c r="H2664">
        <v>0.03</v>
      </c>
      <c r="I2664">
        <v>6</v>
      </c>
      <c r="J2664">
        <v>0.48</v>
      </c>
      <c r="K2664" t="s">
        <v>1349</v>
      </c>
      <c r="L2664">
        <v>-9.85</v>
      </c>
      <c r="M2664" t="s">
        <v>12170</v>
      </c>
      <c r="N2664" t="s">
        <v>9398</v>
      </c>
      <c r="O2664" t="s">
        <v>3375</v>
      </c>
      <c r="P2664" t="s">
        <v>8477</v>
      </c>
      <c r="Q2664">
        <v>5.08</v>
      </c>
      <c r="R2664" t="s">
        <v>1797</v>
      </c>
      <c r="S2664">
        <v>1.87</v>
      </c>
      <c r="T2664">
        <v>35.729999999999997</v>
      </c>
      <c r="U2664" t="s">
        <v>646</v>
      </c>
      <c r="V2664" t="s">
        <v>101</v>
      </c>
      <c r="W2664" t="s">
        <v>1839</v>
      </c>
      <c r="X2664">
        <v>0.48</v>
      </c>
      <c r="Y2664" t="s">
        <v>1487</v>
      </c>
      <c r="Z2664" t="s">
        <v>3281</v>
      </c>
      <c r="AA2664" t="s">
        <v>3051</v>
      </c>
      <c r="AB2664">
        <v>2.17</v>
      </c>
      <c r="AC2664" t="s">
        <v>6610</v>
      </c>
      <c r="AD2664">
        <v>57.59</v>
      </c>
      <c r="AE2664" t="s">
        <v>1721</v>
      </c>
      <c r="AF2664">
        <v>2.94</v>
      </c>
      <c r="AG2664">
        <v>0</v>
      </c>
      <c r="AH2664">
        <v>0</v>
      </c>
      <c r="AI2664" s="4">
        <v>42839</v>
      </c>
    </row>
    <row r="2665" spans="1:35">
      <c r="A2665">
        <v>2664</v>
      </c>
      <c r="B2665" t="str">
        <f>"600396"</f>
        <v>600396</v>
      </c>
      <c r="C2665" t="s">
        <v>12171</v>
      </c>
      <c r="D2665" s="4">
        <v>43190</v>
      </c>
      <c r="E2665" t="s">
        <v>80</v>
      </c>
      <c r="F2665" t="s">
        <v>613</v>
      </c>
      <c r="G2665" t="s">
        <v>4294</v>
      </c>
      <c r="H2665">
        <v>0.01</v>
      </c>
      <c r="I2665">
        <v>1.84</v>
      </c>
      <c r="J2665">
        <v>0.48</v>
      </c>
      <c r="K2665" t="s">
        <v>275</v>
      </c>
      <c r="L2665">
        <v>14.72</v>
      </c>
      <c r="M2665" t="s">
        <v>12172</v>
      </c>
      <c r="N2665" t="s">
        <v>9121</v>
      </c>
      <c r="O2665" t="s">
        <v>12173</v>
      </c>
      <c r="P2665" t="s">
        <v>11065</v>
      </c>
      <c r="Q2665">
        <v>127.66</v>
      </c>
      <c r="R2665" t="s">
        <v>12174</v>
      </c>
      <c r="S2665">
        <v>-0.17</v>
      </c>
      <c r="T2665">
        <v>10.32</v>
      </c>
      <c r="U2665" t="s">
        <v>388</v>
      </c>
      <c r="V2665" t="s">
        <v>1569</v>
      </c>
      <c r="W2665" t="s">
        <v>2050</v>
      </c>
      <c r="X2665">
        <v>0.48</v>
      </c>
      <c r="Y2665" t="s">
        <v>2016</v>
      </c>
      <c r="Z2665" t="s">
        <v>4707</v>
      </c>
      <c r="AA2665" t="s">
        <v>2237</v>
      </c>
      <c r="AB2665">
        <v>1.2</v>
      </c>
      <c r="AC2665" t="s">
        <v>1386</v>
      </c>
      <c r="AD2665">
        <v>13.54</v>
      </c>
      <c r="AE2665" t="s">
        <v>1214</v>
      </c>
      <c r="AF2665">
        <v>0.92</v>
      </c>
      <c r="AG2665">
        <v>0</v>
      </c>
      <c r="AH2665">
        <v>0</v>
      </c>
      <c r="AI2665" s="4">
        <v>36978</v>
      </c>
    </row>
    <row r="2666" spans="1:35">
      <c r="A2666">
        <v>2665</v>
      </c>
      <c r="B2666" t="str">
        <f>"600077"</f>
        <v>600077</v>
      </c>
      <c r="C2666" t="s">
        <v>12175</v>
      </c>
      <c r="D2666" s="4">
        <v>43190</v>
      </c>
      <c r="E2666" t="s">
        <v>924</v>
      </c>
      <c r="F2666" t="s">
        <v>924</v>
      </c>
      <c r="G2666" t="s">
        <v>9420</v>
      </c>
      <c r="H2666">
        <v>0.01</v>
      </c>
      <c r="I2666">
        <v>2.78</v>
      </c>
      <c r="J2666">
        <v>0.48</v>
      </c>
      <c r="K2666" t="s">
        <v>1346</v>
      </c>
      <c r="L2666">
        <v>41.7</v>
      </c>
      <c r="M2666" t="s">
        <v>1301</v>
      </c>
      <c r="N2666" t="s">
        <v>12176</v>
      </c>
      <c r="O2666" t="s">
        <v>12177</v>
      </c>
      <c r="P2666" t="s">
        <v>9188</v>
      </c>
      <c r="Q2666">
        <v>490.19</v>
      </c>
      <c r="R2666" t="s">
        <v>754</v>
      </c>
      <c r="S2666">
        <v>1.34</v>
      </c>
      <c r="T2666">
        <v>39.950000000000003</v>
      </c>
      <c r="U2666" t="s">
        <v>1893</v>
      </c>
      <c r="V2666" t="s">
        <v>2634</v>
      </c>
      <c r="W2666" t="s">
        <v>4446</v>
      </c>
      <c r="X2666">
        <v>0.48</v>
      </c>
      <c r="Y2666" t="s">
        <v>2654</v>
      </c>
      <c r="Z2666" t="s">
        <v>1159</v>
      </c>
      <c r="AA2666" t="s">
        <v>2989</v>
      </c>
      <c r="AB2666">
        <v>1.26</v>
      </c>
      <c r="AC2666" t="s">
        <v>1486</v>
      </c>
      <c r="AD2666">
        <v>19.829999999999998</v>
      </c>
      <c r="AE2666" t="s">
        <v>48</v>
      </c>
      <c r="AF2666">
        <v>0.3</v>
      </c>
      <c r="AG2666">
        <v>0</v>
      </c>
      <c r="AH2666">
        <v>0</v>
      </c>
      <c r="AI2666" s="4">
        <v>35570</v>
      </c>
    </row>
    <row r="2667" spans="1:35">
      <c r="A2667">
        <v>2666</v>
      </c>
      <c r="B2667" t="str">
        <f>"300112"</f>
        <v>300112</v>
      </c>
      <c r="C2667" t="s">
        <v>12178</v>
      </c>
      <c r="D2667" s="4">
        <v>43190</v>
      </c>
      <c r="E2667" t="s">
        <v>2507</v>
      </c>
      <c r="F2667" t="s">
        <v>64</v>
      </c>
      <c r="G2667">
        <v>9547</v>
      </c>
      <c r="H2667">
        <v>0.02</v>
      </c>
      <c r="I2667">
        <v>3.28</v>
      </c>
      <c r="J2667">
        <v>0.48</v>
      </c>
      <c r="K2667" t="s">
        <v>12179</v>
      </c>
      <c r="L2667">
        <v>11.42</v>
      </c>
      <c r="M2667" t="s">
        <v>12180</v>
      </c>
      <c r="N2667" t="s">
        <v>12006</v>
      </c>
      <c r="O2667" t="s">
        <v>12181</v>
      </c>
      <c r="P2667" t="s">
        <v>7944</v>
      </c>
      <c r="Q2667">
        <v>37.18</v>
      </c>
      <c r="R2667" t="s">
        <v>1839</v>
      </c>
      <c r="S2667">
        <v>0.63</v>
      </c>
      <c r="T2667">
        <v>53.47</v>
      </c>
      <c r="U2667" t="s">
        <v>192</v>
      </c>
      <c r="V2667" t="s">
        <v>1869</v>
      </c>
      <c r="W2667" t="s">
        <v>1624</v>
      </c>
      <c r="X2667">
        <v>0.48</v>
      </c>
      <c r="Y2667" t="s">
        <v>3768</v>
      </c>
      <c r="Z2667" t="s">
        <v>863</v>
      </c>
      <c r="AA2667" t="s">
        <v>12182</v>
      </c>
      <c r="AB2667">
        <v>2.4300000000000002</v>
      </c>
      <c r="AC2667" t="s">
        <v>2836</v>
      </c>
      <c r="AD2667">
        <v>80.3</v>
      </c>
      <c r="AE2667" t="s">
        <v>988</v>
      </c>
      <c r="AF2667">
        <v>1.68</v>
      </c>
      <c r="AG2667">
        <v>0</v>
      </c>
      <c r="AH2667">
        <v>0</v>
      </c>
      <c r="AI2667" s="4">
        <v>40417</v>
      </c>
    </row>
    <row r="2668" spans="1:35">
      <c r="A2668">
        <v>2667</v>
      </c>
      <c r="B2668" t="str">
        <f>"002829"</f>
        <v>002829</v>
      </c>
      <c r="C2668" t="s">
        <v>12183</v>
      </c>
      <c r="D2668" s="4">
        <v>43190</v>
      </c>
      <c r="E2668" t="s">
        <v>1203</v>
      </c>
      <c r="F2668" t="s">
        <v>9027</v>
      </c>
      <c r="G2668">
        <v>4122</v>
      </c>
      <c r="H2668">
        <v>0.02</v>
      </c>
      <c r="I2668">
        <v>4.91</v>
      </c>
      <c r="J2668">
        <v>0.48</v>
      </c>
      <c r="K2668" t="s">
        <v>12184</v>
      </c>
      <c r="L2668">
        <v>127.94</v>
      </c>
      <c r="M2668" t="s">
        <v>8083</v>
      </c>
      <c r="N2668" t="s">
        <v>917</v>
      </c>
      <c r="O2668" t="s">
        <v>8083</v>
      </c>
      <c r="P2668" t="s">
        <v>11147</v>
      </c>
      <c r="Q2668">
        <v>5.82</v>
      </c>
      <c r="R2668" t="s">
        <v>2551</v>
      </c>
      <c r="S2668">
        <v>1.93</v>
      </c>
      <c r="T2668">
        <v>49.79</v>
      </c>
      <c r="U2668" t="s">
        <v>1190</v>
      </c>
      <c r="V2668" t="s">
        <v>3185</v>
      </c>
      <c r="W2668" t="s">
        <v>474</v>
      </c>
      <c r="X2668">
        <v>0.48</v>
      </c>
      <c r="Y2668" t="s">
        <v>2648</v>
      </c>
      <c r="Z2668" t="s">
        <v>1959</v>
      </c>
      <c r="AA2668" t="s">
        <v>1905</v>
      </c>
      <c r="AB2668">
        <v>5.9</v>
      </c>
      <c r="AC2668" t="s">
        <v>285</v>
      </c>
      <c r="AD2668">
        <v>47.33</v>
      </c>
      <c r="AE2668" t="s">
        <v>922</v>
      </c>
      <c r="AF2668">
        <v>2.79</v>
      </c>
      <c r="AG2668">
        <v>0</v>
      </c>
      <c r="AH2668">
        <v>0</v>
      </c>
      <c r="AI2668" s="4">
        <v>42717</v>
      </c>
    </row>
    <row r="2669" spans="1:35">
      <c r="A2669">
        <v>2668</v>
      </c>
      <c r="B2669" t="str">
        <f>"002169"</f>
        <v>002169</v>
      </c>
      <c r="C2669" t="s">
        <v>12185</v>
      </c>
      <c r="D2669" s="4">
        <v>43190</v>
      </c>
      <c r="E2669" t="s">
        <v>1041</v>
      </c>
      <c r="F2669" t="s">
        <v>1276</v>
      </c>
      <c r="G2669" t="s">
        <v>1763</v>
      </c>
      <c r="H2669">
        <v>0.02</v>
      </c>
      <c r="I2669">
        <v>3.54</v>
      </c>
      <c r="J2669">
        <v>0.48</v>
      </c>
      <c r="K2669" t="s">
        <v>3067</v>
      </c>
      <c r="L2669">
        <v>88.75</v>
      </c>
      <c r="M2669" t="s">
        <v>12186</v>
      </c>
      <c r="N2669" t="s">
        <v>7199</v>
      </c>
      <c r="O2669" t="s">
        <v>9868</v>
      </c>
      <c r="P2669" t="s">
        <v>10505</v>
      </c>
      <c r="Q2669">
        <v>27.8</v>
      </c>
      <c r="R2669" t="s">
        <v>1317</v>
      </c>
      <c r="S2669">
        <v>0.54</v>
      </c>
      <c r="T2669">
        <v>19.12</v>
      </c>
      <c r="U2669" t="s">
        <v>1583</v>
      </c>
      <c r="V2669" t="s">
        <v>710</v>
      </c>
      <c r="W2669" t="s">
        <v>4953</v>
      </c>
      <c r="X2669">
        <v>0.48</v>
      </c>
      <c r="Y2669" t="s">
        <v>354</v>
      </c>
      <c r="Z2669" t="s">
        <v>699</v>
      </c>
      <c r="AA2669" t="s">
        <v>6305</v>
      </c>
      <c r="AB2669">
        <v>1.23</v>
      </c>
      <c r="AC2669" t="s">
        <v>502</v>
      </c>
      <c r="AD2669">
        <v>66.599999999999994</v>
      </c>
      <c r="AE2669" t="s">
        <v>833</v>
      </c>
      <c r="AF2669">
        <v>1.95</v>
      </c>
      <c r="AG2669">
        <v>0</v>
      </c>
      <c r="AH2669">
        <v>0</v>
      </c>
      <c r="AI2669" s="4">
        <v>39344</v>
      </c>
    </row>
    <row r="2670" spans="1:35">
      <c r="A2670">
        <v>2669</v>
      </c>
      <c r="B2670" t="str">
        <f>"600839"</f>
        <v>600839</v>
      </c>
      <c r="C2670" t="s">
        <v>12187</v>
      </c>
      <c r="D2670" s="4">
        <v>43190</v>
      </c>
      <c r="E2670" t="s">
        <v>1738</v>
      </c>
      <c r="F2670" t="s">
        <v>3288</v>
      </c>
      <c r="G2670" t="s">
        <v>1568</v>
      </c>
      <c r="H2670">
        <v>0.01</v>
      </c>
      <c r="I2670">
        <v>2.81</v>
      </c>
      <c r="J2670">
        <v>0.47</v>
      </c>
      <c r="K2670" t="s">
        <v>432</v>
      </c>
      <c r="L2670">
        <v>13.33</v>
      </c>
      <c r="M2670" t="s">
        <v>807</v>
      </c>
      <c r="N2670" t="s">
        <v>1665</v>
      </c>
      <c r="O2670" t="s">
        <v>1245</v>
      </c>
      <c r="P2670" t="s">
        <v>12188</v>
      </c>
      <c r="Q2670">
        <v>85.37</v>
      </c>
      <c r="R2670" t="s">
        <v>2105</v>
      </c>
      <c r="S2670">
        <v>0.92</v>
      </c>
      <c r="T2670">
        <v>12.88</v>
      </c>
      <c r="U2670" t="s">
        <v>2218</v>
      </c>
      <c r="V2670" t="s">
        <v>4541</v>
      </c>
      <c r="W2670" t="s">
        <v>3877</v>
      </c>
      <c r="X2670">
        <v>0.47</v>
      </c>
      <c r="Y2670" t="s">
        <v>12189</v>
      </c>
      <c r="Z2670" t="s">
        <v>5502</v>
      </c>
      <c r="AA2670" t="s">
        <v>1625</v>
      </c>
      <c r="AB2670">
        <v>0.99</v>
      </c>
      <c r="AC2670" t="s">
        <v>719</v>
      </c>
      <c r="AD2670">
        <v>19.649999999999999</v>
      </c>
      <c r="AE2670" t="s">
        <v>1258</v>
      </c>
      <c r="AF2670">
        <v>0.86</v>
      </c>
      <c r="AG2670">
        <v>0</v>
      </c>
      <c r="AH2670">
        <v>0</v>
      </c>
      <c r="AI2670" s="4">
        <v>34404</v>
      </c>
    </row>
    <row r="2671" spans="1:35">
      <c r="A2671">
        <v>2670</v>
      </c>
      <c r="B2671" t="str">
        <f>"603010"</f>
        <v>603010</v>
      </c>
      <c r="C2671" t="s">
        <v>12190</v>
      </c>
      <c r="D2671" s="4">
        <v>43190</v>
      </c>
      <c r="E2671" t="s">
        <v>1180</v>
      </c>
      <c r="F2671" t="s">
        <v>1004</v>
      </c>
      <c r="G2671" t="s">
        <v>427</v>
      </c>
      <c r="H2671">
        <v>0.02</v>
      </c>
      <c r="I2671">
        <v>4.2300000000000004</v>
      </c>
      <c r="J2671">
        <v>0.47</v>
      </c>
      <c r="K2671" t="s">
        <v>478</v>
      </c>
      <c r="L2671">
        <v>-15.48</v>
      </c>
      <c r="M2671" t="s">
        <v>11685</v>
      </c>
      <c r="N2671" t="s">
        <v>5101</v>
      </c>
      <c r="O2671" t="s">
        <v>163</v>
      </c>
      <c r="P2671" t="s">
        <v>12191</v>
      </c>
      <c r="Q2671">
        <v>-86.18</v>
      </c>
      <c r="R2671" t="s">
        <v>47</v>
      </c>
      <c r="S2671">
        <v>1.19</v>
      </c>
      <c r="T2671">
        <v>17.73</v>
      </c>
      <c r="U2671" t="s">
        <v>1455</v>
      </c>
      <c r="V2671" t="s">
        <v>2454</v>
      </c>
      <c r="W2671" t="s">
        <v>545</v>
      </c>
      <c r="X2671">
        <v>0.47</v>
      </c>
      <c r="Y2671" t="s">
        <v>3281</v>
      </c>
      <c r="Z2671" t="s">
        <v>2429</v>
      </c>
      <c r="AA2671" t="s">
        <v>256</v>
      </c>
      <c r="AB2671">
        <v>4.78</v>
      </c>
      <c r="AC2671" t="s">
        <v>602</v>
      </c>
      <c r="AD2671">
        <v>61.01</v>
      </c>
      <c r="AE2671" t="s">
        <v>1436</v>
      </c>
      <c r="AF2671">
        <v>1.91</v>
      </c>
      <c r="AG2671">
        <v>0</v>
      </c>
      <c r="AH2671">
        <v>0</v>
      </c>
      <c r="AI2671" s="4">
        <v>41922</v>
      </c>
    </row>
    <row r="2672" spans="1:35">
      <c r="A2672">
        <v>2671</v>
      </c>
      <c r="B2672" t="str">
        <f>"300355"</f>
        <v>300355</v>
      </c>
      <c r="C2672" t="s">
        <v>12192</v>
      </c>
      <c r="D2672" s="4">
        <v>43190</v>
      </c>
      <c r="E2672" t="s">
        <v>847</v>
      </c>
      <c r="F2672" t="s">
        <v>613</v>
      </c>
      <c r="G2672" t="s">
        <v>4245</v>
      </c>
      <c r="H2672">
        <v>0.01</v>
      </c>
      <c r="I2672">
        <v>2.2599999999999998</v>
      </c>
      <c r="J2672">
        <v>0.47</v>
      </c>
      <c r="K2672" t="s">
        <v>1436</v>
      </c>
      <c r="L2672">
        <v>58.89</v>
      </c>
      <c r="M2672" t="s">
        <v>12193</v>
      </c>
      <c r="N2672" t="s">
        <v>12194</v>
      </c>
      <c r="O2672" t="s">
        <v>12195</v>
      </c>
      <c r="P2672" t="s">
        <v>4457</v>
      </c>
      <c r="Q2672">
        <v>48.38</v>
      </c>
      <c r="R2672" t="s">
        <v>538</v>
      </c>
      <c r="S2672">
        <v>0.87</v>
      </c>
      <c r="T2672">
        <v>25.89</v>
      </c>
      <c r="U2672" t="s">
        <v>815</v>
      </c>
      <c r="V2672" t="s">
        <v>1189</v>
      </c>
      <c r="W2672" t="s">
        <v>707</v>
      </c>
      <c r="X2672">
        <v>0.47</v>
      </c>
      <c r="Y2672" t="s">
        <v>1280</v>
      </c>
      <c r="Z2672" t="s">
        <v>5286</v>
      </c>
      <c r="AA2672" t="s">
        <v>192</v>
      </c>
      <c r="AB2672">
        <v>2.5</v>
      </c>
      <c r="AC2672" t="s">
        <v>3562</v>
      </c>
      <c r="AD2672">
        <v>30.69</v>
      </c>
      <c r="AE2672" t="s">
        <v>1067</v>
      </c>
      <c r="AF2672">
        <v>0.18</v>
      </c>
      <c r="AG2672">
        <v>0</v>
      </c>
      <c r="AH2672">
        <v>0</v>
      </c>
      <c r="AI2672" s="4">
        <v>41179</v>
      </c>
    </row>
    <row r="2673" spans="1:35">
      <c r="A2673">
        <v>2672</v>
      </c>
      <c r="B2673" t="str">
        <f>"300333"</f>
        <v>300333</v>
      </c>
      <c r="C2673" t="s">
        <v>12196</v>
      </c>
      <c r="D2673" s="4">
        <v>43190</v>
      </c>
      <c r="E2673" t="s">
        <v>52</v>
      </c>
      <c r="F2673" t="s">
        <v>977</v>
      </c>
      <c r="G2673">
        <v>8582</v>
      </c>
      <c r="H2673">
        <v>0.01</v>
      </c>
      <c r="I2673">
        <v>2.44</v>
      </c>
      <c r="J2673">
        <v>0.47</v>
      </c>
      <c r="K2673" t="s">
        <v>7764</v>
      </c>
      <c r="L2673">
        <v>12.73</v>
      </c>
      <c r="M2673" t="s">
        <v>10481</v>
      </c>
      <c r="N2673" t="s">
        <v>2932</v>
      </c>
      <c r="O2673" t="s">
        <v>10481</v>
      </c>
      <c r="P2673" t="s">
        <v>4848</v>
      </c>
      <c r="Q2673">
        <v>-48.58</v>
      </c>
      <c r="R2673" t="s">
        <v>197</v>
      </c>
      <c r="S2673">
        <v>0.19</v>
      </c>
      <c r="T2673">
        <v>56.53</v>
      </c>
      <c r="U2673" t="s">
        <v>274</v>
      </c>
      <c r="V2673" t="s">
        <v>1121</v>
      </c>
      <c r="W2673" t="s">
        <v>256</v>
      </c>
      <c r="X2673">
        <v>0.47</v>
      </c>
      <c r="Y2673" t="s">
        <v>12197</v>
      </c>
      <c r="Z2673" t="s">
        <v>12197</v>
      </c>
      <c r="AA2673">
        <v>0</v>
      </c>
      <c r="AB2673">
        <v>3.7</v>
      </c>
      <c r="AC2673" t="s">
        <v>649</v>
      </c>
      <c r="AD2673">
        <v>97.02</v>
      </c>
      <c r="AE2673" t="s">
        <v>2098</v>
      </c>
      <c r="AF2673">
        <v>1.1499999999999999</v>
      </c>
      <c r="AG2673">
        <v>0</v>
      </c>
      <c r="AH2673">
        <v>0</v>
      </c>
      <c r="AI2673" s="4">
        <v>41088</v>
      </c>
    </row>
    <row r="2674" spans="1:35">
      <c r="A2674">
        <v>2673</v>
      </c>
      <c r="B2674" t="str">
        <f>"002725"</f>
        <v>002725</v>
      </c>
      <c r="C2674" t="s">
        <v>12198</v>
      </c>
      <c r="D2674" s="4">
        <v>43190</v>
      </c>
      <c r="E2674" t="s">
        <v>134</v>
      </c>
      <c r="F2674" t="s">
        <v>804</v>
      </c>
      <c r="G2674">
        <v>6405</v>
      </c>
      <c r="H2674">
        <v>0.02</v>
      </c>
      <c r="I2674">
        <v>3.57</v>
      </c>
      <c r="J2674">
        <v>0.47</v>
      </c>
      <c r="K2674" t="s">
        <v>1970</v>
      </c>
      <c r="L2674">
        <v>19.28</v>
      </c>
      <c r="M2674" t="s">
        <v>8482</v>
      </c>
      <c r="N2674" t="s">
        <v>12199</v>
      </c>
      <c r="O2674" t="s">
        <v>12031</v>
      </c>
      <c r="P2674" t="s">
        <v>7542</v>
      </c>
      <c r="Q2674">
        <v>-47.65</v>
      </c>
      <c r="R2674" t="s">
        <v>325</v>
      </c>
      <c r="S2674">
        <v>1.2</v>
      </c>
      <c r="T2674">
        <v>16.34</v>
      </c>
      <c r="U2674" t="s">
        <v>323</v>
      </c>
      <c r="V2674" t="s">
        <v>1615</v>
      </c>
      <c r="W2674" t="s">
        <v>338</v>
      </c>
      <c r="X2674">
        <v>0.47</v>
      </c>
      <c r="Y2674" t="s">
        <v>3768</v>
      </c>
      <c r="Z2674" t="s">
        <v>255</v>
      </c>
      <c r="AA2674" t="s">
        <v>10154</v>
      </c>
      <c r="AB2674">
        <v>3.11</v>
      </c>
      <c r="AC2674" t="s">
        <v>3185</v>
      </c>
      <c r="AD2674">
        <v>81.96</v>
      </c>
      <c r="AE2674" t="s">
        <v>750</v>
      </c>
      <c r="AF2674">
        <v>1.1599999999999999</v>
      </c>
      <c r="AG2674">
        <v>0</v>
      </c>
      <c r="AH2674">
        <v>0</v>
      </c>
      <c r="AI2674" s="4">
        <v>41668</v>
      </c>
    </row>
    <row r="2675" spans="1:35">
      <c r="A2675">
        <v>2674</v>
      </c>
      <c r="B2675" t="str">
        <f>"000971"</f>
        <v>000971</v>
      </c>
      <c r="C2675" t="s">
        <v>12200</v>
      </c>
      <c r="D2675" s="4">
        <v>43190</v>
      </c>
      <c r="E2675" t="s">
        <v>1496</v>
      </c>
      <c r="F2675" t="s">
        <v>2429</v>
      </c>
      <c r="G2675">
        <v>8756</v>
      </c>
      <c r="H2675">
        <v>0.02</v>
      </c>
      <c r="I2675">
        <v>3.62</v>
      </c>
      <c r="J2675">
        <v>0.47</v>
      </c>
      <c r="K2675" t="s">
        <v>1435</v>
      </c>
      <c r="L2675">
        <v>3.95</v>
      </c>
      <c r="M2675" t="s">
        <v>6116</v>
      </c>
      <c r="N2675" t="s">
        <v>240</v>
      </c>
      <c r="O2675" t="s">
        <v>8346</v>
      </c>
      <c r="P2675" t="s">
        <v>12201</v>
      </c>
      <c r="Q2675">
        <v>-56.35</v>
      </c>
      <c r="R2675" t="s">
        <v>12202</v>
      </c>
      <c r="S2675">
        <v>-0.15</v>
      </c>
      <c r="T2675">
        <v>25.12</v>
      </c>
      <c r="U2675" t="s">
        <v>2301</v>
      </c>
      <c r="V2675" t="s">
        <v>2421</v>
      </c>
      <c r="W2675" t="s">
        <v>593</v>
      </c>
      <c r="X2675">
        <v>0.47</v>
      </c>
      <c r="Y2675" t="s">
        <v>1666</v>
      </c>
      <c r="Z2675" t="s">
        <v>258</v>
      </c>
      <c r="AA2675" t="s">
        <v>6582</v>
      </c>
      <c r="AB2675">
        <v>1.03</v>
      </c>
      <c r="AC2675" t="s">
        <v>2871</v>
      </c>
      <c r="AD2675">
        <v>93.2</v>
      </c>
      <c r="AE2675" t="s">
        <v>638</v>
      </c>
      <c r="AF2675">
        <v>2.74</v>
      </c>
      <c r="AG2675">
        <v>0</v>
      </c>
      <c r="AH2675">
        <v>0</v>
      </c>
      <c r="AI2675" s="4">
        <v>36643</v>
      </c>
    </row>
    <row r="2676" spans="1:35">
      <c r="A2676">
        <v>2675</v>
      </c>
      <c r="B2676" t="str">
        <f>"300416"</f>
        <v>300416</v>
      </c>
      <c r="C2676" t="s">
        <v>12203</v>
      </c>
      <c r="D2676" s="4">
        <v>43190</v>
      </c>
      <c r="E2676" t="s">
        <v>322</v>
      </c>
      <c r="F2676" t="s">
        <v>12204</v>
      </c>
      <c r="G2676" t="s">
        <v>2531</v>
      </c>
      <c r="H2676">
        <v>0.02</v>
      </c>
      <c r="I2676">
        <v>4.16</v>
      </c>
      <c r="J2676">
        <v>0.46</v>
      </c>
      <c r="K2676" t="s">
        <v>804</v>
      </c>
      <c r="L2676">
        <v>48.46</v>
      </c>
      <c r="M2676" t="s">
        <v>5489</v>
      </c>
      <c r="N2676">
        <v>0</v>
      </c>
      <c r="O2676" t="s">
        <v>5489</v>
      </c>
      <c r="P2676" t="s">
        <v>621</v>
      </c>
      <c r="Q2676">
        <v>267.83</v>
      </c>
      <c r="R2676" t="s">
        <v>1905</v>
      </c>
      <c r="S2676">
        <v>1.9</v>
      </c>
      <c r="T2676">
        <v>39.270000000000003</v>
      </c>
      <c r="U2676" t="s">
        <v>407</v>
      </c>
      <c r="V2676" t="s">
        <v>3603</v>
      </c>
      <c r="W2676" t="s">
        <v>1049</v>
      </c>
      <c r="X2676">
        <v>0.46</v>
      </c>
      <c r="Y2676" t="s">
        <v>4044</v>
      </c>
      <c r="Z2676" t="s">
        <v>1939</v>
      </c>
      <c r="AA2676" t="s">
        <v>7633</v>
      </c>
      <c r="AB2676">
        <v>5.03</v>
      </c>
      <c r="AC2676" t="s">
        <v>2111</v>
      </c>
      <c r="AD2676">
        <v>50.84</v>
      </c>
      <c r="AE2676" t="s">
        <v>711</v>
      </c>
      <c r="AF2676">
        <v>1.1000000000000001</v>
      </c>
      <c r="AG2676">
        <v>0</v>
      </c>
      <c r="AH2676">
        <v>0</v>
      </c>
      <c r="AI2676" s="4">
        <v>42026</v>
      </c>
    </row>
    <row r="2677" spans="1:35">
      <c r="A2677">
        <v>2676</v>
      </c>
      <c r="B2677" t="str">
        <f>"300245"</f>
        <v>300245</v>
      </c>
      <c r="C2677" t="s">
        <v>12205</v>
      </c>
      <c r="D2677" s="4">
        <v>43190</v>
      </c>
      <c r="E2677" t="s">
        <v>121</v>
      </c>
      <c r="F2677" t="s">
        <v>912</v>
      </c>
      <c r="G2677">
        <v>7128</v>
      </c>
      <c r="H2677">
        <v>0.02</v>
      </c>
      <c r="I2677">
        <v>4.3899999999999997</v>
      </c>
      <c r="J2677">
        <v>0.46</v>
      </c>
      <c r="K2677" t="s">
        <v>12206</v>
      </c>
      <c r="L2677">
        <v>-3.74</v>
      </c>
      <c r="M2677" t="s">
        <v>10218</v>
      </c>
      <c r="N2677" t="s">
        <v>5101</v>
      </c>
      <c r="O2677" t="s">
        <v>10371</v>
      </c>
      <c r="P2677" t="s">
        <v>4257</v>
      </c>
      <c r="Q2677">
        <v>1.37</v>
      </c>
      <c r="R2677" t="s">
        <v>1967</v>
      </c>
      <c r="S2677">
        <v>1.07</v>
      </c>
      <c r="T2677">
        <v>32.340000000000003</v>
      </c>
      <c r="U2677" t="s">
        <v>908</v>
      </c>
      <c r="V2677" t="s">
        <v>323</v>
      </c>
      <c r="W2677" t="s">
        <v>559</v>
      </c>
      <c r="X2677">
        <v>0.46</v>
      </c>
      <c r="Y2677" t="s">
        <v>1974</v>
      </c>
      <c r="Z2677" t="s">
        <v>1370</v>
      </c>
      <c r="AA2677" t="s">
        <v>9598</v>
      </c>
      <c r="AB2677">
        <v>2.46</v>
      </c>
      <c r="AC2677" t="s">
        <v>176</v>
      </c>
      <c r="AD2677">
        <v>90.63</v>
      </c>
      <c r="AE2677" t="s">
        <v>2177</v>
      </c>
      <c r="AF2677">
        <v>2.27</v>
      </c>
      <c r="AG2677">
        <v>0</v>
      </c>
      <c r="AH2677">
        <v>0</v>
      </c>
      <c r="AI2677" s="4">
        <v>40743</v>
      </c>
    </row>
    <row r="2678" spans="1:35">
      <c r="A2678">
        <v>2677</v>
      </c>
      <c r="B2678" t="str">
        <f>"002487"</f>
        <v>002487</v>
      </c>
      <c r="C2678" t="s">
        <v>12207</v>
      </c>
      <c r="D2678" s="4">
        <v>43190</v>
      </c>
      <c r="E2678" t="s">
        <v>1972</v>
      </c>
      <c r="F2678" t="s">
        <v>858</v>
      </c>
      <c r="G2678" t="s">
        <v>6659</v>
      </c>
      <c r="H2678">
        <v>0.01</v>
      </c>
      <c r="I2678">
        <v>3.17</v>
      </c>
      <c r="J2678">
        <v>0.46</v>
      </c>
      <c r="K2678" t="s">
        <v>505</v>
      </c>
      <c r="L2678">
        <v>21.27</v>
      </c>
      <c r="M2678" t="s">
        <v>9123</v>
      </c>
      <c r="N2678" t="s">
        <v>8026</v>
      </c>
      <c r="O2678" t="s">
        <v>7064</v>
      </c>
      <c r="P2678" t="s">
        <v>12208</v>
      </c>
      <c r="Q2678">
        <v>84.79</v>
      </c>
      <c r="R2678" t="s">
        <v>150</v>
      </c>
      <c r="S2678">
        <v>0.72</v>
      </c>
      <c r="T2678">
        <v>16.739999999999998</v>
      </c>
      <c r="U2678" t="s">
        <v>2523</v>
      </c>
      <c r="V2678" t="s">
        <v>389</v>
      </c>
      <c r="W2678" t="s">
        <v>2590</v>
      </c>
      <c r="X2678">
        <v>0.46</v>
      </c>
      <c r="Y2678" t="s">
        <v>895</v>
      </c>
      <c r="Z2678" t="s">
        <v>2358</v>
      </c>
      <c r="AA2678" t="s">
        <v>3535</v>
      </c>
      <c r="AB2678">
        <v>1.1200000000000001</v>
      </c>
      <c r="AC2678" t="s">
        <v>1343</v>
      </c>
      <c r="AD2678">
        <v>63.53</v>
      </c>
      <c r="AE2678" t="s">
        <v>805</v>
      </c>
      <c r="AF2678">
        <v>1.41</v>
      </c>
      <c r="AG2678">
        <v>0</v>
      </c>
      <c r="AH2678">
        <v>0</v>
      </c>
      <c r="AI2678" s="4">
        <v>40466</v>
      </c>
    </row>
    <row r="2679" spans="1:35">
      <c r="A2679">
        <v>2678</v>
      </c>
      <c r="B2679" t="str">
        <f>"002371"</f>
        <v>002371</v>
      </c>
      <c r="C2679" t="s">
        <v>12209</v>
      </c>
      <c r="D2679" s="4">
        <v>43190</v>
      </c>
      <c r="E2679" t="s">
        <v>2625</v>
      </c>
      <c r="F2679" t="s">
        <v>1359</v>
      </c>
      <c r="G2679" t="s">
        <v>6659</v>
      </c>
      <c r="H2679">
        <v>0.03</v>
      </c>
      <c r="I2679">
        <v>7.25</v>
      </c>
      <c r="J2679">
        <v>0.46</v>
      </c>
      <c r="K2679" t="s">
        <v>734</v>
      </c>
      <c r="L2679">
        <v>30.85</v>
      </c>
      <c r="M2679" t="s">
        <v>12210</v>
      </c>
      <c r="N2679">
        <v>0</v>
      </c>
      <c r="O2679" t="s">
        <v>12211</v>
      </c>
      <c r="P2679" t="s">
        <v>7831</v>
      </c>
      <c r="Q2679">
        <v>857.58</v>
      </c>
      <c r="R2679" t="s">
        <v>2512</v>
      </c>
      <c r="S2679">
        <v>1.98</v>
      </c>
      <c r="T2679">
        <v>41.91</v>
      </c>
      <c r="U2679" t="s">
        <v>2677</v>
      </c>
      <c r="V2679" t="s">
        <v>2059</v>
      </c>
      <c r="W2679" t="s">
        <v>161</v>
      </c>
      <c r="X2679">
        <v>0.46</v>
      </c>
      <c r="Y2679" t="s">
        <v>3733</v>
      </c>
      <c r="Z2679" t="s">
        <v>2283</v>
      </c>
      <c r="AA2679" t="s">
        <v>115</v>
      </c>
      <c r="AB2679">
        <v>6.53</v>
      </c>
      <c r="AC2679" t="s">
        <v>2028</v>
      </c>
      <c r="AD2679">
        <v>38.979999999999997</v>
      </c>
      <c r="AE2679" t="s">
        <v>308</v>
      </c>
      <c r="AF2679">
        <v>4.12</v>
      </c>
      <c r="AG2679">
        <v>0</v>
      </c>
      <c r="AH2679">
        <v>0</v>
      </c>
      <c r="AI2679" s="4">
        <v>40253</v>
      </c>
    </row>
    <row r="2680" spans="1:35">
      <c r="A2680">
        <v>2679</v>
      </c>
      <c r="B2680" t="str">
        <f>"002364"</f>
        <v>002364</v>
      </c>
      <c r="C2680" t="s">
        <v>12212</v>
      </c>
      <c r="D2680" s="4">
        <v>43190</v>
      </c>
      <c r="E2680" t="s">
        <v>1121</v>
      </c>
      <c r="F2680" t="s">
        <v>1309</v>
      </c>
      <c r="G2680" t="s">
        <v>1862</v>
      </c>
      <c r="H2680">
        <v>0.02</v>
      </c>
      <c r="I2680">
        <v>4.08</v>
      </c>
      <c r="J2680">
        <v>0.46</v>
      </c>
      <c r="K2680" t="s">
        <v>319</v>
      </c>
      <c r="L2680">
        <v>2.29</v>
      </c>
      <c r="M2680" t="s">
        <v>11402</v>
      </c>
      <c r="N2680" t="s">
        <v>12213</v>
      </c>
      <c r="O2680" t="s">
        <v>11061</v>
      </c>
      <c r="P2680" t="s">
        <v>7304</v>
      </c>
      <c r="Q2680">
        <v>-65.05</v>
      </c>
      <c r="R2680" t="s">
        <v>1521</v>
      </c>
      <c r="S2680">
        <v>1.0900000000000001</v>
      </c>
      <c r="T2680">
        <v>30.85</v>
      </c>
      <c r="U2680" t="s">
        <v>1504</v>
      </c>
      <c r="V2680" t="s">
        <v>877</v>
      </c>
      <c r="W2680" t="s">
        <v>696</v>
      </c>
      <c r="X2680">
        <v>0.46</v>
      </c>
      <c r="Y2680" t="s">
        <v>1853</v>
      </c>
      <c r="Z2680" t="s">
        <v>1624</v>
      </c>
      <c r="AA2680" t="s">
        <v>12214</v>
      </c>
      <c r="AB2680">
        <v>2.2400000000000002</v>
      </c>
      <c r="AC2680" t="s">
        <v>244</v>
      </c>
      <c r="AD2680">
        <v>91.07</v>
      </c>
      <c r="AE2680" t="s">
        <v>407</v>
      </c>
      <c r="AF2680">
        <v>1.87</v>
      </c>
      <c r="AG2680">
        <v>0</v>
      </c>
      <c r="AH2680">
        <v>0</v>
      </c>
      <c r="AI2680" s="4">
        <v>40242</v>
      </c>
    </row>
    <row r="2681" spans="1:35">
      <c r="A2681">
        <v>2680</v>
      </c>
      <c r="B2681" t="str">
        <f>"600558"</f>
        <v>600558</v>
      </c>
      <c r="C2681" t="s">
        <v>12215</v>
      </c>
      <c r="D2681" s="4">
        <v>43190</v>
      </c>
      <c r="E2681" t="s">
        <v>8311</v>
      </c>
      <c r="F2681" t="s">
        <v>8311</v>
      </c>
      <c r="G2681" t="s">
        <v>723</v>
      </c>
      <c r="H2681">
        <v>0.01</v>
      </c>
      <c r="I2681">
        <v>2.1</v>
      </c>
      <c r="J2681">
        <v>0.46</v>
      </c>
      <c r="K2681" t="s">
        <v>2392</v>
      </c>
      <c r="L2681">
        <v>15.4</v>
      </c>
      <c r="M2681" t="s">
        <v>4598</v>
      </c>
      <c r="N2681" t="s">
        <v>6177</v>
      </c>
      <c r="O2681" t="s">
        <v>8798</v>
      </c>
      <c r="P2681" t="s">
        <v>3479</v>
      </c>
      <c r="Q2681">
        <v>-44.05</v>
      </c>
      <c r="R2681" t="s">
        <v>4185</v>
      </c>
      <c r="S2681">
        <v>0.5</v>
      </c>
      <c r="T2681">
        <v>14.67</v>
      </c>
      <c r="U2681" t="s">
        <v>864</v>
      </c>
      <c r="V2681" t="s">
        <v>176</v>
      </c>
      <c r="W2681" t="s">
        <v>147</v>
      </c>
      <c r="X2681">
        <v>0.46</v>
      </c>
      <c r="Y2681" t="s">
        <v>1998</v>
      </c>
      <c r="Z2681" t="s">
        <v>2235</v>
      </c>
      <c r="AA2681" t="s">
        <v>12216</v>
      </c>
      <c r="AB2681">
        <v>2.02</v>
      </c>
      <c r="AC2681" t="s">
        <v>308</v>
      </c>
      <c r="AD2681">
        <v>63.14</v>
      </c>
      <c r="AE2681" t="s">
        <v>545</v>
      </c>
      <c r="AF2681">
        <v>0.5</v>
      </c>
      <c r="AG2681">
        <v>0</v>
      </c>
      <c r="AH2681">
        <v>0</v>
      </c>
      <c r="AI2681" s="4">
        <v>36949</v>
      </c>
    </row>
    <row r="2682" spans="1:35">
      <c r="A2682">
        <v>2681</v>
      </c>
      <c r="B2682" t="str">
        <f>"600175"</f>
        <v>600175</v>
      </c>
      <c r="C2682" t="s">
        <v>12217</v>
      </c>
      <c r="D2682" s="4">
        <v>43190</v>
      </c>
      <c r="E2682" t="s">
        <v>1224</v>
      </c>
      <c r="F2682" t="s">
        <v>706</v>
      </c>
      <c r="G2682" t="s">
        <v>12068</v>
      </c>
      <c r="H2682">
        <v>0.01</v>
      </c>
      <c r="I2682">
        <v>3</v>
      </c>
      <c r="J2682">
        <v>0.45</v>
      </c>
      <c r="K2682" t="s">
        <v>101</v>
      </c>
      <c r="L2682">
        <v>17.809999999999999</v>
      </c>
      <c r="M2682" t="s">
        <v>12218</v>
      </c>
      <c r="N2682" t="s">
        <v>6354</v>
      </c>
      <c r="O2682" t="s">
        <v>12219</v>
      </c>
      <c r="P2682" t="s">
        <v>12220</v>
      </c>
      <c r="Q2682">
        <v>42.08</v>
      </c>
      <c r="R2682" t="s">
        <v>2089</v>
      </c>
      <c r="S2682">
        <v>0.19</v>
      </c>
      <c r="T2682">
        <v>16.579999999999998</v>
      </c>
      <c r="U2682" t="s">
        <v>1251</v>
      </c>
      <c r="V2682" t="s">
        <v>5126</v>
      </c>
      <c r="W2682" t="s">
        <v>190</v>
      </c>
      <c r="X2682">
        <v>0.45</v>
      </c>
      <c r="Y2682" t="s">
        <v>1674</v>
      </c>
      <c r="Z2682" t="s">
        <v>3733</v>
      </c>
      <c r="AA2682" t="s">
        <v>771</v>
      </c>
      <c r="AB2682">
        <v>1.39</v>
      </c>
      <c r="AC2682" t="s">
        <v>3472</v>
      </c>
      <c r="AD2682">
        <v>63.85</v>
      </c>
      <c r="AE2682" t="s">
        <v>2180</v>
      </c>
      <c r="AF2682">
        <v>1.81</v>
      </c>
      <c r="AG2682">
        <v>0</v>
      </c>
      <c r="AH2682">
        <v>0</v>
      </c>
      <c r="AI2682" s="4">
        <v>36258</v>
      </c>
    </row>
    <row r="2683" spans="1:35">
      <c r="A2683">
        <v>2682</v>
      </c>
      <c r="B2683" t="str">
        <f>"603077"</f>
        <v>603077</v>
      </c>
      <c r="C2683" t="s">
        <v>12221</v>
      </c>
      <c r="D2683" s="4">
        <v>43190</v>
      </c>
      <c r="E2683" t="s">
        <v>10899</v>
      </c>
      <c r="F2683" t="s">
        <v>10899</v>
      </c>
      <c r="G2683" t="s">
        <v>1921</v>
      </c>
      <c r="H2683">
        <v>0.01</v>
      </c>
      <c r="I2683">
        <v>1.22</v>
      </c>
      <c r="J2683">
        <v>0.45</v>
      </c>
      <c r="K2683" t="s">
        <v>973</v>
      </c>
      <c r="L2683">
        <v>24.05</v>
      </c>
      <c r="M2683" t="s">
        <v>12222</v>
      </c>
      <c r="N2683" t="s">
        <v>12223</v>
      </c>
      <c r="O2683" t="s">
        <v>12224</v>
      </c>
      <c r="P2683" t="s">
        <v>12225</v>
      </c>
      <c r="Q2683">
        <v>-71.03</v>
      </c>
      <c r="R2683" t="s">
        <v>1343</v>
      </c>
      <c r="S2683">
        <v>0.18</v>
      </c>
      <c r="T2683">
        <v>17.71</v>
      </c>
      <c r="U2683" t="s">
        <v>1784</v>
      </c>
      <c r="V2683" t="s">
        <v>940</v>
      </c>
      <c r="W2683" t="s">
        <v>3241</v>
      </c>
      <c r="X2683">
        <v>0.45</v>
      </c>
      <c r="Y2683" t="s">
        <v>303</v>
      </c>
      <c r="Z2683" t="s">
        <v>982</v>
      </c>
      <c r="AA2683" t="s">
        <v>2310</v>
      </c>
      <c r="AB2683">
        <v>1.35</v>
      </c>
      <c r="AC2683" t="s">
        <v>2066</v>
      </c>
      <c r="AD2683">
        <v>84.2</v>
      </c>
      <c r="AE2683" t="s">
        <v>1417</v>
      </c>
      <c r="AF2683">
        <v>0.02</v>
      </c>
      <c r="AG2683">
        <v>0</v>
      </c>
      <c r="AH2683">
        <v>0</v>
      </c>
      <c r="AI2683" s="4">
        <v>41121</v>
      </c>
    </row>
    <row r="2684" spans="1:35">
      <c r="A2684">
        <v>2683</v>
      </c>
      <c r="B2684" t="str">
        <f>"600303"</f>
        <v>600303</v>
      </c>
      <c r="C2684" t="s">
        <v>12226</v>
      </c>
      <c r="D2684" s="4">
        <v>43190</v>
      </c>
      <c r="E2684" t="s">
        <v>1671</v>
      </c>
      <c r="F2684" t="s">
        <v>3587</v>
      </c>
      <c r="G2684">
        <v>8224</v>
      </c>
      <c r="H2684">
        <v>0.02</v>
      </c>
      <c r="I2684">
        <v>4.46</v>
      </c>
      <c r="J2684">
        <v>0.45</v>
      </c>
      <c r="K2684" t="s">
        <v>1774</v>
      </c>
      <c r="L2684">
        <v>-3.49</v>
      </c>
      <c r="M2684" t="s">
        <v>12227</v>
      </c>
      <c r="N2684" t="s">
        <v>12228</v>
      </c>
      <c r="O2684" t="s">
        <v>12229</v>
      </c>
      <c r="P2684" t="s">
        <v>6860</v>
      </c>
      <c r="Q2684">
        <v>-96.89</v>
      </c>
      <c r="R2684" t="s">
        <v>521</v>
      </c>
      <c r="S2684">
        <v>1.42</v>
      </c>
      <c r="T2684">
        <v>18.62</v>
      </c>
      <c r="U2684" t="s">
        <v>1498</v>
      </c>
      <c r="V2684" t="s">
        <v>1890</v>
      </c>
      <c r="W2684" t="s">
        <v>2280</v>
      </c>
      <c r="X2684">
        <v>0.45</v>
      </c>
      <c r="Y2684" t="s">
        <v>1669</v>
      </c>
      <c r="Z2684" t="s">
        <v>638</v>
      </c>
      <c r="AA2684" t="s">
        <v>3154</v>
      </c>
      <c r="AB2684">
        <v>1.27</v>
      </c>
      <c r="AC2684" t="s">
        <v>313</v>
      </c>
      <c r="AD2684">
        <v>41.12</v>
      </c>
      <c r="AE2684" t="s">
        <v>323</v>
      </c>
      <c r="AF2684">
        <v>1.64</v>
      </c>
      <c r="AG2684">
        <v>0</v>
      </c>
      <c r="AH2684">
        <v>0</v>
      </c>
      <c r="AI2684" s="4">
        <v>36886</v>
      </c>
    </row>
    <row r="2685" spans="1:35">
      <c r="A2685">
        <v>2684</v>
      </c>
      <c r="B2685" t="str">
        <f>"600063"</f>
        <v>600063</v>
      </c>
      <c r="C2685" t="s">
        <v>12230</v>
      </c>
      <c r="D2685" s="4">
        <v>43190</v>
      </c>
      <c r="E2685" t="s">
        <v>1752</v>
      </c>
      <c r="F2685" t="s">
        <v>1752</v>
      </c>
      <c r="G2685" t="s">
        <v>4294</v>
      </c>
      <c r="H2685">
        <v>0.01</v>
      </c>
      <c r="I2685">
        <v>2.4300000000000002</v>
      </c>
      <c r="J2685">
        <v>0.45</v>
      </c>
      <c r="K2685" t="s">
        <v>264</v>
      </c>
      <c r="L2685">
        <v>28.05</v>
      </c>
      <c r="M2685" t="s">
        <v>12231</v>
      </c>
      <c r="N2685" t="s">
        <v>4624</v>
      </c>
      <c r="O2685" t="s">
        <v>12232</v>
      </c>
      <c r="P2685" t="s">
        <v>6886</v>
      </c>
      <c r="Q2685">
        <v>-20.46</v>
      </c>
      <c r="R2685" t="s">
        <v>707</v>
      </c>
      <c r="S2685">
        <v>0.17</v>
      </c>
      <c r="T2685">
        <v>15.28</v>
      </c>
      <c r="U2685" t="s">
        <v>3285</v>
      </c>
      <c r="V2685" t="s">
        <v>276</v>
      </c>
      <c r="W2685" t="s">
        <v>1231</v>
      </c>
      <c r="X2685">
        <v>0.45</v>
      </c>
      <c r="Y2685" t="s">
        <v>511</v>
      </c>
      <c r="Z2685" t="s">
        <v>1625</v>
      </c>
      <c r="AA2685" t="s">
        <v>3630</v>
      </c>
      <c r="AB2685">
        <v>1.0900000000000001</v>
      </c>
      <c r="AC2685" t="s">
        <v>3886</v>
      </c>
      <c r="AD2685">
        <v>54.05</v>
      </c>
      <c r="AE2685" t="s">
        <v>847</v>
      </c>
      <c r="AF2685">
        <v>0.83</v>
      </c>
      <c r="AG2685">
        <v>0</v>
      </c>
      <c r="AH2685">
        <v>0</v>
      </c>
      <c r="AI2685" s="4">
        <v>35578</v>
      </c>
    </row>
    <row r="2686" spans="1:35">
      <c r="A2686">
        <v>2685</v>
      </c>
      <c r="B2686" t="str">
        <f>"300130"</f>
        <v>300130</v>
      </c>
      <c r="C2686" t="s">
        <v>12233</v>
      </c>
      <c r="D2686" s="4">
        <v>43190</v>
      </c>
      <c r="E2686" t="s">
        <v>3006</v>
      </c>
      <c r="F2686" t="s">
        <v>286</v>
      </c>
      <c r="G2686" t="s">
        <v>1448</v>
      </c>
      <c r="H2686">
        <v>0.02</v>
      </c>
      <c r="I2686">
        <v>4.1399999999999997</v>
      </c>
      <c r="J2686">
        <v>0.45</v>
      </c>
      <c r="K2686" t="s">
        <v>507</v>
      </c>
      <c r="L2686">
        <v>32.729999999999997</v>
      </c>
      <c r="M2686" t="s">
        <v>9421</v>
      </c>
      <c r="N2686" t="s">
        <v>10830</v>
      </c>
      <c r="O2686" t="s">
        <v>6848</v>
      </c>
      <c r="P2686" t="s">
        <v>10173</v>
      </c>
      <c r="Q2686">
        <v>63.19</v>
      </c>
      <c r="R2686" t="s">
        <v>3324</v>
      </c>
      <c r="S2686">
        <v>1.1100000000000001</v>
      </c>
      <c r="T2686">
        <v>32.369999999999997</v>
      </c>
      <c r="U2686" t="s">
        <v>1133</v>
      </c>
      <c r="V2686" t="s">
        <v>1693</v>
      </c>
      <c r="W2686" t="s">
        <v>185</v>
      </c>
      <c r="X2686">
        <v>0.45</v>
      </c>
      <c r="Y2686" t="s">
        <v>757</v>
      </c>
      <c r="Z2686" t="s">
        <v>250</v>
      </c>
      <c r="AA2686" t="s">
        <v>857</v>
      </c>
      <c r="AB2686">
        <v>2.99</v>
      </c>
      <c r="AC2686" t="s">
        <v>418</v>
      </c>
      <c r="AD2686">
        <v>52.57</v>
      </c>
      <c r="AE2686" t="s">
        <v>835</v>
      </c>
      <c r="AF2686">
        <v>1.93</v>
      </c>
      <c r="AG2686">
        <v>0</v>
      </c>
      <c r="AH2686">
        <v>0</v>
      </c>
      <c r="AI2686" s="4">
        <v>40470</v>
      </c>
    </row>
    <row r="2687" spans="1:35">
      <c r="A2687">
        <v>2686</v>
      </c>
      <c r="B2687" t="str">
        <f>"002715"</f>
        <v>002715</v>
      </c>
      <c r="C2687" t="s">
        <v>12234</v>
      </c>
      <c r="D2687" s="4">
        <v>43190</v>
      </c>
      <c r="E2687" t="s">
        <v>4727</v>
      </c>
      <c r="F2687" t="s">
        <v>11380</v>
      </c>
      <c r="G2687">
        <v>7794</v>
      </c>
      <c r="H2687">
        <v>0.02</v>
      </c>
      <c r="I2687">
        <v>5.2</v>
      </c>
      <c r="J2687">
        <v>0.45</v>
      </c>
      <c r="K2687" t="s">
        <v>12235</v>
      </c>
      <c r="L2687">
        <v>18.22</v>
      </c>
      <c r="M2687" t="s">
        <v>12236</v>
      </c>
      <c r="N2687">
        <v>0</v>
      </c>
      <c r="O2687" t="s">
        <v>5925</v>
      </c>
      <c r="P2687" t="s">
        <v>2091</v>
      </c>
      <c r="Q2687">
        <v>-64.010000000000005</v>
      </c>
      <c r="R2687" t="s">
        <v>443</v>
      </c>
      <c r="S2687">
        <v>1.21</v>
      </c>
      <c r="T2687">
        <v>23.56</v>
      </c>
      <c r="U2687" t="s">
        <v>883</v>
      </c>
      <c r="V2687" t="s">
        <v>1461</v>
      </c>
      <c r="W2687" t="s">
        <v>1484</v>
      </c>
      <c r="X2687">
        <v>0.45</v>
      </c>
      <c r="Y2687" t="s">
        <v>1264</v>
      </c>
      <c r="Z2687" t="s">
        <v>608</v>
      </c>
      <c r="AA2687" t="s">
        <v>8368</v>
      </c>
      <c r="AB2687">
        <v>2.81</v>
      </c>
      <c r="AC2687" t="s">
        <v>3006</v>
      </c>
      <c r="AD2687">
        <v>70.61</v>
      </c>
      <c r="AE2687" t="s">
        <v>258</v>
      </c>
      <c r="AF2687">
        <v>2.77</v>
      </c>
      <c r="AG2687">
        <v>0</v>
      </c>
      <c r="AH2687">
        <v>0</v>
      </c>
      <c r="AI2687" s="4">
        <v>41689</v>
      </c>
    </row>
    <row r="2688" spans="1:35">
      <c r="A2688">
        <v>2687</v>
      </c>
      <c r="B2688" t="str">
        <f>"002443"</f>
        <v>002443</v>
      </c>
      <c r="C2688" t="s">
        <v>12237</v>
      </c>
      <c r="D2688" s="4">
        <v>43190</v>
      </c>
      <c r="E2688" t="s">
        <v>1611</v>
      </c>
      <c r="F2688" t="s">
        <v>442</v>
      </c>
      <c r="G2688" t="s">
        <v>2125</v>
      </c>
      <c r="H2688">
        <v>0.02</v>
      </c>
      <c r="I2688">
        <v>4.1100000000000003</v>
      </c>
      <c r="J2688">
        <v>0.45</v>
      </c>
      <c r="K2688" t="s">
        <v>4306</v>
      </c>
      <c r="L2688">
        <v>16.5</v>
      </c>
      <c r="M2688" t="s">
        <v>3855</v>
      </c>
      <c r="N2688" t="s">
        <v>12238</v>
      </c>
      <c r="O2688" t="s">
        <v>11774</v>
      </c>
      <c r="P2688" t="s">
        <v>5367</v>
      </c>
      <c r="Q2688">
        <v>47.42</v>
      </c>
      <c r="R2688" t="s">
        <v>3544</v>
      </c>
      <c r="S2688">
        <v>1.44</v>
      </c>
      <c r="T2688">
        <v>10.49</v>
      </c>
      <c r="U2688" t="s">
        <v>1127</v>
      </c>
      <c r="V2688" t="s">
        <v>576</v>
      </c>
      <c r="W2688" t="s">
        <v>2646</v>
      </c>
      <c r="X2688">
        <v>0.45</v>
      </c>
      <c r="Y2688" t="s">
        <v>835</v>
      </c>
      <c r="Z2688" t="s">
        <v>4345</v>
      </c>
      <c r="AA2688" t="s">
        <v>382</v>
      </c>
      <c r="AB2688">
        <v>1.65</v>
      </c>
      <c r="AC2688" t="s">
        <v>420</v>
      </c>
      <c r="AD2688">
        <v>62.85</v>
      </c>
      <c r="AE2688" t="s">
        <v>1162</v>
      </c>
      <c r="AF2688">
        <v>1.49</v>
      </c>
      <c r="AG2688">
        <v>0</v>
      </c>
      <c r="AH2688">
        <v>0</v>
      </c>
      <c r="AI2688" s="4">
        <v>40365</v>
      </c>
    </row>
    <row r="2689" spans="1:35">
      <c r="A2689">
        <v>2688</v>
      </c>
      <c r="B2689" t="str">
        <f>"002012"</f>
        <v>002012</v>
      </c>
      <c r="C2689" t="s">
        <v>12239</v>
      </c>
      <c r="D2689" s="4">
        <v>43190</v>
      </c>
      <c r="E2689" t="s">
        <v>735</v>
      </c>
      <c r="F2689" t="s">
        <v>735</v>
      </c>
      <c r="G2689" t="s">
        <v>4665</v>
      </c>
      <c r="H2689">
        <v>0.01</v>
      </c>
      <c r="I2689">
        <v>2.6</v>
      </c>
      <c r="J2689">
        <v>0.45</v>
      </c>
      <c r="K2689" t="s">
        <v>81</v>
      </c>
      <c r="L2689">
        <v>20.84</v>
      </c>
      <c r="M2689" t="s">
        <v>8911</v>
      </c>
      <c r="N2689" t="s">
        <v>7719</v>
      </c>
      <c r="O2689" t="s">
        <v>8911</v>
      </c>
      <c r="P2689" t="s">
        <v>11017</v>
      </c>
      <c r="Q2689">
        <v>-68.25</v>
      </c>
      <c r="R2689" t="s">
        <v>78</v>
      </c>
      <c r="S2689">
        <v>0.86</v>
      </c>
      <c r="T2689">
        <v>23.3</v>
      </c>
      <c r="U2689" t="s">
        <v>775</v>
      </c>
      <c r="V2689" t="s">
        <v>960</v>
      </c>
      <c r="W2689" t="s">
        <v>1088</v>
      </c>
      <c r="X2689">
        <v>0.45</v>
      </c>
      <c r="Y2689" t="s">
        <v>155</v>
      </c>
      <c r="Z2689" t="s">
        <v>2098</v>
      </c>
      <c r="AA2689" t="s">
        <v>12240</v>
      </c>
      <c r="AB2689">
        <v>2.2000000000000002</v>
      </c>
      <c r="AC2689" t="s">
        <v>982</v>
      </c>
      <c r="AD2689">
        <v>69.040000000000006</v>
      </c>
      <c r="AE2689" t="s">
        <v>1511</v>
      </c>
      <c r="AF2689">
        <v>0.57999999999999996</v>
      </c>
      <c r="AG2689">
        <v>0</v>
      </c>
      <c r="AH2689">
        <v>0</v>
      </c>
      <c r="AI2689" s="4">
        <v>38173</v>
      </c>
    </row>
    <row r="2690" spans="1:35">
      <c r="A2690">
        <v>2689</v>
      </c>
      <c r="B2690" t="str">
        <f>"000815"</f>
        <v>000815</v>
      </c>
      <c r="C2690" t="s">
        <v>12241</v>
      </c>
      <c r="D2690" s="4">
        <v>43190</v>
      </c>
      <c r="E2690" t="s">
        <v>2456</v>
      </c>
      <c r="F2690" t="s">
        <v>1964</v>
      </c>
      <c r="G2690" t="s">
        <v>2234</v>
      </c>
      <c r="H2690">
        <v>0.01</v>
      </c>
      <c r="I2690">
        <v>2.88</v>
      </c>
      <c r="J2690">
        <v>0.45</v>
      </c>
      <c r="K2690" t="s">
        <v>1905</v>
      </c>
      <c r="L2690">
        <v>42.48</v>
      </c>
      <c r="M2690" t="s">
        <v>3730</v>
      </c>
      <c r="N2690" t="s">
        <v>11145</v>
      </c>
      <c r="O2690" t="s">
        <v>10097</v>
      </c>
      <c r="P2690" t="s">
        <v>12242</v>
      </c>
      <c r="Q2690">
        <v>191.04</v>
      </c>
      <c r="R2690" t="s">
        <v>12243</v>
      </c>
      <c r="S2690">
        <v>-1.04</v>
      </c>
      <c r="T2690">
        <v>14.26</v>
      </c>
      <c r="U2690" t="s">
        <v>1542</v>
      </c>
      <c r="V2690" t="s">
        <v>1244</v>
      </c>
      <c r="W2690" t="s">
        <v>1042</v>
      </c>
      <c r="X2690">
        <v>0.45</v>
      </c>
      <c r="Y2690" t="s">
        <v>1462</v>
      </c>
      <c r="Z2690" t="s">
        <v>2647</v>
      </c>
      <c r="AA2690" t="s">
        <v>258</v>
      </c>
      <c r="AB2690">
        <v>3.24</v>
      </c>
      <c r="AC2690" t="s">
        <v>1000</v>
      </c>
      <c r="AD2690">
        <v>69.63</v>
      </c>
      <c r="AE2690" t="s">
        <v>419</v>
      </c>
      <c r="AF2690">
        <v>2.82</v>
      </c>
      <c r="AG2690">
        <v>0</v>
      </c>
      <c r="AH2690">
        <v>0</v>
      </c>
      <c r="AI2690" s="4">
        <v>35955</v>
      </c>
    </row>
    <row r="2691" spans="1:35">
      <c r="A2691">
        <v>2690</v>
      </c>
      <c r="B2691" t="str">
        <f>"603909"</f>
        <v>603909</v>
      </c>
      <c r="C2691" t="s">
        <v>12244</v>
      </c>
      <c r="D2691" s="4">
        <v>43190</v>
      </c>
      <c r="E2691" t="s">
        <v>533</v>
      </c>
      <c r="F2691" t="s">
        <v>534</v>
      </c>
      <c r="G2691">
        <v>2739</v>
      </c>
      <c r="H2691">
        <v>0.03</v>
      </c>
      <c r="I2691">
        <v>6.08</v>
      </c>
      <c r="J2691">
        <v>0.44</v>
      </c>
      <c r="K2691" t="s">
        <v>12245</v>
      </c>
      <c r="L2691">
        <v>18.48</v>
      </c>
      <c r="M2691" t="s">
        <v>9855</v>
      </c>
      <c r="N2691" t="s">
        <v>5536</v>
      </c>
      <c r="O2691" t="s">
        <v>9855</v>
      </c>
      <c r="P2691" t="s">
        <v>11451</v>
      </c>
      <c r="Q2691">
        <v>-76</v>
      </c>
      <c r="R2691" t="s">
        <v>535</v>
      </c>
      <c r="S2691">
        <v>2.76</v>
      </c>
      <c r="T2691">
        <v>41.29</v>
      </c>
      <c r="U2691" t="s">
        <v>978</v>
      </c>
      <c r="V2691" t="s">
        <v>2089</v>
      </c>
      <c r="W2691" t="s">
        <v>2603</v>
      </c>
      <c r="X2691">
        <v>0.44</v>
      </c>
      <c r="Y2691" t="s">
        <v>2098</v>
      </c>
      <c r="Z2691" t="s">
        <v>1484</v>
      </c>
      <c r="AA2691" t="s">
        <v>319</v>
      </c>
      <c r="AB2691">
        <v>4.75</v>
      </c>
      <c r="AC2691" t="s">
        <v>2295</v>
      </c>
      <c r="AD2691">
        <v>61.96</v>
      </c>
      <c r="AE2691" t="s">
        <v>258</v>
      </c>
      <c r="AF2691">
        <v>2.4900000000000002</v>
      </c>
      <c r="AG2691">
        <v>0</v>
      </c>
      <c r="AH2691">
        <v>0</v>
      </c>
      <c r="AI2691" s="4">
        <v>42549</v>
      </c>
    </row>
    <row r="2692" spans="1:35">
      <c r="A2692">
        <v>2691</v>
      </c>
      <c r="B2692" t="str">
        <f>"600463"</f>
        <v>600463</v>
      </c>
      <c r="C2692" t="s">
        <v>12246</v>
      </c>
      <c r="D2692" s="4">
        <v>43190</v>
      </c>
      <c r="E2692" t="s">
        <v>120</v>
      </c>
      <c r="F2692" t="s">
        <v>641</v>
      </c>
      <c r="G2692" t="s">
        <v>974</v>
      </c>
      <c r="H2692">
        <v>0.02</v>
      </c>
      <c r="I2692">
        <v>4.67</v>
      </c>
      <c r="J2692">
        <v>0.44</v>
      </c>
      <c r="K2692" t="s">
        <v>3674</v>
      </c>
      <c r="L2692">
        <v>43.53</v>
      </c>
      <c r="M2692" t="s">
        <v>1501</v>
      </c>
      <c r="N2692" t="s">
        <v>12247</v>
      </c>
      <c r="O2692" t="s">
        <v>1501</v>
      </c>
      <c r="P2692" t="s">
        <v>2087</v>
      </c>
      <c r="Q2692">
        <v>-22.27</v>
      </c>
      <c r="R2692" t="s">
        <v>2590</v>
      </c>
      <c r="S2692">
        <v>1.29</v>
      </c>
      <c r="T2692">
        <v>17.09</v>
      </c>
      <c r="U2692" t="s">
        <v>589</v>
      </c>
      <c r="V2692" t="s">
        <v>1792</v>
      </c>
      <c r="W2692" t="s">
        <v>5520</v>
      </c>
      <c r="X2692">
        <v>0.44</v>
      </c>
      <c r="Y2692" t="s">
        <v>162</v>
      </c>
      <c r="Z2692" t="s">
        <v>1025</v>
      </c>
      <c r="AA2692" t="s">
        <v>1038</v>
      </c>
      <c r="AB2692">
        <v>2.09</v>
      </c>
      <c r="AC2692" t="s">
        <v>1384</v>
      </c>
      <c r="AD2692">
        <v>48.53</v>
      </c>
      <c r="AE2692" t="s">
        <v>1909</v>
      </c>
      <c r="AF2692">
        <v>2.12</v>
      </c>
      <c r="AG2692">
        <v>0</v>
      </c>
      <c r="AH2692">
        <v>0</v>
      </c>
      <c r="AI2692" s="4">
        <v>38064</v>
      </c>
    </row>
    <row r="2693" spans="1:35">
      <c r="A2693">
        <v>2692</v>
      </c>
      <c r="B2693" t="str">
        <f>"600155"</f>
        <v>600155</v>
      </c>
      <c r="C2693" t="s">
        <v>12248</v>
      </c>
      <c r="D2693" s="4">
        <v>43190</v>
      </c>
      <c r="E2693" t="s">
        <v>867</v>
      </c>
      <c r="F2693" t="s">
        <v>835</v>
      </c>
      <c r="G2693" t="s">
        <v>5183</v>
      </c>
      <c r="H2693">
        <v>0.04</v>
      </c>
      <c r="I2693">
        <v>8.59</v>
      </c>
      <c r="J2693">
        <v>0.44</v>
      </c>
      <c r="K2693" t="s">
        <v>1827</v>
      </c>
      <c r="L2693">
        <v>-0.72</v>
      </c>
      <c r="M2693" t="s">
        <v>12249</v>
      </c>
      <c r="N2693" t="s">
        <v>452</v>
      </c>
      <c r="O2693" t="s">
        <v>12250</v>
      </c>
      <c r="P2693" t="s">
        <v>12251</v>
      </c>
      <c r="Q2693">
        <v>30.2</v>
      </c>
      <c r="R2693" t="s">
        <v>12252</v>
      </c>
      <c r="S2693">
        <v>-0.28999999999999998</v>
      </c>
      <c r="T2693">
        <v>64.17</v>
      </c>
      <c r="U2693" t="s">
        <v>3499</v>
      </c>
      <c r="V2693" t="s">
        <v>2342</v>
      </c>
      <c r="W2693" t="s">
        <v>985</v>
      </c>
      <c r="X2693">
        <v>0.44</v>
      </c>
      <c r="Y2693" t="s">
        <v>1385</v>
      </c>
      <c r="Z2693" t="s">
        <v>928</v>
      </c>
      <c r="AA2693" t="s">
        <v>2267</v>
      </c>
      <c r="AB2693">
        <v>0.78</v>
      </c>
      <c r="AC2693" t="s">
        <v>3118</v>
      </c>
      <c r="AD2693">
        <v>39.979999999999997</v>
      </c>
      <c r="AE2693" t="s">
        <v>246</v>
      </c>
      <c r="AF2693">
        <v>7.89</v>
      </c>
      <c r="AG2693">
        <v>0</v>
      </c>
      <c r="AH2693">
        <v>0</v>
      </c>
      <c r="AI2693" s="4">
        <v>36056</v>
      </c>
    </row>
    <row r="2694" spans="1:35">
      <c r="A2694">
        <v>2693</v>
      </c>
      <c r="B2694" t="str">
        <f>"600080"</f>
        <v>600080</v>
      </c>
      <c r="C2694" t="s">
        <v>12253</v>
      </c>
      <c r="D2694" s="4">
        <v>43190</v>
      </c>
      <c r="E2694" t="s">
        <v>2751</v>
      </c>
      <c r="F2694" t="s">
        <v>342</v>
      </c>
      <c r="G2694" t="s">
        <v>1862</v>
      </c>
      <c r="H2694">
        <v>0.02</v>
      </c>
      <c r="I2694">
        <v>4.66</v>
      </c>
      <c r="J2694">
        <v>0.44</v>
      </c>
      <c r="K2694" t="s">
        <v>382</v>
      </c>
      <c r="L2694">
        <v>-7.6</v>
      </c>
      <c r="M2694" t="s">
        <v>1501</v>
      </c>
      <c r="N2694" t="s">
        <v>6395</v>
      </c>
      <c r="O2694" t="s">
        <v>3423</v>
      </c>
      <c r="P2694" t="s">
        <v>10194</v>
      </c>
      <c r="Q2694">
        <v>7.21</v>
      </c>
      <c r="R2694" t="s">
        <v>3067</v>
      </c>
      <c r="S2694">
        <v>1.19</v>
      </c>
      <c r="T2694">
        <v>63.92</v>
      </c>
      <c r="U2694" t="s">
        <v>1843</v>
      </c>
      <c r="V2694" t="s">
        <v>2032</v>
      </c>
      <c r="W2694" t="s">
        <v>1324</v>
      </c>
      <c r="X2694">
        <v>0.44</v>
      </c>
      <c r="Y2694" t="s">
        <v>2507</v>
      </c>
      <c r="Z2694" t="s">
        <v>1664</v>
      </c>
      <c r="AA2694" t="s">
        <v>12254</v>
      </c>
      <c r="AB2694">
        <v>1.98</v>
      </c>
      <c r="AC2694" t="s">
        <v>1343</v>
      </c>
      <c r="AD2694">
        <v>85.92</v>
      </c>
      <c r="AE2694" t="s">
        <v>1414</v>
      </c>
      <c r="AF2694">
        <v>2.1800000000000002</v>
      </c>
      <c r="AG2694">
        <v>0</v>
      </c>
      <c r="AH2694">
        <v>0</v>
      </c>
      <c r="AI2694" s="4">
        <v>35593</v>
      </c>
    </row>
    <row r="2695" spans="1:35">
      <c r="A2695">
        <v>2694</v>
      </c>
      <c r="B2695" t="str">
        <f>"300456"</f>
        <v>300456</v>
      </c>
      <c r="C2695" t="s">
        <v>12255</v>
      </c>
      <c r="D2695" s="4">
        <v>43190</v>
      </c>
      <c r="E2695" t="s">
        <v>1067</v>
      </c>
      <c r="F2695" t="s">
        <v>920</v>
      </c>
      <c r="G2695">
        <v>6231</v>
      </c>
      <c r="H2695">
        <v>0.02</v>
      </c>
      <c r="I2695">
        <v>4.92</v>
      </c>
      <c r="J2695">
        <v>0.44</v>
      </c>
      <c r="K2695" t="s">
        <v>84</v>
      </c>
      <c r="L2695">
        <v>23.1</v>
      </c>
      <c r="M2695" t="s">
        <v>1842</v>
      </c>
      <c r="N2695" t="s">
        <v>12256</v>
      </c>
      <c r="O2695" t="s">
        <v>12257</v>
      </c>
      <c r="P2695" t="s">
        <v>2967</v>
      </c>
      <c r="Q2695">
        <v>-34.659999999999997</v>
      </c>
      <c r="R2695" t="s">
        <v>3441</v>
      </c>
      <c r="S2695">
        <v>1.06</v>
      </c>
      <c r="T2695">
        <v>37.75</v>
      </c>
      <c r="U2695" t="s">
        <v>2071</v>
      </c>
      <c r="V2695" t="s">
        <v>1792</v>
      </c>
      <c r="W2695" t="s">
        <v>603</v>
      </c>
      <c r="X2695">
        <v>0.44</v>
      </c>
      <c r="Y2695" t="s">
        <v>1214</v>
      </c>
      <c r="Z2695" t="s">
        <v>613</v>
      </c>
      <c r="AA2695" t="s">
        <v>905</v>
      </c>
      <c r="AB2695">
        <v>4.93</v>
      </c>
      <c r="AC2695" t="s">
        <v>624</v>
      </c>
      <c r="AD2695">
        <v>44.89</v>
      </c>
      <c r="AE2695" t="s">
        <v>2421</v>
      </c>
      <c r="AF2695">
        <v>3.14</v>
      </c>
      <c r="AG2695">
        <v>0</v>
      </c>
      <c r="AH2695">
        <v>0</v>
      </c>
      <c r="AI2695" s="4">
        <v>42138</v>
      </c>
    </row>
    <row r="2696" spans="1:35">
      <c r="A2696">
        <v>2695</v>
      </c>
      <c r="B2696" t="str">
        <f>"300411"</f>
        <v>300411</v>
      </c>
      <c r="C2696" t="s">
        <v>12258</v>
      </c>
      <c r="D2696" s="4">
        <v>43190</v>
      </c>
      <c r="E2696" t="s">
        <v>828</v>
      </c>
      <c r="F2696" t="s">
        <v>12259</v>
      </c>
      <c r="G2696">
        <v>9107</v>
      </c>
      <c r="H2696">
        <v>0.06</v>
      </c>
      <c r="I2696">
        <v>12.97</v>
      </c>
      <c r="J2696">
        <v>0.44</v>
      </c>
      <c r="K2696" t="s">
        <v>12260</v>
      </c>
      <c r="L2696">
        <v>41.66</v>
      </c>
      <c r="M2696" t="s">
        <v>8618</v>
      </c>
      <c r="N2696">
        <v>0</v>
      </c>
      <c r="O2696" t="s">
        <v>8618</v>
      </c>
      <c r="P2696" t="s">
        <v>3519</v>
      </c>
      <c r="Q2696">
        <v>162.27000000000001</v>
      </c>
      <c r="R2696" t="s">
        <v>2774</v>
      </c>
      <c r="S2696">
        <v>1.04</v>
      </c>
      <c r="T2696">
        <v>39.18</v>
      </c>
      <c r="U2696" t="s">
        <v>3160</v>
      </c>
      <c r="V2696" t="s">
        <v>1367</v>
      </c>
      <c r="W2696" t="s">
        <v>986</v>
      </c>
      <c r="X2696">
        <v>0.44</v>
      </c>
      <c r="Y2696" t="s">
        <v>133</v>
      </c>
      <c r="Z2696" t="s">
        <v>1968</v>
      </c>
      <c r="AA2696" t="s">
        <v>3050</v>
      </c>
      <c r="AB2696">
        <v>1.05</v>
      </c>
      <c r="AC2696" t="s">
        <v>1263</v>
      </c>
      <c r="AD2696">
        <v>89.36</v>
      </c>
      <c r="AE2696" t="s">
        <v>685</v>
      </c>
      <c r="AF2696">
        <v>10.83</v>
      </c>
      <c r="AG2696">
        <v>0</v>
      </c>
      <c r="AH2696">
        <v>0</v>
      </c>
      <c r="AI2696" s="4">
        <v>42004</v>
      </c>
    </row>
    <row r="2697" spans="1:35">
      <c r="A2697">
        <v>2696</v>
      </c>
      <c r="B2697" t="str">
        <f>"002322"</f>
        <v>002322</v>
      </c>
      <c r="C2697" t="s">
        <v>12261</v>
      </c>
      <c r="D2697" s="4">
        <v>43190</v>
      </c>
      <c r="E2697" t="s">
        <v>133</v>
      </c>
      <c r="F2697" t="s">
        <v>188</v>
      </c>
      <c r="G2697" t="s">
        <v>5991</v>
      </c>
      <c r="H2697">
        <v>0.03</v>
      </c>
      <c r="I2697">
        <v>7.48</v>
      </c>
      <c r="J2697">
        <v>0.44</v>
      </c>
      <c r="K2697" t="s">
        <v>12262</v>
      </c>
      <c r="L2697">
        <v>-33.33</v>
      </c>
      <c r="M2697" t="s">
        <v>2231</v>
      </c>
      <c r="N2697" t="s">
        <v>6306</v>
      </c>
      <c r="O2697" t="s">
        <v>12263</v>
      </c>
      <c r="P2697" t="s">
        <v>1373</v>
      </c>
      <c r="Q2697">
        <v>-69.63</v>
      </c>
      <c r="R2697" t="s">
        <v>2693</v>
      </c>
      <c r="S2697">
        <v>1.63</v>
      </c>
      <c r="T2697">
        <v>71.39</v>
      </c>
      <c r="U2697" t="s">
        <v>1219</v>
      </c>
      <c r="V2697" t="s">
        <v>101</v>
      </c>
      <c r="W2697" t="s">
        <v>478</v>
      </c>
      <c r="X2697">
        <v>0.44</v>
      </c>
      <c r="Y2697" t="s">
        <v>91</v>
      </c>
      <c r="Z2697" t="s">
        <v>1733</v>
      </c>
      <c r="AA2697" t="s">
        <v>4450</v>
      </c>
      <c r="AB2697">
        <v>1.78</v>
      </c>
      <c r="AC2697" t="s">
        <v>2057</v>
      </c>
      <c r="AD2697">
        <v>91.79</v>
      </c>
      <c r="AE2697" t="s">
        <v>183</v>
      </c>
      <c r="AF2697">
        <v>4.78</v>
      </c>
      <c r="AG2697">
        <v>0</v>
      </c>
      <c r="AH2697">
        <v>0</v>
      </c>
      <c r="AI2697" s="4">
        <v>40165</v>
      </c>
    </row>
    <row r="2698" spans="1:35">
      <c r="A2698">
        <v>2697</v>
      </c>
      <c r="B2698" t="str">
        <f>"002231"</f>
        <v>002231</v>
      </c>
      <c r="C2698" t="s">
        <v>12264</v>
      </c>
      <c r="D2698" s="4">
        <v>43190</v>
      </c>
      <c r="E2698" t="s">
        <v>1383</v>
      </c>
      <c r="F2698" t="s">
        <v>486</v>
      </c>
      <c r="G2698">
        <v>9438</v>
      </c>
      <c r="H2698">
        <v>0.01</v>
      </c>
      <c r="I2698">
        <v>1.93</v>
      </c>
      <c r="J2698">
        <v>0.44</v>
      </c>
      <c r="K2698" t="s">
        <v>12265</v>
      </c>
      <c r="L2698">
        <v>-34.56</v>
      </c>
      <c r="M2698" t="s">
        <v>9605</v>
      </c>
      <c r="N2698">
        <v>0</v>
      </c>
      <c r="O2698" t="s">
        <v>7252</v>
      </c>
      <c r="P2698" t="s">
        <v>10445</v>
      </c>
      <c r="Q2698">
        <v>132.46</v>
      </c>
      <c r="R2698" t="s">
        <v>993</v>
      </c>
      <c r="S2698">
        <v>0.38</v>
      </c>
      <c r="T2698">
        <v>13.11</v>
      </c>
      <c r="U2698" t="s">
        <v>8311</v>
      </c>
      <c r="V2698" t="s">
        <v>1561</v>
      </c>
      <c r="W2698" t="s">
        <v>12266</v>
      </c>
      <c r="X2698">
        <v>0.44</v>
      </c>
      <c r="Y2698" t="s">
        <v>415</v>
      </c>
      <c r="Z2698" t="s">
        <v>1264</v>
      </c>
      <c r="AA2698" t="s">
        <v>9108</v>
      </c>
      <c r="AB2698">
        <v>2.75</v>
      </c>
      <c r="AC2698" t="s">
        <v>2510</v>
      </c>
      <c r="AD2698">
        <v>76.83</v>
      </c>
      <c r="AE2698" t="s">
        <v>1360</v>
      </c>
      <c r="AF2698">
        <v>0.47</v>
      </c>
      <c r="AG2698">
        <v>0</v>
      </c>
      <c r="AH2698">
        <v>0</v>
      </c>
      <c r="AI2698" s="4">
        <v>39580</v>
      </c>
    </row>
    <row r="2699" spans="1:35">
      <c r="A2699">
        <v>2698</v>
      </c>
      <c r="B2699" t="str">
        <f>"000905"</f>
        <v>000905</v>
      </c>
      <c r="C2699" t="s">
        <v>12267</v>
      </c>
      <c r="D2699" s="4">
        <v>43190</v>
      </c>
      <c r="E2699" t="s">
        <v>68</v>
      </c>
      <c r="F2699" t="s">
        <v>68</v>
      </c>
      <c r="G2699">
        <v>9293</v>
      </c>
      <c r="H2699">
        <v>0.02</v>
      </c>
      <c r="I2699">
        <v>5.04</v>
      </c>
      <c r="J2699">
        <v>0.44</v>
      </c>
      <c r="K2699" t="s">
        <v>816</v>
      </c>
      <c r="L2699">
        <v>19.440000000000001</v>
      </c>
      <c r="M2699" t="s">
        <v>12268</v>
      </c>
      <c r="N2699" t="s">
        <v>6306</v>
      </c>
      <c r="O2699" t="s">
        <v>12269</v>
      </c>
      <c r="P2699" t="s">
        <v>7616</v>
      </c>
      <c r="Q2699">
        <v>-44.31</v>
      </c>
      <c r="R2699" t="s">
        <v>419</v>
      </c>
      <c r="S2699">
        <v>3.67</v>
      </c>
      <c r="T2699">
        <v>3</v>
      </c>
      <c r="U2699" t="s">
        <v>1987</v>
      </c>
      <c r="V2699" t="s">
        <v>1908</v>
      </c>
      <c r="W2699" t="s">
        <v>816</v>
      </c>
      <c r="X2699">
        <v>0.44</v>
      </c>
      <c r="Y2699" t="s">
        <v>1841</v>
      </c>
      <c r="Z2699" t="s">
        <v>1404</v>
      </c>
      <c r="AA2699" t="s">
        <v>50</v>
      </c>
      <c r="AB2699">
        <v>1.56</v>
      </c>
      <c r="AC2699" t="s">
        <v>1908</v>
      </c>
      <c r="AD2699">
        <v>32.17</v>
      </c>
      <c r="AE2699" t="s">
        <v>8729</v>
      </c>
      <c r="AF2699">
        <v>0.01</v>
      </c>
      <c r="AG2699">
        <v>0</v>
      </c>
      <c r="AH2699">
        <v>0</v>
      </c>
      <c r="AI2699" s="4">
        <v>36279</v>
      </c>
    </row>
    <row r="2700" spans="1:35">
      <c r="A2700">
        <v>2699</v>
      </c>
      <c r="B2700" t="str">
        <f>"000682"</f>
        <v>000682</v>
      </c>
      <c r="C2700" t="s">
        <v>12270</v>
      </c>
      <c r="D2700" s="4">
        <v>43190</v>
      </c>
      <c r="E2700" t="s">
        <v>924</v>
      </c>
      <c r="F2700" t="s">
        <v>722</v>
      </c>
      <c r="G2700">
        <v>8107</v>
      </c>
      <c r="H2700">
        <v>0.01</v>
      </c>
      <c r="I2700">
        <v>2.6</v>
      </c>
      <c r="J2700">
        <v>0.44</v>
      </c>
      <c r="K2700" t="s">
        <v>1659</v>
      </c>
      <c r="L2700">
        <v>9.86</v>
      </c>
      <c r="M2700" t="s">
        <v>4478</v>
      </c>
      <c r="N2700" t="s">
        <v>12271</v>
      </c>
      <c r="O2700" t="s">
        <v>12272</v>
      </c>
      <c r="P2700" t="s">
        <v>12273</v>
      </c>
      <c r="Q2700">
        <v>-8.98</v>
      </c>
      <c r="R2700" t="s">
        <v>296</v>
      </c>
      <c r="S2700">
        <v>0.22</v>
      </c>
      <c r="T2700">
        <v>35.26</v>
      </c>
      <c r="U2700" t="s">
        <v>732</v>
      </c>
      <c r="V2700" t="s">
        <v>1133</v>
      </c>
      <c r="W2700" t="s">
        <v>105</v>
      </c>
      <c r="X2700">
        <v>0.44</v>
      </c>
      <c r="Y2700" t="s">
        <v>983</v>
      </c>
      <c r="Z2700" t="s">
        <v>855</v>
      </c>
      <c r="AA2700" t="s">
        <v>9792</v>
      </c>
      <c r="AB2700">
        <v>1.42</v>
      </c>
      <c r="AC2700" t="s">
        <v>1343</v>
      </c>
      <c r="AD2700">
        <v>36.69</v>
      </c>
      <c r="AE2700" t="s">
        <v>3067</v>
      </c>
      <c r="AF2700">
        <v>1.64</v>
      </c>
      <c r="AG2700">
        <v>0</v>
      </c>
      <c r="AH2700">
        <v>0</v>
      </c>
      <c r="AI2700" s="4">
        <v>35451</v>
      </c>
    </row>
    <row r="2701" spans="1:35">
      <c r="A2701">
        <v>2700</v>
      </c>
      <c r="B2701" t="str">
        <f>"000679"</f>
        <v>000679</v>
      </c>
      <c r="C2701" t="s">
        <v>12274</v>
      </c>
      <c r="D2701" s="4">
        <v>43190</v>
      </c>
      <c r="E2701" t="s">
        <v>314</v>
      </c>
      <c r="F2701" t="s">
        <v>314</v>
      </c>
      <c r="G2701" t="s">
        <v>6659</v>
      </c>
      <c r="H2701">
        <v>0.02</v>
      </c>
      <c r="I2701">
        <v>3.8</v>
      </c>
      <c r="J2701">
        <v>0.44</v>
      </c>
      <c r="K2701" t="s">
        <v>2729</v>
      </c>
      <c r="L2701">
        <v>-56.34</v>
      </c>
      <c r="M2701" t="s">
        <v>8757</v>
      </c>
      <c r="N2701">
        <v>0</v>
      </c>
      <c r="O2701" t="s">
        <v>9161</v>
      </c>
      <c r="P2701" t="s">
        <v>5334</v>
      </c>
      <c r="Q2701">
        <v>-42.54</v>
      </c>
      <c r="R2701" t="s">
        <v>3716</v>
      </c>
      <c r="S2701">
        <v>2.0499999999999998</v>
      </c>
      <c r="T2701">
        <v>19.420000000000002</v>
      </c>
      <c r="U2701" t="s">
        <v>3982</v>
      </c>
      <c r="V2701" t="s">
        <v>2106</v>
      </c>
      <c r="W2701" t="s">
        <v>1666</v>
      </c>
      <c r="X2701">
        <v>0.44</v>
      </c>
      <c r="Y2701" t="s">
        <v>3422</v>
      </c>
      <c r="Z2701" t="s">
        <v>693</v>
      </c>
      <c r="AA2701" t="s">
        <v>405</v>
      </c>
      <c r="AB2701">
        <v>1.19</v>
      </c>
      <c r="AC2701" t="s">
        <v>1214</v>
      </c>
      <c r="AD2701">
        <v>22.83</v>
      </c>
      <c r="AE2701" t="s">
        <v>12275</v>
      </c>
      <c r="AF2701">
        <v>0.19</v>
      </c>
      <c r="AG2701">
        <v>0</v>
      </c>
      <c r="AH2701">
        <v>0</v>
      </c>
      <c r="AI2701" s="4">
        <v>35454</v>
      </c>
    </row>
    <row r="2702" spans="1:35">
      <c r="A2702">
        <v>2701</v>
      </c>
      <c r="B2702" t="str">
        <f>"600817"</f>
        <v>600817</v>
      </c>
      <c r="C2702" t="s">
        <v>12276</v>
      </c>
      <c r="D2702" s="4">
        <v>43190</v>
      </c>
      <c r="E2702" t="s">
        <v>136</v>
      </c>
      <c r="F2702" t="s">
        <v>610</v>
      </c>
      <c r="G2702" t="s">
        <v>168</v>
      </c>
      <c r="H2702">
        <v>0</v>
      </c>
      <c r="I2702">
        <v>0.6</v>
      </c>
      <c r="J2702">
        <v>0.43</v>
      </c>
      <c r="K2702" t="s">
        <v>4525</v>
      </c>
      <c r="L2702">
        <v>367.6</v>
      </c>
      <c r="M2702" t="s">
        <v>2782</v>
      </c>
      <c r="N2702">
        <v>0</v>
      </c>
      <c r="O2702" t="s">
        <v>2782</v>
      </c>
      <c r="P2702" t="s">
        <v>12277</v>
      </c>
      <c r="Q2702">
        <v>67.89</v>
      </c>
      <c r="R2702" t="s">
        <v>12278</v>
      </c>
      <c r="S2702">
        <v>-1.77</v>
      </c>
      <c r="T2702">
        <v>42.14</v>
      </c>
      <c r="U2702" t="s">
        <v>368</v>
      </c>
      <c r="V2702" t="s">
        <v>12279</v>
      </c>
      <c r="W2702" t="s">
        <v>5456</v>
      </c>
      <c r="X2702">
        <v>0.43</v>
      </c>
      <c r="Y2702" t="s">
        <v>7963</v>
      </c>
      <c r="Z2702" t="s">
        <v>12280</v>
      </c>
      <c r="AA2702" t="s">
        <v>12281</v>
      </c>
      <c r="AB2702">
        <v>11.95</v>
      </c>
      <c r="AC2702" t="s">
        <v>12282</v>
      </c>
      <c r="AD2702">
        <v>56.79</v>
      </c>
      <c r="AE2702" t="s">
        <v>1011</v>
      </c>
      <c r="AF2702">
        <v>1.32</v>
      </c>
      <c r="AG2702">
        <v>0</v>
      </c>
      <c r="AH2702">
        <v>0</v>
      </c>
      <c r="AI2702" s="4">
        <v>34362</v>
      </c>
    </row>
    <row r="2703" spans="1:35">
      <c r="A2703">
        <v>2702</v>
      </c>
      <c r="B2703" t="str">
        <f>"600549"</f>
        <v>600549</v>
      </c>
      <c r="C2703" t="s">
        <v>12283</v>
      </c>
      <c r="D2703" s="4">
        <v>43190</v>
      </c>
      <c r="E2703" t="s">
        <v>1384</v>
      </c>
      <c r="F2703" t="s">
        <v>1384</v>
      </c>
      <c r="G2703" t="s">
        <v>2449</v>
      </c>
      <c r="H2703">
        <v>0.02</v>
      </c>
      <c r="I2703">
        <v>4.75</v>
      </c>
      <c r="J2703">
        <v>0.43</v>
      </c>
      <c r="K2703" t="s">
        <v>817</v>
      </c>
      <c r="L2703">
        <v>42.81</v>
      </c>
      <c r="M2703" t="s">
        <v>12284</v>
      </c>
      <c r="N2703" t="s">
        <v>12285</v>
      </c>
      <c r="O2703" t="s">
        <v>12286</v>
      </c>
      <c r="P2703" t="s">
        <v>10601</v>
      </c>
      <c r="Q2703">
        <v>-77.09</v>
      </c>
      <c r="R2703" t="s">
        <v>877</v>
      </c>
      <c r="S2703">
        <v>1.32</v>
      </c>
      <c r="T2703">
        <v>15.39</v>
      </c>
      <c r="U2703" t="s">
        <v>1098</v>
      </c>
      <c r="V2703" t="s">
        <v>2066</v>
      </c>
      <c r="W2703" t="s">
        <v>1395</v>
      </c>
      <c r="X2703">
        <v>0.43</v>
      </c>
      <c r="Y2703" t="s">
        <v>590</v>
      </c>
      <c r="Z2703" t="s">
        <v>716</v>
      </c>
      <c r="AA2703" t="s">
        <v>173</v>
      </c>
      <c r="AB2703">
        <v>3.48</v>
      </c>
      <c r="AC2703" t="s">
        <v>575</v>
      </c>
      <c r="AD2703">
        <v>33.979999999999997</v>
      </c>
      <c r="AE2703" t="s">
        <v>4697</v>
      </c>
      <c r="AF2703">
        <v>2.14</v>
      </c>
      <c r="AG2703">
        <v>0</v>
      </c>
      <c r="AH2703">
        <v>0</v>
      </c>
      <c r="AI2703" s="4">
        <v>37567</v>
      </c>
    </row>
    <row r="2704" spans="1:35">
      <c r="A2704">
        <v>2703</v>
      </c>
      <c r="B2704" t="str">
        <f>"600489"</f>
        <v>600489</v>
      </c>
      <c r="C2704" t="s">
        <v>12287</v>
      </c>
      <c r="D2704" s="4">
        <v>43190</v>
      </c>
      <c r="E2704" t="s">
        <v>612</v>
      </c>
      <c r="F2704" t="s">
        <v>612</v>
      </c>
      <c r="G2704" t="s">
        <v>1105</v>
      </c>
      <c r="H2704">
        <v>0.02</v>
      </c>
      <c r="I2704">
        <v>3.93</v>
      </c>
      <c r="J2704">
        <v>0.43</v>
      </c>
      <c r="K2704" t="s">
        <v>1024</v>
      </c>
      <c r="L2704">
        <v>-12.6</v>
      </c>
      <c r="M2704" t="s">
        <v>290</v>
      </c>
      <c r="N2704" t="s">
        <v>5478</v>
      </c>
      <c r="O2704" t="s">
        <v>505</v>
      </c>
      <c r="P2704" t="s">
        <v>12288</v>
      </c>
      <c r="Q2704">
        <v>-34.33</v>
      </c>
      <c r="R2704" t="s">
        <v>956</v>
      </c>
      <c r="S2704">
        <v>1.51</v>
      </c>
      <c r="T2704">
        <v>11.1</v>
      </c>
      <c r="U2704" t="s">
        <v>4813</v>
      </c>
      <c r="V2704" t="s">
        <v>1146</v>
      </c>
      <c r="W2704" t="s">
        <v>410</v>
      </c>
      <c r="X2704">
        <v>0.43</v>
      </c>
      <c r="Y2704" t="s">
        <v>1468</v>
      </c>
      <c r="Z2704" t="s">
        <v>1751</v>
      </c>
      <c r="AA2704" t="s">
        <v>2797</v>
      </c>
      <c r="AB2704">
        <v>1.84</v>
      </c>
      <c r="AC2704" t="s">
        <v>413</v>
      </c>
      <c r="AD2704">
        <v>34.5</v>
      </c>
      <c r="AE2704" t="s">
        <v>1443</v>
      </c>
      <c r="AF2704">
        <v>1.2</v>
      </c>
      <c r="AG2704">
        <v>0</v>
      </c>
      <c r="AH2704">
        <v>0</v>
      </c>
      <c r="AI2704" s="4">
        <v>37847</v>
      </c>
    </row>
    <row r="2705" spans="1:35">
      <c r="A2705">
        <v>2704</v>
      </c>
      <c r="B2705" t="str">
        <f>"300392"</f>
        <v>300392</v>
      </c>
      <c r="C2705" t="s">
        <v>12289</v>
      </c>
      <c r="D2705" s="4">
        <v>43190</v>
      </c>
      <c r="E2705" t="s">
        <v>165</v>
      </c>
      <c r="F2705" t="s">
        <v>507</v>
      </c>
      <c r="G2705">
        <v>5728</v>
      </c>
      <c r="H2705">
        <v>0.01</v>
      </c>
      <c r="I2705">
        <v>1.24</v>
      </c>
      <c r="J2705">
        <v>0.43</v>
      </c>
      <c r="K2705" t="s">
        <v>1967</v>
      </c>
      <c r="L2705">
        <v>40.06</v>
      </c>
      <c r="M2705" t="s">
        <v>7289</v>
      </c>
      <c r="N2705" t="s">
        <v>12290</v>
      </c>
      <c r="O2705" t="s">
        <v>2594</v>
      </c>
      <c r="P2705" t="s">
        <v>2190</v>
      </c>
      <c r="Q2705">
        <v>111.2</v>
      </c>
      <c r="R2705" t="s">
        <v>12291</v>
      </c>
      <c r="S2705">
        <v>-0.09</v>
      </c>
      <c r="T2705">
        <v>6.47</v>
      </c>
      <c r="U2705" t="s">
        <v>80</v>
      </c>
      <c r="V2705" t="s">
        <v>407</v>
      </c>
      <c r="W2705" t="s">
        <v>711</v>
      </c>
      <c r="X2705">
        <v>0.43</v>
      </c>
      <c r="Y2705" t="s">
        <v>3489</v>
      </c>
      <c r="Z2705" t="s">
        <v>3489</v>
      </c>
      <c r="AA2705" t="s">
        <v>12292</v>
      </c>
      <c r="AB2705">
        <v>8.92</v>
      </c>
      <c r="AC2705" t="s">
        <v>2685</v>
      </c>
      <c r="AD2705">
        <v>32.29</v>
      </c>
      <c r="AE2705" t="s">
        <v>5920</v>
      </c>
      <c r="AF2705">
        <v>0.21</v>
      </c>
      <c r="AG2705">
        <v>0</v>
      </c>
      <c r="AH2705">
        <v>0</v>
      </c>
      <c r="AI2705" s="4">
        <v>41892</v>
      </c>
    </row>
    <row r="2706" spans="1:35">
      <c r="A2706">
        <v>2705</v>
      </c>
      <c r="B2706" t="str">
        <f>"300050"</f>
        <v>300050</v>
      </c>
      <c r="C2706" t="s">
        <v>12293</v>
      </c>
      <c r="D2706" s="4">
        <v>43190</v>
      </c>
      <c r="E2706" t="s">
        <v>1685</v>
      </c>
      <c r="F2706" t="s">
        <v>340</v>
      </c>
      <c r="G2706" t="s">
        <v>2349</v>
      </c>
      <c r="H2706">
        <v>0.02</v>
      </c>
      <c r="I2706">
        <v>4.9800000000000004</v>
      </c>
      <c r="J2706">
        <v>0.43</v>
      </c>
      <c r="K2706" t="s">
        <v>1264</v>
      </c>
      <c r="L2706">
        <v>18.510000000000002</v>
      </c>
      <c r="M2706" t="s">
        <v>12294</v>
      </c>
      <c r="N2706">
        <v>3889</v>
      </c>
      <c r="O2706" t="s">
        <v>6193</v>
      </c>
      <c r="P2706" t="s">
        <v>6909</v>
      </c>
      <c r="Q2706">
        <v>-62.1</v>
      </c>
      <c r="R2706" t="s">
        <v>1037</v>
      </c>
      <c r="S2706">
        <v>0.91</v>
      </c>
      <c r="T2706">
        <v>39.97</v>
      </c>
      <c r="U2706" t="s">
        <v>2901</v>
      </c>
      <c r="V2706" t="s">
        <v>124</v>
      </c>
      <c r="W2706" t="s">
        <v>197</v>
      </c>
      <c r="X2706">
        <v>0.43</v>
      </c>
      <c r="Y2706" t="s">
        <v>1444</v>
      </c>
      <c r="Z2706" t="s">
        <v>1779</v>
      </c>
      <c r="AA2706" t="s">
        <v>1683</v>
      </c>
      <c r="AB2706">
        <v>1.1100000000000001</v>
      </c>
      <c r="AC2706" t="s">
        <v>1313</v>
      </c>
      <c r="AD2706">
        <v>81.02</v>
      </c>
      <c r="AE2706" t="s">
        <v>867</v>
      </c>
      <c r="AF2706">
        <v>3.11</v>
      </c>
      <c r="AG2706">
        <v>0</v>
      </c>
      <c r="AH2706">
        <v>0</v>
      </c>
      <c r="AI2706" s="4">
        <v>40198</v>
      </c>
    </row>
    <row r="2707" spans="1:35">
      <c r="A2707">
        <v>2706</v>
      </c>
      <c r="B2707" t="str">
        <f>"002642"</f>
        <v>002642</v>
      </c>
      <c r="C2707" t="s">
        <v>12295</v>
      </c>
      <c r="D2707" s="4">
        <v>43190</v>
      </c>
      <c r="E2707" t="s">
        <v>1730</v>
      </c>
      <c r="F2707" t="s">
        <v>1596</v>
      </c>
      <c r="G2707">
        <v>9667</v>
      </c>
      <c r="H2707">
        <v>0.03</v>
      </c>
      <c r="I2707">
        <v>6.36</v>
      </c>
      <c r="J2707">
        <v>0.43</v>
      </c>
      <c r="K2707" t="s">
        <v>128</v>
      </c>
      <c r="L2707">
        <v>79.37</v>
      </c>
      <c r="M2707" t="s">
        <v>6147</v>
      </c>
      <c r="N2707" t="s">
        <v>7199</v>
      </c>
      <c r="O2707" t="s">
        <v>7873</v>
      </c>
      <c r="P2707" t="s">
        <v>7189</v>
      </c>
      <c r="Q2707">
        <v>627.1</v>
      </c>
      <c r="R2707" t="s">
        <v>1382</v>
      </c>
      <c r="S2707">
        <v>0.8</v>
      </c>
      <c r="T2707">
        <v>27.14</v>
      </c>
      <c r="U2707" t="s">
        <v>1947</v>
      </c>
      <c r="V2707" t="s">
        <v>612</v>
      </c>
      <c r="W2707" t="s">
        <v>2156</v>
      </c>
      <c r="X2707">
        <v>0.43</v>
      </c>
      <c r="Y2707" t="s">
        <v>303</v>
      </c>
      <c r="Z2707" t="s">
        <v>1384</v>
      </c>
      <c r="AA2707" t="s">
        <v>2751</v>
      </c>
      <c r="AB2707">
        <v>1.33</v>
      </c>
      <c r="AC2707" t="s">
        <v>737</v>
      </c>
      <c r="AD2707">
        <v>70.209999999999994</v>
      </c>
      <c r="AE2707" t="s">
        <v>589</v>
      </c>
      <c r="AF2707">
        <v>4.38</v>
      </c>
      <c r="AG2707">
        <v>0</v>
      </c>
      <c r="AH2707">
        <v>0</v>
      </c>
      <c r="AI2707" s="4">
        <v>40897</v>
      </c>
    </row>
    <row r="2708" spans="1:35">
      <c r="A2708">
        <v>2707</v>
      </c>
      <c r="B2708" t="str">
        <f>"002114"</f>
        <v>002114</v>
      </c>
      <c r="C2708" t="s">
        <v>12296</v>
      </c>
      <c r="D2708" s="4">
        <v>43190</v>
      </c>
      <c r="E2708" t="s">
        <v>1797</v>
      </c>
      <c r="F2708" t="s">
        <v>1797</v>
      </c>
      <c r="G2708">
        <v>8442</v>
      </c>
      <c r="H2708">
        <v>0.02</v>
      </c>
      <c r="I2708">
        <v>5.59</v>
      </c>
      <c r="J2708">
        <v>0.43</v>
      </c>
      <c r="K2708" t="s">
        <v>3297</v>
      </c>
      <c r="L2708">
        <v>28.58</v>
      </c>
      <c r="M2708" t="s">
        <v>12010</v>
      </c>
      <c r="N2708" t="s">
        <v>12297</v>
      </c>
      <c r="O2708" t="s">
        <v>12066</v>
      </c>
      <c r="P2708" t="s">
        <v>8258</v>
      </c>
      <c r="Q2708">
        <v>35.5</v>
      </c>
      <c r="R2708" t="s">
        <v>12298</v>
      </c>
      <c r="S2708">
        <v>-0.18</v>
      </c>
      <c r="T2708">
        <v>16.16</v>
      </c>
      <c r="U2708" t="s">
        <v>242</v>
      </c>
      <c r="V2708" t="s">
        <v>1618</v>
      </c>
      <c r="W2708" t="s">
        <v>424</v>
      </c>
      <c r="X2708">
        <v>0.43</v>
      </c>
      <c r="Y2708" t="s">
        <v>2681</v>
      </c>
      <c r="Z2708" t="s">
        <v>3376</v>
      </c>
      <c r="AA2708" t="s">
        <v>10778</v>
      </c>
      <c r="AB2708">
        <v>2.14</v>
      </c>
      <c r="AC2708" t="s">
        <v>1455</v>
      </c>
      <c r="AD2708">
        <v>77.41</v>
      </c>
      <c r="AE2708" t="s">
        <v>855</v>
      </c>
      <c r="AF2708">
        <v>4.62</v>
      </c>
      <c r="AG2708">
        <v>0</v>
      </c>
      <c r="AH2708">
        <v>0</v>
      </c>
      <c r="AI2708" s="4">
        <v>39128</v>
      </c>
    </row>
    <row r="2709" spans="1:35">
      <c r="A2709">
        <v>2708</v>
      </c>
      <c r="B2709" t="str">
        <f>"000605"</f>
        <v>000605</v>
      </c>
      <c r="C2709" t="s">
        <v>12299</v>
      </c>
      <c r="D2709" s="4">
        <v>43190</v>
      </c>
      <c r="E2709" t="s">
        <v>641</v>
      </c>
      <c r="F2709" t="s">
        <v>200</v>
      </c>
      <c r="G2709">
        <v>6997</v>
      </c>
      <c r="H2709">
        <v>0.03</v>
      </c>
      <c r="I2709">
        <v>8.1199999999999992</v>
      </c>
      <c r="J2709">
        <v>0.43</v>
      </c>
      <c r="K2709" t="s">
        <v>330</v>
      </c>
      <c r="L2709">
        <v>32.01</v>
      </c>
      <c r="M2709" t="s">
        <v>12300</v>
      </c>
      <c r="N2709" t="s">
        <v>12301</v>
      </c>
      <c r="O2709" t="s">
        <v>11226</v>
      </c>
      <c r="P2709" t="s">
        <v>8071</v>
      </c>
      <c r="Q2709">
        <v>18.88</v>
      </c>
      <c r="R2709" t="s">
        <v>704</v>
      </c>
      <c r="S2709">
        <v>1.72</v>
      </c>
      <c r="T2709">
        <v>26.7</v>
      </c>
      <c r="U2709" t="s">
        <v>4162</v>
      </c>
      <c r="V2709" t="s">
        <v>712</v>
      </c>
      <c r="W2709" t="s">
        <v>699</v>
      </c>
      <c r="X2709">
        <v>0.43</v>
      </c>
      <c r="Y2709" t="s">
        <v>1593</v>
      </c>
      <c r="Z2709" t="s">
        <v>1687</v>
      </c>
      <c r="AA2709" t="s">
        <v>147</v>
      </c>
      <c r="AB2709">
        <v>1.65</v>
      </c>
      <c r="AC2709" t="s">
        <v>1920</v>
      </c>
      <c r="AD2709">
        <v>33.729999999999997</v>
      </c>
      <c r="AE2709" t="s">
        <v>840</v>
      </c>
      <c r="AF2709">
        <v>5.21</v>
      </c>
      <c r="AG2709">
        <v>0</v>
      </c>
      <c r="AH2709">
        <v>0</v>
      </c>
      <c r="AI2709" s="4">
        <v>35321</v>
      </c>
    </row>
    <row r="2710" spans="1:35">
      <c r="A2710">
        <v>2709</v>
      </c>
      <c r="B2710" t="str">
        <f>"603036"</f>
        <v>603036</v>
      </c>
      <c r="C2710" t="s">
        <v>12302</v>
      </c>
      <c r="D2710" s="4">
        <v>43190</v>
      </c>
      <c r="E2710" t="s">
        <v>975</v>
      </c>
      <c r="F2710" t="s">
        <v>12021</v>
      </c>
      <c r="G2710">
        <v>1952</v>
      </c>
      <c r="H2710">
        <v>0.02</v>
      </c>
      <c r="I2710">
        <v>4.8099999999999996</v>
      </c>
      <c r="J2710">
        <v>0.42</v>
      </c>
      <c r="K2710" t="s">
        <v>2467</v>
      </c>
      <c r="L2710">
        <v>-2.15</v>
      </c>
      <c r="M2710" t="s">
        <v>621</v>
      </c>
      <c r="N2710">
        <v>0</v>
      </c>
      <c r="O2710" t="s">
        <v>10539</v>
      </c>
      <c r="P2710" t="s">
        <v>1864</v>
      </c>
      <c r="Q2710">
        <v>-29.26</v>
      </c>
      <c r="R2710" t="s">
        <v>559</v>
      </c>
      <c r="S2710">
        <v>1.58</v>
      </c>
      <c r="T2710">
        <v>35.46</v>
      </c>
      <c r="U2710" t="s">
        <v>699</v>
      </c>
      <c r="V2710" t="s">
        <v>3117</v>
      </c>
      <c r="W2710" t="s">
        <v>1038</v>
      </c>
      <c r="X2710">
        <v>0.42</v>
      </c>
      <c r="Y2710" t="s">
        <v>12303</v>
      </c>
      <c r="Z2710" t="s">
        <v>6975</v>
      </c>
      <c r="AA2710" t="s">
        <v>4860</v>
      </c>
      <c r="AB2710">
        <v>2.87</v>
      </c>
      <c r="AC2710" t="s">
        <v>722</v>
      </c>
      <c r="AD2710">
        <v>90.87</v>
      </c>
      <c r="AE2710" t="s">
        <v>349</v>
      </c>
      <c r="AF2710">
        <v>2.0299999999999998</v>
      </c>
      <c r="AG2710">
        <v>0</v>
      </c>
      <c r="AH2710">
        <v>0</v>
      </c>
      <c r="AI2710" s="4">
        <v>42713</v>
      </c>
    </row>
    <row r="2711" spans="1:35">
      <c r="A2711">
        <v>2710</v>
      </c>
      <c r="B2711" t="str">
        <f>"603003"</f>
        <v>603003</v>
      </c>
      <c r="C2711" t="s">
        <v>12304</v>
      </c>
      <c r="D2711" s="4">
        <v>43190</v>
      </c>
      <c r="E2711" t="s">
        <v>335</v>
      </c>
      <c r="F2711" t="s">
        <v>335</v>
      </c>
      <c r="G2711" t="s">
        <v>4225</v>
      </c>
      <c r="H2711">
        <v>0.04</v>
      </c>
      <c r="I2711">
        <v>9.18</v>
      </c>
      <c r="J2711">
        <v>0.42</v>
      </c>
      <c r="K2711" t="s">
        <v>737</v>
      </c>
      <c r="L2711">
        <v>23.66</v>
      </c>
      <c r="M2711" t="s">
        <v>8898</v>
      </c>
      <c r="N2711" t="s">
        <v>10865</v>
      </c>
      <c r="O2711" t="s">
        <v>12305</v>
      </c>
      <c r="P2711" t="s">
        <v>10486</v>
      </c>
      <c r="Q2711">
        <v>4.54</v>
      </c>
      <c r="R2711" t="s">
        <v>745</v>
      </c>
      <c r="S2711">
        <v>0.3</v>
      </c>
      <c r="T2711">
        <v>0.84</v>
      </c>
      <c r="U2711" t="s">
        <v>7234</v>
      </c>
      <c r="V2711" t="s">
        <v>2396</v>
      </c>
      <c r="W2711" t="s">
        <v>3587</v>
      </c>
      <c r="X2711">
        <v>0.42</v>
      </c>
      <c r="Y2711" t="s">
        <v>1039</v>
      </c>
      <c r="Z2711" t="s">
        <v>2291</v>
      </c>
      <c r="AA2711" t="s">
        <v>12306</v>
      </c>
      <c r="AB2711">
        <v>0.88</v>
      </c>
      <c r="AC2711" t="s">
        <v>369</v>
      </c>
      <c r="AD2711">
        <v>61.9</v>
      </c>
      <c r="AE2711" t="s">
        <v>2093</v>
      </c>
      <c r="AF2711">
        <v>8.06</v>
      </c>
      <c r="AG2711">
        <v>0</v>
      </c>
      <c r="AH2711">
        <v>0</v>
      </c>
      <c r="AI2711" s="4">
        <v>41138</v>
      </c>
    </row>
    <row r="2712" spans="1:35">
      <c r="A2712">
        <v>2711</v>
      </c>
      <c r="B2712" t="str">
        <f>"600876"</f>
        <v>600876</v>
      </c>
      <c r="C2712" t="s">
        <v>12307</v>
      </c>
      <c r="D2712" s="4">
        <v>43190</v>
      </c>
      <c r="E2712" t="s">
        <v>1002</v>
      </c>
      <c r="F2712" t="s">
        <v>1995</v>
      </c>
      <c r="G2712">
        <v>4503</v>
      </c>
      <c r="H2712">
        <v>0.01</v>
      </c>
      <c r="I2712">
        <v>2.34</v>
      </c>
      <c r="J2712">
        <v>0.42</v>
      </c>
      <c r="K2712" t="s">
        <v>531</v>
      </c>
      <c r="L2712">
        <v>-10.95</v>
      </c>
      <c r="M2712" t="s">
        <v>3479</v>
      </c>
      <c r="N2712">
        <v>0</v>
      </c>
      <c r="O2712" t="s">
        <v>12308</v>
      </c>
      <c r="P2712" t="s">
        <v>12309</v>
      </c>
      <c r="Q2712">
        <v>-66.959999999999994</v>
      </c>
      <c r="R2712" t="s">
        <v>12310</v>
      </c>
      <c r="S2712">
        <v>-2.4</v>
      </c>
      <c r="T2712">
        <v>28.21</v>
      </c>
      <c r="U2712" t="s">
        <v>1625</v>
      </c>
      <c r="V2712" t="s">
        <v>1496</v>
      </c>
      <c r="W2712" t="s">
        <v>80</v>
      </c>
      <c r="X2712">
        <v>0.42</v>
      </c>
      <c r="Y2712" t="s">
        <v>253</v>
      </c>
      <c r="Z2712" t="s">
        <v>876</v>
      </c>
      <c r="AA2712" t="s">
        <v>1229</v>
      </c>
      <c r="AB2712">
        <v>6.12</v>
      </c>
      <c r="AC2712" t="s">
        <v>1799</v>
      </c>
      <c r="AD2712">
        <v>17.68</v>
      </c>
      <c r="AE2712" t="s">
        <v>1025</v>
      </c>
      <c r="AF2712">
        <v>3.64</v>
      </c>
      <c r="AG2712">
        <v>0</v>
      </c>
      <c r="AH2712" t="s">
        <v>126</v>
      </c>
      <c r="AI2712" s="4">
        <v>35003</v>
      </c>
    </row>
    <row r="2713" spans="1:35">
      <c r="A2713">
        <v>2712</v>
      </c>
      <c r="B2713" t="str">
        <f>"600555"</f>
        <v>600555</v>
      </c>
      <c r="C2713" t="s">
        <v>12311</v>
      </c>
      <c r="D2713" s="4">
        <v>43190</v>
      </c>
      <c r="E2713" t="s">
        <v>1025</v>
      </c>
      <c r="F2713" t="s">
        <v>3124</v>
      </c>
      <c r="G2713">
        <v>0</v>
      </c>
      <c r="H2713">
        <v>0.01</v>
      </c>
      <c r="I2713">
        <v>1.22</v>
      </c>
      <c r="J2713">
        <v>0.42</v>
      </c>
      <c r="K2713" t="s">
        <v>12312</v>
      </c>
      <c r="L2713">
        <v>-80.260000000000005</v>
      </c>
      <c r="M2713" t="s">
        <v>7100</v>
      </c>
      <c r="N2713">
        <v>0</v>
      </c>
      <c r="O2713" t="s">
        <v>12313</v>
      </c>
      <c r="P2713" t="s">
        <v>12313</v>
      </c>
      <c r="Q2713">
        <v>127.74</v>
      </c>
      <c r="R2713" t="s">
        <v>12314</v>
      </c>
      <c r="S2713">
        <v>-0.2</v>
      </c>
      <c r="T2713">
        <v>-104.05</v>
      </c>
      <c r="U2713" t="s">
        <v>2057</v>
      </c>
      <c r="V2713" t="s">
        <v>747</v>
      </c>
      <c r="W2713" t="s">
        <v>12315</v>
      </c>
      <c r="X2713">
        <v>0.42</v>
      </c>
      <c r="Y2713" t="s">
        <v>547</v>
      </c>
      <c r="Z2713" t="s">
        <v>1496</v>
      </c>
      <c r="AA2713" t="s">
        <v>542</v>
      </c>
      <c r="AB2713">
        <v>3.19</v>
      </c>
      <c r="AC2713" t="s">
        <v>983</v>
      </c>
      <c r="AD2713">
        <v>51.25</v>
      </c>
      <c r="AE2713" t="s">
        <v>78</v>
      </c>
      <c r="AF2713">
        <v>0.31</v>
      </c>
      <c r="AG2713" t="s">
        <v>47</v>
      </c>
      <c r="AH2713">
        <v>0</v>
      </c>
      <c r="AI2713" s="4">
        <v>36978</v>
      </c>
    </row>
    <row r="2714" spans="1:35">
      <c r="A2714">
        <v>2713</v>
      </c>
      <c r="B2714" t="str">
        <f>"600540"</f>
        <v>600540</v>
      </c>
      <c r="C2714" t="s">
        <v>12316</v>
      </c>
      <c r="D2714" s="4">
        <v>43190</v>
      </c>
      <c r="E2714" t="s">
        <v>1006</v>
      </c>
      <c r="F2714" t="s">
        <v>1006</v>
      </c>
      <c r="G2714" t="s">
        <v>2015</v>
      </c>
      <c r="H2714">
        <v>0.01</v>
      </c>
      <c r="I2714">
        <v>1.33</v>
      </c>
      <c r="J2714">
        <v>0.42</v>
      </c>
      <c r="K2714" t="s">
        <v>1378</v>
      </c>
      <c r="L2714">
        <v>72.099999999999994</v>
      </c>
      <c r="M2714" t="s">
        <v>8569</v>
      </c>
      <c r="N2714" t="s">
        <v>10102</v>
      </c>
      <c r="O2714" t="s">
        <v>10535</v>
      </c>
      <c r="P2714" t="s">
        <v>1598</v>
      </c>
      <c r="Q2714">
        <v>-26.81</v>
      </c>
      <c r="R2714" t="s">
        <v>12317</v>
      </c>
      <c r="S2714">
        <v>-1.46</v>
      </c>
      <c r="T2714">
        <v>7.24</v>
      </c>
      <c r="U2714" t="s">
        <v>2753</v>
      </c>
      <c r="V2714" t="s">
        <v>192</v>
      </c>
      <c r="W2714" t="s">
        <v>918</v>
      </c>
      <c r="X2714">
        <v>0.42</v>
      </c>
      <c r="Y2714" t="s">
        <v>50</v>
      </c>
      <c r="Z2714" t="s">
        <v>908</v>
      </c>
      <c r="AA2714" t="s">
        <v>12318</v>
      </c>
      <c r="AB2714">
        <v>2.93</v>
      </c>
      <c r="AC2714" t="s">
        <v>2532</v>
      </c>
      <c r="AD2714">
        <v>28.9</v>
      </c>
      <c r="AE2714" t="s">
        <v>1013</v>
      </c>
      <c r="AF2714">
        <v>1.71</v>
      </c>
      <c r="AG2714">
        <v>0</v>
      </c>
      <c r="AH2714">
        <v>0</v>
      </c>
      <c r="AI2714" s="4">
        <v>37993</v>
      </c>
    </row>
    <row r="2715" spans="1:35">
      <c r="A2715">
        <v>2714</v>
      </c>
      <c r="B2715" t="str">
        <f>"600366"</f>
        <v>600366</v>
      </c>
      <c r="C2715" t="s">
        <v>12319</v>
      </c>
      <c r="D2715" s="4">
        <v>43190</v>
      </c>
      <c r="E2715" t="s">
        <v>895</v>
      </c>
      <c r="F2715" t="s">
        <v>1368</v>
      </c>
      <c r="G2715">
        <v>9684</v>
      </c>
      <c r="H2715">
        <v>0.02</v>
      </c>
      <c r="I2715">
        <v>4.4800000000000004</v>
      </c>
      <c r="J2715">
        <v>0.42</v>
      </c>
      <c r="K2715" t="s">
        <v>3044</v>
      </c>
      <c r="L2715">
        <v>15.7</v>
      </c>
      <c r="M2715" t="s">
        <v>11270</v>
      </c>
      <c r="N2715" t="s">
        <v>11796</v>
      </c>
      <c r="O2715" t="s">
        <v>2577</v>
      </c>
      <c r="P2715" t="s">
        <v>12320</v>
      </c>
      <c r="Q2715">
        <v>-75.16</v>
      </c>
      <c r="R2715" t="s">
        <v>1396</v>
      </c>
      <c r="S2715">
        <v>3.08</v>
      </c>
      <c r="T2715">
        <v>16.98</v>
      </c>
      <c r="U2715" t="s">
        <v>4228</v>
      </c>
      <c r="V2715" t="s">
        <v>2535</v>
      </c>
      <c r="W2715" t="s">
        <v>3986</v>
      </c>
      <c r="X2715">
        <v>0.42</v>
      </c>
      <c r="Y2715" t="s">
        <v>971</v>
      </c>
      <c r="Z2715" t="s">
        <v>924</v>
      </c>
      <c r="AA2715" t="s">
        <v>12321</v>
      </c>
      <c r="AB2715">
        <v>1.34</v>
      </c>
      <c r="AC2715" t="s">
        <v>1231</v>
      </c>
      <c r="AD2715">
        <v>76.040000000000006</v>
      </c>
      <c r="AE2715" t="s">
        <v>2532</v>
      </c>
      <c r="AF2715">
        <v>0.18</v>
      </c>
      <c r="AG2715">
        <v>0</v>
      </c>
      <c r="AH2715">
        <v>0</v>
      </c>
      <c r="AI2715" s="4">
        <v>36829</v>
      </c>
    </row>
    <row r="2716" spans="1:35">
      <c r="A2716">
        <v>2715</v>
      </c>
      <c r="B2716" t="str">
        <f>"300185"</f>
        <v>300185</v>
      </c>
      <c r="C2716" t="s">
        <v>12322</v>
      </c>
      <c r="D2716" s="4">
        <v>43190</v>
      </c>
      <c r="E2716" t="s">
        <v>273</v>
      </c>
      <c r="F2716" t="s">
        <v>725</v>
      </c>
      <c r="G2716" t="s">
        <v>9465</v>
      </c>
      <c r="H2716">
        <v>0.01</v>
      </c>
      <c r="I2716">
        <v>1.56</v>
      </c>
      <c r="J2716">
        <v>0.42</v>
      </c>
      <c r="K2716" t="s">
        <v>1319</v>
      </c>
      <c r="L2716">
        <v>9.49</v>
      </c>
      <c r="M2716" t="s">
        <v>12323</v>
      </c>
      <c r="N2716">
        <v>245</v>
      </c>
      <c r="O2716" t="s">
        <v>8500</v>
      </c>
      <c r="P2716" t="s">
        <v>5257</v>
      </c>
      <c r="Q2716">
        <v>29.57</v>
      </c>
      <c r="R2716" t="s">
        <v>2304</v>
      </c>
      <c r="S2716">
        <v>0.17</v>
      </c>
      <c r="T2716">
        <v>21.85</v>
      </c>
      <c r="U2716" t="s">
        <v>1254</v>
      </c>
      <c r="V2716" t="s">
        <v>3749</v>
      </c>
      <c r="W2716" t="s">
        <v>2989</v>
      </c>
      <c r="X2716">
        <v>0.42</v>
      </c>
      <c r="Y2716" t="s">
        <v>1090</v>
      </c>
      <c r="Z2716" t="s">
        <v>5550</v>
      </c>
      <c r="AA2716" t="s">
        <v>424</v>
      </c>
      <c r="AB2716">
        <v>1.1100000000000001</v>
      </c>
      <c r="AC2716" t="s">
        <v>1327</v>
      </c>
      <c r="AD2716">
        <v>50.87</v>
      </c>
      <c r="AE2716" t="s">
        <v>973</v>
      </c>
      <c r="AF2716">
        <v>0.35</v>
      </c>
      <c r="AG2716">
        <v>0</v>
      </c>
      <c r="AH2716">
        <v>0</v>
      </c>
      <c r="AI2716" s="4">
        <v>40610</v>
      </c>
    </row>
    <row r="2717" spans="1:35">
      <c r="A2717">
        <v>2716</v>
      </c>
      <c r="B2717" t="str">
        <f>"300089"</f>
        <v>300089</v>
      </c>
      <c r="C2717" t="s">
        <v>12324</v>
      </c>
      <c r="D2717" s="4">
        <v>43190</v>
      </c>
      <c r="E2717" t="s">
        <v>2036</v>
      </c>
      <c r="F2717" t="s">
        <v>1184</v>
      </c>
      <c r="G2717" t="s">
        <v>1381</v>
      </c>
      <c r="H2717">
        <v>0.02</v>
      </c>
      <c r="I2717">
        <v>5.41</v>
      </c>
      <c r="J2717">
        <v>0.42</v>
      </c>
      <c r="K2717" t="s">
        <v>1119</v>
      </c>
      <c r="L2717">
        <v>-3.89</v>
      </c>
      <c r="M2717" t="s">
        <v>9779</v>
      </c>
      <c r="N2717" t="s">
        <v>12325</v>
      </c>
      <c r="O2717" t="s">
        <v>11138</v>
      </c>
      <c r="P2717" t="s">
        <v>12326</v>
      </c>
      <c r="Q2717">
        <v>5.15</v>
      </c>
      <c r="R2717" t="s">
        <v>1967</v>
      </c>
      <c r="S2717">
        <v>0.68</v>
      </c>
      <c r="T2717">
        <v>42.35</v>
      </c>
      <c r="U2717" t="s">
        <v>239</v>
      </c>
      <c r="V2717" t="s">
        <v>1496</v>
      </c>
      <c r="W2717" t="s">
        <v>66</v>
      </c>
      <c r="X2717">
        <v>0.42</v>
      </c>
      <c r="Y2717" t="s">
        <v>5537</v>
      </c>
      <c r="Z2717" t="s">
        <v>184</v>
      </c>
      <c r="AA2717" t="s">
        <v>1382</v>
      </c>
      <c r="AB2717">
        <v>1.42</v>
      </c>
      <c r="AC2717" t="s">
        <v>1101</v>
      </c>
      <c r="AD2717">
        <v>66.569999999999993</v>
      </c>
      <c r="AE2717" t="s">
        <v>978</v>
      </c>
      <c r="AF2717">
        <v>3.66</v>
      </c>
      <c r="AG2717">
        <v>0</v>
      </c>
      <c r="AH2717">
        <v>0</v>
      </c>
      <c r="AI2717" s="4">
        <v>40354</v>
      </c>
    </row>
    <row r="2718" spans="1:35">
      <c r="A2718">
        <v>2717</v>
      </c>
      <c r="B2718" t="str">
        <f>"002570"</f>
        <v>002570</v>
      </c>
      <c r="C2718" t="s">
        <v>12327</v>
      </c>
      <c r="D2718" s="4">
        <v>43190</v>
      </c>
      <c r="E2718" t="s">
        <v>1496</v>
      </c>
      <c r="F2718" t="s">
        <v>1496</v>
      </c>
      <c r="G2718" t="s">
        <v>1105</v>
      </c>
      <c r="H2718">
        <v>0.01</v>
      </c>
      <c r="I2718">
        <v>1.83</v>
      </c>
      <c r="J2718">
        <v>0.42</v>
      </c>
      <c r="K2718" t="s">
        <v>318</v>
      </c>
      <c r="L2718">
        <v>-35.799999999999997</v>
      </c>
      <c r="M2718" t="s">
        <v>12328</v>
      </c>
      <c r="N2718" t="s">
        <v>12329</v>
      </c>
      <c r="O2718" t="s">
        <v>12326</v>
      </c>
      <c r="P2718" t="s">
        <v>6835</v>
      </c>
      <c r="Q2718">
        <v>-27.54</v>
      </c>
      <c r="R2718" t="s">
        <v>12330</v>
      </c>
      <c r="S2718">
        <v>-0.61</v>
      </c>
      <c r="T2718">
        <v>50.47</v>
      </c>
      <c r="U2718" t="s">
        <v>1410</v>
      </c>
      <c r="V2718" t="s">
        <v>1704</v>
      </c>
      <c r="W2718" t="s">
        <v>855</v>
      </c>
      <c r="X2718">
        <v>0.42</v>
      </c>
      <c r="Y2718" t="s">
        <v>756</v>
      </c>
      <c r="Z2718" t="s">
        <v>223</v>
      </c>
      <c r="AA2718" t="s">
        <v>3250</v>
      </c>
      <c r="AB2718">
        <v>2.5499999999999998</v>
      </c>
      <c r="AC2718" t="s">
        <v>516</v>
      </c>
      <c r="AD2718">
        <v>37.909999999999997</v>
      </c>
      <c r="AE2718" t="s">
        <v>264</v>
      </c>
      <c r="AF2718">
        <v>1.19</v>
      </c>
      <c r="AG2718">
        <v>0</v>
      </c>
      <c r="AH2718">
        <v>0</v>
      </c>
      <c r="AI2718" s="4">
        <v>40645</v>
      </c>
    </row>
    <row r="2719" spans="1:35">
      <c r="A2719">
        <v>2718</v>
      </c>
      <c r="B2719" t="str">
        <f>"002353"</f>
        <v>002353</v>
      </c>
      <c r="C2719" t="s">
        <v>12331</v>
      </c>
      <c r="D2719" s="4">
        <v>43190</v>
      </c>
      <c r="E2719" t="s">
        <v>5494</v>
      </c>
      <c r="F2719" t="s">
        <v>380</v>
      </c>
      <c r="G2719" t="s">
        <v>3064</v>
      </c>
      <c r="H2719">
        <v>0.03</v>
      </c>
      <c r="I2719">
        <v>8.17</v>
      </c>
      <c r="J2719">
        <v>0.42</v>
      </c>
      <c r="K2719" t="s">
        <v>1979</v>
      </c>
      <c r="L2719">
        <v>24.17</v>
      </c>
      <c r="M2719" t="s">
        <v>12332</v>
      </c>
      <c r="N2719" t="s">
        <v>7699</v>
      </c>
      <c r="O2719" t="s">
        <v>12333</v>
      </c>
      <c r="P2719" t="s">
        <v>12334</v>
      </c>
      <c r="Q2719">
        <v>44.81</v>
      </c>
      <c r="R2719" t="s">
        <v>2071</v>
      </c>
      <c r="S2719">
        <v>3.11</v>
      </c>
      <c r="T2719">
        <v>27</v>
      </c>
      <c r="U2719" t="s">
        <v>525</v>
      </c>
      <c r="V2719" t="s">
        <v>1572</v>
      </c>
      <c r="W2719" t="s">
        <v>1062</v>
      </c>
      <c r="X2719">
        <v>0.42</v>
      </c>
      <c r="Y2719" t="s">
        <v>1449</v>
      </c>
      <c r="Z2719" t="s">
        <v>2753</v>
      </c>
      <c r="AA2719" t="s">
        <v>10885</v>
      </c>
      <c r="AB2719">
        <v>1.8</v>
      </c>
      <c r="AC2719" t="s">
        <v>6615</v>
      </c>
      <c r="AD2719">
        <v>75.95</v>
      </c>
      <c r="AE2719" t="s">
        <v>2871</v>
      </c>
      <c r="AF2719">
        <v>3.86</v>
      </c>
      <c r="AG2719">
        <v>0</v>
      </c>
      <c r="AH2719">
        <v>0</v>
      </c>
      <c r="AI2719" s="4">
        <v>40214</v>
      </c>
    </row>
    <row r="2720" spans="1:35">
      <c r="A2720">
        <v>2719</v>
      </c>
      <c r="B2720" t="str">
        <f>"000752"</f>
        <v>000752</v>
      </c>
      <c r="C2720" t="s">
        <v>12335</v>
      </c>
      <c r="D2720" s="4">
        <v>43190</v>
      </c>
      <c r="E2720" t="s">
        <v>828</v>
      </c>
      <c r="F2720" t="s">
        <v>828</v>
      </c>
      <c r="G2720">
        <v>8051</v>
      </c>
      <c r="H2720">
        <v>0.01</v>
      </c>
      <c r="I2720">
        <v>3</v>
      </c>
      <c r="J2720">
        <v>0.42</v>
      </c>
      <c r="K2720" t="s">
        <v>3415</v>
      </c>
      <c r="L2720">
        <v>-2.39</v>
      </c>
      <c r="M2720" t="s">
        <v>12336</v>
      </c>
      <c r="N2720" t="s">
        <v>12337</v>
      </c>
      <c r="O2720" t="s">
        <v>12336</v>
      </c>
      <c r="P2720" t="s">
        <v>7951</v>
      </c>
      <c r="Q2720">
        <v>-8.06</v>
      </c>
      <c r="R2720" t="s">
        <v>1476</v>
      </c>
      <c r="S2720">
        <v>1.65</v>
      </c>
      <c r="T2720">
        <v>23.38</v>
      </c>
      <c r="U2720" t="s">
        <v>1082</v>
      </c>
      <c r="V2720" t="s">
        <v>701</v>
      </c>
      <c r="W2720" t="s">
        <v>711</v>
      </c>
      <c r="X2720">
        <v>0.42</v>
      </c>
      <c r="Y2720" t="s">
        <v>382</v>
      </c>
      <c r="Z2720" t="s">
        <v>1936</v>
      </c>
      <c r="AA2720" t="s">
        <v>10172</v>
      </c>
      <c r="AB2720">
        <v>3.25</v>
      </c>
      <c r="AC2720" t="s">
        <v>2621</v>
      </c>
      <c r="AD2720">
        <v>62.28</v>
      </c>
      <c r="AE2720" t="s">
        <v>12338</v>
      </c>
      <c r="AF2720">
        <v>0.09</v>
      </c>
      <c r="AG2720">
        <v>0</v>
      </c>
      <c r="AH2720">
        <v>0</v>
      </c>
      <c r="AI2720" s="4">
        <v>35606</v>
      </c>
    </row>
    <row r="2721" spans="1:35">
      <c r="A2721">
        <v>2720</v>
      </c>
      <c r="B2721" t="str">
        <f>"000729"</f>
        <v>000729</v>
      </c>
      <c r="C2721" t="s">
        <v>12339</v>
      </c>
      <c r="D2721" s="4">
        <v>43190</v>
      </c>
      <c r="E2721" t="s">
        <v>1881</v>
      </c>
      <c r="F2721" t="s">
        <v>2280</v>
      </c>
      <c r="G2721" t="s">
        <v>1710</v>
      </c>
      <c r="H2721">
        <v>0.02</v>
      </c>
      <c r="I2721">
        <v>4.58</v>
      </c>
      <c r="J2721">
        <v>0.42</v>
      </c>
      <c r="K2721" t="s">
        <v>818</v>
      </c>
      <c r="L2721">
        <v>3.35</v>
      </c>
      <c r="M2721" t="s">
        <v>1627</v>
      </c>
      <c r="N2721" t="s">
        <v>2538</v>
      </c>
      <c r="O2721" t="s">
        <v>1626</v>
      </c>
      <c r="P2721" t="s">
        <v>5472</v>
      </c>
      <c r="Q2721">
        <v>0.83</v>
      </c>
      <c r="R2721" t="s">
        <v>2093</v>
      </c>
      <c r="S2721">
        <v>1.26</v>
      </c>
      <c r="T2721">
        <v>32.17</v>
      </c>
      <c r="U2721" t="s">
        <v>1750</v>
      </c>
      <c r="V2721" t="s">
        <v>879</v>
      </c>
      <c r="W2721" t="s">
        <v>11002</v>
      </c>
      <c r="X2721">
        <v>0.42</v>
      </c>
      <c r="Y2721" t="s">
        <v>893</v>
      </c>
      <c r="Z2721" t="s">
        <v>3016</v>
      </c>
      <c r="AA2721" t="s">
        <v>5095</v>
      </c>
      <c r="AB2721">
        <v>1.56</v>
      </c>
      <c r="AC2721" t="s">
        <v>1929</v>
      </c>
      <c r="AD2721">
        <v>71</v>
      </c>
      <c r="AE2721" t="s">
        <v>3653</v>
      </c>
      <c r="AF2721">
        <v>1.63</v>
      </c>
      <c r="AG2721">
        <v>0</v>
      </c>
      <c r="AH2721">
        <v>0</v>
      </c>
      <c r="AI2721" s="4">
        <v>35627</v>
      </c>
    </row>
    <row r="2722" spans="1:35">
      <c r="A2722">
        <v>2721</v>
      </c>
      <c r="B2722" t="str">
        <f>"000014"</f>
        <v>000014</v>
      </c>
      <c r="C2722" t="s">
        <v>12340</v>
      </c>
      <c r="D2722" s="4">
        <v>43190</v>
      </c>
      <c r="E2722" t="s">
        <v>1853</v>
      </c>
      <c r="F2722" t="s">
        <v>1853</v>
      </c>
      <c r="G2722">
        <v>6279</v>
      </c>
      <c r="H2722">
        <v>0.02</v>
      </c>
      <c r="I2722">
        <v>3.69</v>
      </c>
      <c r="J2722">
        <v>0.42</v>
      </c>
      <c r="K2722" t="s">
        <v>12341</v>
      </c>
      <c r="L2722">
        <v>-30.2</v>
      </c>
      <c r="M2722" t="s">
        <v>12342</v>
      </c>
      <c r="N2722">
        <v>0</v>
      </c>
      <c r="O2722" t="s">
        <v>3175</v>
      </c>
      <c r="P2722" t="s">
        <v>10187</v>
      </c>
      <c r="Q2722">
        <v>193.51</v>
      </c>
      <c r="R2722" t="s">
        <v>121</v>
      </c>
      <c r="S2722">
        <v>1.55</v>
      </c>
      <c r="T2722">
        <v>24.92</v>
      </c>
      <c r="U2722" t="s">
        <v>1367</v>
      </c>
      <c r="V2722" t="s">
        <v>1384</v>
      </c>
      <c r="W2722" t="s">
        <v>12343</v>
      </c>
      <c r="X2722">
        <v>0.42</v>
      </c>
      <c r="Y2722" t="s">
        <v>776</v>
      </c>
      <c r="Z2722" t="s">
        <v>1394</v>
      </c>
      <c r="AA2722" t="s">
        <v>12344</v>
      </c>
      <c r="AB2722">
        <v>3.68</v>
      </c>
      <c r="AC2722" t="s">
        <v>568</v>
      </c>
      <c r="AD2722">
        <v>46.94</v>
      </c>
      <c r="AE2722" t="s">
        <v>5450</v>
      </c>
      <c r="AF2722">
        <v>0.05</v>
      </c>
      <c r="AG2722">
        <v>0</v>
      </c>
      <c r="AH2722">
        <v>0</v>
      </c>
      <c r="AI2722" s="4">
        <v>33757</v>
      </c>
    </row>
    <row r="2723" spans="1:35">
      <c r="A2723">
        <v>2722</v>
      </c>
      <c r="B2723" t="str">
        <f>"300495"</f>
        <v>300495</v>
      </c>
      <c r="C2723" t="s">
        <v>12345</v>
      </c>
      <c r="D2723" s="4">
        <v>43190</v>
      </c>
      <c r="E2723" t="s">
        <v>3368</v>
      </c>
      <c r="F2723" t="s">
        <v>3674</v>
      </c>
      <c r="G2723" t="s">
        <v>135</v>
      </c>
      <c r="H2723">
        <v>0.02</v>
      </c>
      <c r="I2723">
        <v>4.79</v>
      </c>
      <c r="J2723">
        <v>0.41</v>
      </c>
      <c r="K2723" t="s">
        <v>126</v>
      </c>
      <c r="L2723">
        <v>51.47</v>
      </c>
      <c r="M2723" t="s">
        <v>9451</v>
      </c>
      <c r="N2723" t="s">
        <v>12346</v>
      </c>
      <c r="O2723" t="s">
        <v>7977</v>
      </c>
      <c r="P2723" t="s">
        <v>7767</v>
      </c>
      <c r="Q2723">
        <v>259.45999999999998</v>
      </c>
      <c r="R2723" t="s">
        <v>2192</v>
      </c>
      <c r="S2723">
        <v>1.27</v>
      </c>
      <c r="T2723">
        <v>26.89</v>
      </c>
      <c r="U2723" t="s">
        <v>3278</v>
      </c>
      <c r="V2723" t="s">
        <v>1574</v>
      </c>
      <c r="W2723" t="s">
        <v>12347</v>
      </c>
      <c r="X2723">
        <v>0.41</v>
      </c>
      <c r="Y2723" t="s">
        <v>235</v>
      </c>
      <c r="Z2723" t="s">
        <v>313</v>
      </c>
      <c r="AA2723" t="s">
        <v>1723</v>
      </c>
      <c r="AB2723">
        <v>2.2999999999999998</v>
      </c>
      <c r="AC2723" t="s">
        <v>1546</v>
      </c>
      <c r="AD2723">
        <v>43.17</v>
      </c>
      <c r="AE2723" t="s">
        <v>391</v>
      </c>
      <c r="AF2723">
        <v>2.54</v>
      </c>
      <c r="AG2723">
        <v>0</v>
      </c>
      <c r="AH2723">
        <v>0</v>
      </c>
      <c r="AI2723" s="4">
        <v>42360</v>
      </c>
    </row>
    <row r="2724" spans="1:35">
      <c r="A2724">
        <v>2723</v>
      </c>
      <c r="B2724" t="str">
        <f>"300466"</f>
        <v>300466</v>
      </c>
      <c r="C2724" t="s">
        <v>12348</v>
      </c>
      <c r="D2724" s="4">
        <v>43190</v>
      </c>
      <c r="E2724" t="s">
        <v>2156</v>
      </c>
      <c r="F2724" t="s">
        <v>205</v>
      </c>
      <c r="G2724">
        <v>5748</v>
      </c>
      <c r="H2724">
        <v>0.01</v>
      </c>
      <c r="I2724">
        <v>2.5299999999999998</v>
      </c>
      <c r="J2724">
        <v>0.41</v>
      </c>
      <c r="K2724" t="s">
        <v>12349</v>
      </c>
      <c r="L2724">
        <v>16.86</v>
      </c>
      <c r="M2724" t="s">
        <v>11975</v>
      </c>
      <c r="N2724">
        <v>0</v>
      </c>
      <c r="O2724" t="s">
        <v>10599</v>
      </c>
      <c r="P2724" t="s">
        <v>333</v>
      </c>
      <c r="Q2724">
        <v>12.08</v>
      </c>
      <c r="R2724" t="s">
        <v>1287</v>
      </c>
      <c r="S2724">
        <v>0.38</v>
      </c>
      <c r="T2724">
        <v>43.91</v>
      </c>
      <c r="U2724" t="s">
        <v>1678</v>
      </c>
      <c r="V2724" t="s">
        <v>3716</v>
      </c>
      <c r="W2724" t="s">
        <v>1288</v>
      </c>
      <c r="X2724">
        <v>0.41</v>
      </c>
      <c r="Y2724" t="s">
        <v>2751</v>
      </c>
      <c r="Z2724" t="s">
        <v>3441</v>
      </c>
      <c r="AA2724" t="s">
        <v>8251</v>
      </c>
      <c r="AB2724">
        <v>2.85</v>
      </c>
      <c r="AC2724" t="s">
        <v>538</v>
      </c>
      <c r="AD2724">
        <v>78.87</v>
      </c>
      <c r="AE2724" t="s">
        <v>1480</v>
      </c>
      <c r="AF2724">
        <v>1.1100000000000001</v>
      </c>
      <c r="AG2724">
        <v>0</v>
      </c>
      <c r="AH2724">
        <v>0</v>
      </c>
      <c r="AI2724" s="4">
        <v>42152</v>
      </c>
    </row>
    <row r="2725" spans="1:35">
      <c r="A2725">
        <v>2724</v>
      </c>
      <c r="B2725" t="str">
        <f>"300123"</f>
        <v>300123</v>
      </c>
      <c r="C2725" t="s">
        <v>12350</v>
      </c>
      <c r="D2725" s="4">
        <v>43190</v>
      </c>
      <c r="E2725" t="s">
        <v>1002</v>
      </c>
      <c r="F2725" t="s">
        <v>91</v>
      </c>
      <c r="G2725" t="s">
        <v>2234</v>
      </c>
      <c r="H2725">
        <v>0.03</v>
      </c>
      <c r="I2725">
        <v>8.25</v>
      </c>
      <c r="J2725">
        <v>0.41</v>
      </c>
      <c r="K2725" t="s">
        <v>1364</v>
      </c>
      <c r="L2725">
        <v>44.3</v>
      </c>
      <c r="M2725" t="s">
        <v>12351</v>
      </c>
      <c r="N2725" t="s">
        <v>11389</v>
      </c>
      <c r="O2725" t="s">
        <v>9414</v>
      </c>
      <c r="P2725" t="s">
        <v>5375</v>
      </c>
      <c r="Q2725">
        <v>528.67999999999995</v>
      </c>
      <c r="R2725" t="s">
        <v>2661</v>
      </c>
      <c r="S2725">
        <v>0.59</v>
      </c>
      <c r="T2725">
        <v>30.22</v>
      </c>
      <c r="U2725" t="s">
        <v>1591</v>
      </c>
      <c r="V2725" t="s">
        <v>306</v>
      </c>
      <c r="W2725" t="s">
        <v>2537</v>
      </c>
      <c r="X2725">
        <v>0.41</v>
      </c>
      <c r="Y2725" t="s">
        <v>1284</v>
      </c>
      <c r="Z2725" t="s">
        <v>115</v>
      </c>
      <c r="AA2725" t="s">
        <v>478</v>
      </c>
      <c r="AB2725">
        <v>1.37</v>
      </c>
      <c r="AC2725" t="s">
        <v>1738</v>
      </c>
      <c r="AD2725">
        <v>69.180000000000007</v>
      </c>
      <c r="AE2725" t="s">
        <v>2725</v>
      </c>
      <c r="AF2725">
        <v>6.63</v>
      </c>
      <c r="AG2725">
        <v>0</v>
      </c>
      <c r="AH2725">
        <v>0</v>
      </c>
      <c r="AI2725" s="4">
        <v>40449</v>
      </c>
    </row>
    <row r="2726" spans="1:35">
      <c r="A2726">
        <v>2725</v>
      </c>
      <c r="B2726" t="str">
        <f>"002380"</f>
        <v>002380</v>
      </c>
      <c r="C2726" t="s">
        <v>12352</v>
      </c>
      <c r="D2726" s="4">
        <v>43190</v>
      </c>
      <c r="E2726" t="s">
        <v>94</v>
      </c>
      <c r="F2726" t="s">
        <v>326</v>
      </c>
      <c r="G2726">
        <v>7333</v>
      </c>
      <c r="H2726">
        <v>0.03</v>
      </c>
      <c r="I2726">
        <v>8.44</v>
      </c>
      <c r="J2726">
        <v>0.41</v>
      </c>
      <c r="K2726" t="s">
        <v>12353</v>
      </c>
      <c r="L2726">
        <v>2.2799999999999998</v>
      </c>
      <c r="M2726" t="s">
        <v>4511</v>
      </c>
      <c r="N2726" t="s">
        <v>10965</v>
      </c>
      <c r="O2726" t="s">
        <v>12151</v>
      </c>
      <c r="P2726" t="s">
        <v>12354</v>
      </c>
      <c r="Q2726">
        <v>20.71</v>
      </c>
      <c r="R2726" t="s">
        <v>1035</v>
      </c>
      <c r="S2726">
        <v>1.4</v>
      </c>
      <c r="T2726">
        <v>41.29</v>
      </c>
      <c r="U2726" t="s">
        <v>440</v>
      </c>
      <c r="V2726" t="s">
        <v>183</v>
      </c>
      <c r="W2726" t="s">
        <v>1968</v>
      </c>
      <c r="X2726">
        <v>0.41</v>
      </c>
      <c r="Y2726" t="s">
        <v>2551</v>
      </c>
      <c r="Z2726" t="s">
        <v>205</v>
      </c>
      <c r="AA2726" t="s">
        <v>1579</v>
      </c>
      <c r="AB2726">
        <v>1.51</v>
      </c>
      <c r="AC2726" t="s">
        <v>251</v>
      </c>
      <c r="AD2726">
        <v>86.29</v>
      </c>
      <c r="AE2726" t="s">
        <v>624</v>
      </c>
      <c r="AF2726">
        <v>5.8</v>
      </c>
      <c r="AG2726">
        <v>0</v>
      </c>
      <c r="AH2726">
        <v>0</v>
      </c>
      <c r="AI2726" s="4">
        <v>40268</v>
      </c>
    </row>
    <row r="2727" spans="1:35">
      <c r="A2727">
        <v>2726</v>
      </c>
      <c r="B2727" t="str">
        <f>"002323"</f>
        <v>002323</v>
      </c>
      <c r="C2727" t="s">
        <v>12355</v>
      </c>
      <c r="D2727" s="4">
        <v>43190</v>
      </c>
      <c r="E2727" t="s">
        <v>627</v>
      </c>
      <c r="F2727" t="s">
        <v>1530</v>
      </c>
      <c r="G2727">
        <v>7920</v>
      </c>
      <c r="H2727">
        <v>0</v>
      </c>
      <c r="I2727">
        <v>1.1499999999999999</v>
      </c>
      <c r="J2727">
        <v>0.41</v>
      </c>
      <c r="K2727" t="s">
        <v>920</v>
      </c>
      <c r="L2727">
        <v>-8.77</v>
      </c>
      <c r="M2727" t="s">
        <v>10285</v>
      </c>
      <c r="N2727">
        <v>0</v>
      </c>
      <c r="O2727" t="s">
        <v>9566</v>
      </c>
      <c r="P2727" t="s">
        <v>3534</v>
      </c>
      <c r="Q2727">
        <v>-73.16</v>
      </c>
      <c r="R2727" t="s">
        <v>2056</v>
      </c>
      <c r="S2727">
        <v>0.78</v>
      </c>
      <c r="T2727">
        <v>25.46</v>
      </c>
      <c r="U2727" t="s">
        <v>512</v>
      </c>
      <c r="V2727" t="s">
        <v>276</v>
      </c>
      <c r="W2727" t="s">
        <v>4583</v>
      </c>
      <c r="X2727">
        <v>0.41</v>
      </c>
      <c r="Y2727" t="s">
        <v>79</v>
      </c>
      <c r="Z2727" t="s">
        <v>1569</v>
      </c>
      <c r="AA2727" t="s">
        <v>7442</v>
      </c>
      <c r="AB2727">
        <v>4.37</v>
      </c>
      <c r="AC2727" t="s">
        <v>649</v>
      </c>
      <c r="AD2727">
        <v>33.200000000000003</v>
      </c>
      <c r="AE2727" t="s">
        <v>12356</v>
      </c>
      <c r="AF2727">
        <v>0.12</v>
      </c>
      <c r="AG2727">
        <v>0</v>
      </c>
      <c r="AH2727">
        <v>0</v>
      </c>
      <c r="AI2727" s="4">
        <v>40165</v>
      </c>
    </row>
    <row r="2728" spans="1:35">
      <c r="A2728">
        <v>2727</v>
      </c>
      <c r="B2728" t="str">
        <f>"000668"</f>
        <v>000668</v>
      </c>
      <c r="C2728" t="s">
        <v>12357</v>
      </c>
      <c r="D2728" s="4">
        <v>43190</v>
      </c>
      <c r="E2728" t="s">
        <v>745</v>
      </c>
      <c r="F2728" t="s">
        <v>745</v>
      </c>
      <c r="G2728" t="s">
        <v>3475</v>
      </c>
      <c r="H2728">
        <v>0.02</v>
      </c>
      <c r="I2728">
        <v>4.18</v>
      </c>
      <c r="J2728">
        <v>0.41</v>
      </c>
      <c r="K2728" t="s">
        <v>4449</v>
      </c>
      <c r="L2728">
        <v>2814.44</v>
      </c>
      <c r="M2728" t="s">
        <v>7386</v>
      </c>
      <c r="N2728" t="s">
        <v>12358</v>
      </c>
      <c r="O2728" t="s">
        <v>2874</v>
      </c>
      <c r="P2728" t="s">
        <v>12359</v>
      </c>
      <c r="Q2728">
        <v>124.79</v>
      </c>
      <c r="R2728" t="s">
        <v>958</v>
      </c>
      <c r="S2728">
        <v>1.88</v>
      </c>
      <c r="T2728">
        <v>46.39</v>
      </c>
      <c r="U2728" t="s">
        <v>774</v>
      </c>
      <c r="V2728" t="s">
        <v>253</v>
      </c>
      <c r="W2728" t="s">
        <v>11991</v>
      </c>
      <c r="X2728">
        <v>0.41</v>
      </c>
      <c r="Y2728" t="s">
        <v>510</v>
      </c>
      <c r="Z2728" t="s">
        <v>1833</v>
      </c>
      <c r="AA2728" t="s">
        <v>6541</v>
      </c>
      <c r="AB2728">
        <v>2.6</v>
      </c>
      <c r="AC2728" t="s">
        <v>792</v>
      </c>
      <c r="AD2728">
        <v>24.19</v>
      </c>
      <c r="AE2728" t="s">
        <v>12100</v>
      </c>
      <c r="AF2728">
        <v>0.55000000000000004</v>
      </c>
      <c r="AG2728">
        <v>0</v>
      </c>
      <c r="AH2728">
        <v>0</v>
      </c>
      <c r="AI2728" s="4">
        <v>35409</v>
      </c>
    </row>
    <row r="2729" spans="1:35">
      <c r="A2729">
        <v>2728</v>
      </c>
      <c r="B2729" t="str">
        <f>"000404"</f>
        <v>000404</v>
      </c>
      <c r="C2729" t="s">
        <v>12360</v>
      </c>
      <c r="D2729" s="4">
        <v>43190</v>
      </c>
      <c r="E2729" t="s">
        <v>1993</v>
      </c>
      <c r="F2729" t="s">
        <v>3894</v>
      </c>
      <c r="G2729" t="s">
        <v>3258</v>
      </c>
      <c r="H2729">
        <v>0.02</v>
      </c>
      <c r="I2729">
        <v>4.5199999999999996</v>
      </c>
      <c r="J2729">
        <v>0.41</v>
      </c>
      <c r="K2729" t="s">
        <v>826</v>
      </c>
      <c r="L2729">
        <v>12.63</v>
      </c>
      <c r="M2729" t="s">
        <v>12361</v>
      </c>
      <c r="N2729" t="s">
        <v>12362</v>
      </c>
      <c r="O2729" t="s">
        <v>12363</v>
      </c>
      <c r="P2729" t="s">
        <v>8585</v>
      </c>
      <c r="Q2729">
        <v>-75.23</v>
      </c>
      <c r="R2729" t="s">
        <v>6799</v>
      </c>
      <c r="S2729">
        <v>1.1599999999999999</v>
      </c>
      <c r="T2729">
        <v>11.38</v>
      </c>
      <c r="U2729" t="s">
        <v>1820</v>
      </c>
      <c r="V2729" t="s">
        <v>5363</v>
      </c>
      <c r="W2729" t="s">
        <v>80</v>
      </c>
      <c r="X2729">
        <v>0.41</v>
      </c>
      <c r="Y2729" t="s">
        <v>1878</v>
      </c>
      <c r="Z2729" t="s">
        <v>3982</v>
      </c>
      <c r="AA2729" t="s">
        <v>319</v>
      </c>
      <c r="AB2729">
        <v>0.92</v>
      </c>
      <c r="AC2729" t="s">
        <v>907</v>
      </c>
      <c r="AD2729">
        <v>30.76</v>
      </c>
      <c r="AE2729" t="s">
        <v>983</v>
      </c>
      <c r="AF2729">
        <v>2.29</v>
      </c>
      <c r="AG2729">
        <v>0</v>
      </c>
      <c r="AH2729">
        <v>0</v>
      </c>
      <c r="AI2729" s="4">
        <v>35235</v>
      </c>
    </row>
    <row r="2730" spans="1:35">
      <c r="A2730">
        <v>2729</v>
      </c>
      <c r="B2730" t="str">
        <f>"300592"</f>
        <v>300592</v>
      </c>
      <c r="C2730" t="s">
        <v>12364</v>
      </c>
      <c r="D2730" s="4">
        <v>43190</v>
      </c>
      <c r="E2730" t="s">
        <v>209</v>
      </c>
      <c r="F2730" t="s">
        <v>8353</v>
      </c>
      <c r="G2730">
        <v>6785</v>
      </c>
      <c r="H2730">
        <v>0.02</v>
      </c>
      <c r="I2730">
        <v>4.0199999999999996</v>
      </c>
      <c r="J2730">
        <v>0.4</v>
      </c>
      <c r="K2730" t="s">
        <v>12365</v>
      </c>
      <c r="L2730">
        <v>30.18</v>
      </c>
      <c r="M2730" t="s">
        <v>4381</v>
      </c>
      <c r="N2730">
        <v>0</v>
      </c>
      <c r="O2730" t="s">
        <v>6863</v>
      </c>
      <c r="P2730" t="s">
        <v>3581</v>
      </c>
      <c r="Q2730">
        <v>6374.23</v>
      </c>
      <c r="R2730" t="s">
        <v>3768</v>
      </c>
      <c r="S2730">
        <v>1.59</v>
      </c>
      <c r="T2730">
        <v>28</v>
      </c>
      <c r="U2730" t="s">
        <v>5864</v>
      </c>
      <c r="V2730" t="s">
        <v>2621</v>
      </c>
      <c r="W2730" t="s">
        <v>12366</v>
      </c>
      <c r="X2730">
        <v>0.4</v>
      </c>
      <c r="Y2730" t="s">
        <v>196</v>
      </c>
      <c r="Z2730" t="s">
        <v>2590</v>
      </c>
      <c r="AA2730" t="s">
        <v>5295</v>
      </c>
      <c r="AB2730">
        <v>3.06</v>
      </c>
      <c r="AC2730" t="s">
        <v>1645</v>
      </c>
      <c r="AD2730">
        <v>52.12</v>
      </c>
      <c r="AE2730" t="s">
        <v>2069</v>
      </c>
      <c r="AF2730">
        <v>1.39</v>
      </c>
      <c r="AG2730">
        <v>0</v>
      </c>
      <c r="AH2730">
        <v>0</v>
      </c>
      <c r="AI2730" s="4">
        <v>42755</v>
      </c>
    </row>
    <row r="2731" spans="1:35">
      <c r="A2731">
        <v>2730</v>
      </c>
      <c r="B2731" t="str">
        <f>"300198"</f>
        <v>300198</v>
      </c>
      <c r="C2731" t="s">
        <v>12367</v>
      </c>
      <c r="D2731" s="4">
        <v>43190</v>
      </c>
      <c r="E2731" t="s">
        <v>978</v>
      </c>
      <c r="F2731" t="s">
        <v>776</v>
      </c>
      <c r="G2731" t="s">
        <v>2676</v>
      </c>
      <c r="H2731">
        <v>0.01</v>
      </c>
      <c r="I2731">
        <v>1.6</v>
      </c>
      <c r="J2731">
        <v>0.4</v>
      </c>
      <c r="K2731" t="s">
        <v>1732</v>
      </c>
      <c r="L2731">
        <v>56.27</v>
      </c>
      <c r="M2731" t="s">
        <v>11964</v>
      </c>
      <c r="N2731" t="s">
        <v>7104</v>
      </c>
      <c r="O2731" t="s">
        <v>12368</v>
      </c>
      <c r="P2731" t="s">
        <v>11419</v>
      </c>
      <c r="Q2731">
        <v>146.9</v>
      </c>
      <c r="R2731" t="s">
        <v>123</v>
      </c>
      <c r="S2731">
        <v>0.43</v>
      </c>
      <c r="T2731">
        <v>19.79</v>
      </c>
      <c r="U2731" t="s">
        <v>2700</v>
      </c>
      <c r="V2731" t="s">
        <v>115</v>
      </c>
      <c r="W2731" t="s">
        <v>2268</v>
      </c>
      <c r="X2731">
        <v>0.4</v>
      </c>
      <c r="Y2731" t="s">
        <v>584</v>
      </c>
      <c r="Z2731" t="s">
        <v>407</v>
      </c>
      <c r="AA2731" t="s">
        <v>349</v>
      </c>
      <c r="AB2731">
        <v>3.73</v>
      </c>
      <c r="AC2731" t="s">
        <v>1052</v>
      </c>
      <c r="AD2731">
        <v>50.7</v>
      </c>
      <c r="AE2731" t="s">
        <v>1974</v>
      </c>
      <c r="AF2731">
        <v>0.14000000000000001</v>
      </c>
      <c r="AG2731">
        <v>0</v>
      </c>
      <c r="AH2731">
        <v>0</v>
      </c>
      <c r="AI2731" s="4">
        <v>40640</v>
      </c>
    </row>
    <row r="2732" spans="1:35">
      <c r="A2732">
        <v>2731</v>
      </c>
      <c r="B2732" t="str">
        <f>"002674"</f>
        <v>002674</v>
      </c>
      <c r="C2732" t="s">
        <v>12369</v>
      </c>
      <c r="D2732" s="4">
        <v>43190</v>
      </c>
      <c r="E2732" t="s">
        <v>1206</v>
      </c>
      <c r="F2732" t="s">
        <v>94</v>
      </c>
      <c r="G2732" t="s">
        <v>755</v>
      </c>
      <c r="H2732">
        <v>0.03</v>
      </c>
      <c r="I2732">
        <v>7.31</v>
      </c>
      <c r="J2732">
        <v>0.4</v>
      </c>
      <c r="K2732" t="s">
        <v>52</v>
      </c>
      <c r="L2732">
        <v>-19.989999999999998</v>
      </c>
      <c r="M2732" t="s">
        <v>11196</v>
      </c>
      <c r="N2732" t="s">
        <v>12370</v>
      </c>
      <c r="O2732" t="s">
        <v>11628</v>
      </c>
      <c r="P2732" t="s">
        <v>10534</v>
      </c>
      <c r="Q2732">
        <v>-16.71</v>
      </c>
      <c r="R2732" t="s">
        <v>607</v>
      </c>
      <c r="S2732">
        <v>1.5</v>
      </c>
      <c r="T2732">
        <v>9.44</v>
      </c>
      <c r="U2732" t="s">
        <v>426</v>
      </c>
      <c r="V2732" t="s">
        <v>1843</v>
      </c>
      <c r="W2732" t="s">
        <v>128</v>
      </c>
      <c r="X2732">
        <v>0.4</v>
      </c>
      <c r="Y2732" t="s">
        <v>1324</v>
      </c>
      <c r="Z2732" t="s">
        <v>1359</v>
      </c>
      <c r="AA2732" t="s">
        <v>9161</v>
      </c>
      <c r="AB2732">
        <v>1.07</v>
      </c>
      <c r="AC2732" t="s">
        <v>826</v>
      </c>
      <c r="AD2732">
        <v>86.45</v>
      </c>
      <c r="AE2732" t="s">
        <v>350</v>
      </c>
      <c r="AF2732">
        <v>4.5</v>
      </c>
      <c r="AG2732">
        <v>0</v>
      </c>
      <c r="AH2732">
        <v>0</v>
      </c>
      <c r="AI2732" s="4">
        <v>41036</v>
      </c>
    </row>
    <row r="2733" spans="1:35">
      <c r="A2733">
        <v>2732</v>
      </c>
      <c r="B2733" t="str">
        <f>"002560"</f>
        <v>002560</v>
      </c>
      <c r="C2733" t="s">
        <v>12371</v>
      </c>
      <c r="D2733" s="4">
        <v>43190</v>
      </c>
      <c r="E2733" t="s">
        <v>1706</v>
      </c>
      <c r="F2733" t="s">
        <v>1732</v>
      </c>
      <c r="G2733">
        <v>7823</v>
      </c>
      <c r="H2733">
        <v>0.01</v>
      </c>
      <c r="I2733">
        <v>3.51</v>
      </c>
      <c r="J2733">
        <v>0.4</v>
      </c>
      <c r="K2733" t="s">
        <v>204</v>
      </c>
      <c r="L2733">
        <v>27.02</v>
      </c>
      <c r="M2733" t="s">
        <v>10351</v>
      </c>
      <c r="N2733" t="s">
        <v>12372</v>
      </c>
      <c r="O2733" t="s">
        <v>8321</v>
      </c>
      <c r="P2733" t="s">
        <v>11145</v>
      </c>
      <c r="Q2733">
        <v>30.32</v>
      </c>
      <c r="R2733" t="s">
        <v>1035</v>
      </c>
      <c r="S2733">
        <v>0.85</v>
      </c>
      <c r="T2733">
        <v>9.56</v>
      </c>
      <c r="U2733" t="s">
        <v>1449</v>
      </c>
      <c r="V2733" t="s">
        <v>613</v>
      </c>
      <c r="W2733" t="s">
        <v>94</v>
      </c>
      <c r="X2733">
        <v>0.4</v>
      </c>
      <c r="Y2733" t="s">
        <v>417</v>
      </c>
      <c r="Z2733" t="s">
        <v>545</v>
      </c>
      <c r="AA2733" t="s">
        <v>290</v>
      </c>
      <c r="AB2733">
        <v>1.36</v>
      </c>
      <c r="AC2733" t="s">
        <v>547</v>
      </c>
      <c r="AD2733">
        <v>67.11</v>
      </c>
      <c r="AE2733" t="s">
        <v>3281</v>
      </c>
      <c r="AF2733">
        <v>1.64</v>
      </c>
      <c r="AG2733">
        <v>0</v>
      </c>
      <c r="AH2733">
        <v>0</v>
      </c>
      <c r="AI2733" s="4">
        <v>40605</v>
      </c>
    </row>
    <row r="2734" spans="1:35">
      <c r="A2734">
        <v>2733</v>
      </c>
      <c r="B2734" t="str">
        <f>"000700"</f>
        <v>000700</v>
      </c>
      <c r="C2734" t="s">
        <v>12373</v>
      </c>
      <c r="D2734" s="4">
        <v>43190</v>
      </c>
      <c r="E2734" t="s">
        <v>3083</v>
      </c>
      <c r="F2734" t="s">
        <v>259</v>
      </c>
      <c r="G2734" t="s">
        <v>6893</v>
      </c>
      <c r="H2734">
        <v>0.01</v>
      </c>
      <c r="I2734">
        <v>3.06</v>
      </c>
      <c r="J2734">
        <v>0.4</v>
      </c>
      <c r="K2734" t="s">
        <v>407</v>
      </c>
      <c r="L2734">
        <v>1.0900000000000001</v>
      </c>
      <c r="M2734" t="s">
        <v>9798</v>
      </c>
      <c r="N2734" t="s">
        <v>8028</v>
      </c>
      <c r="O2734" t="s">
        <v>7928</v>
      </c>
      <c r="P2734" t="s">
        <v>11454</v>
      </c>
      <c r="Q2734">
        <v>-86.58</v>
      </c>
      <c r="R2734" t="s">
        <v>835</v>
      </c>
      <c r="S2734">
        <v>1.37</v>
      </c>
      <c r="T2734">
        <v>20.57</v>
      </c>
      <c r="U2734" t="s">
        <v>1060</v>
      </c>
      <c r="V2734" t="s">
        <v>2542</v>
      </c>
      <c r="W2734" t="s">
        <v>303</v>
      </c>
      <c r="X2734">
        <v>0.4</v>
      </c>
      <c r="Y2734" t="s">
        <v>2702</v>
      </c>
      <c r="Z2734" t="s">
        <v>1175</v>
      </c>
      <c r="AA2734" t="s">
        <v>295</v>
      </c>
      <c r="AB2734">
        <v>1.19</v>
      </c>
      <c r="AC2734" t="s">
        <v>260</v>
      </c>
      <c r="AD2734">
        <v>36.950000000000003</v>
      </c>
      <c r="AE2734">
        <v>881</v>
      </c>
      <c r="AF2734">
        <v>0</v>
      </c>
      <c r="AG2734">
        <v>0</v>
      </c>
      <c r="AH2734">
        <v>0</v>
      </c>
      <c r="AI2734" s="4">
        <v>35489</v>
      </c>
    </row>
    <row r="2735" spans="1:35">
      <c r="A2735">
        <v>2734</v>
      </c>
      <c r="B2735" t="str">
        <f>"600539"</f>
        <v>600539</v>
      </c>
      <c r="C2735" t="s">
        <v>12374</v>
      </c>
      <c r="D2735" s="4">
        <v>43190</v>
      </c>
      <c r="E2735" t="s">
        <v>985</v>
      </c>
      <c r="F2735" t="s">
        <v>985</v>
      </c>
      <c r="G2735" t="s">
        <v>4047</v>
      </c>
      <c r="H2735">
        <v>0.01</v>
      </c>
      <c r="I2735">
        <v>1.83</v>
      </c>
      <c r="J2735">
        <v>0.4</v>
      </c>
      <c r="K2735" t="s">
        <v>8364</v>
      </c>
      <c r="L2735">
        <v>-28.55</v>
      </c>
      <c r="M2735" t="s">
        <v>6566</v>
      </c>
      <c r="N2735">
        <v>0</v>
      </c>
      <c r="O2735" t="s">
        <v>1848</v>
      </c>
      <c r="P2735" t="s">
        <v>10484</v>
      </c>
      <c r="Q2735">
        <v>119.9</v>
      </c>
      <c r="R2735" t="s">
        <v>12375</v>
      </c>
      <c r="S2735">
        <v>-1.71</v>
      </c>
      <c r="T2735">
        <v>20.39</v>
      </c>
      <c r="U2735" t="s">
        <v>362</v>
      </c>
      <c r="V2735" t="s">
        <v>914</v>
      </c>
      <c r="W2735" t="s">
        <v>1634</v>
      </c>
      <c r="X2735">
        <v>0.4</v>
      </c>
      <c r="Y2735" t="s">
        <v>12376</v>
      </c>
      <c r="Z2735" t="s">
        <v>12376</v>
      </c>
      <c r="AA2735">
        <v>5532</v>
      </c>
      <c r="AB2735">
        <v>3.74</v>
      </c>
      <c r="AC2735" t="s">
        <v>662</v>
      </c>
      <c r="AD2735">
        <v>88.08</v>
      </c>
      <c r="AE2735" t="s">
        <v>127</v>
      </c>
      <c r="AF2735">
        <v>2.38</v>
      </c>
      <c r="AG2735">
        <v>0</v>
      </c>
      <c r="AH2735">
        <v>0</v>
      </c>
      <c r="AI2735" s="4">
        <v>37127</v>
      </c>
    </row>
    <row r="2736" spans="1:35">
      <c r="A2736">
        <v>2735</v>
      </c>
      <c r="B2736" t="str">
        <f>"600579"</f>
        <v>600579</v>
      </c>
      <c r="C2736" t="s">
        <v>12377</v>
      </c>
      <c r="D2736" s="4">
        <v>43190</v>
      </c>
      <c r="E2736" t="s">
        <v>3027</v>
      </c>
      <c r="F2736" t="s">
        <v>3027</v>
      </c>
      <c r="G2736" t="s">
        <v>6675</v>
      </c>
      <c r="H2736">
        <v>0.01</v>
      </c>
      <c r="I2736">
        <v>2.83</v>
      </c>
      <c r="J2736">
        <v>0.39</v>
      </c>
      <c r="K2736" t="s">
        <v>443</v>
      </c>
      <c r="L2736">
        <v>31.49</v>
      </c>
      <c r="M2736" t="s">
        <v>2566</v>
      </c>
      <c r="N2736">
        <v>0</v>
      </c>
      <c r="O2736" t="s">
        <v>12378</v>
      </c>
      <c r="P2736" t="s">
        <v>8845</v>
      </c>
      <c r="Q2736">
        <v>945.79</v>
      </c>
      <c r="R2736" t="s">
        <v>12379</v>
      </c>
      <c r="S2736">
        <v>-2.1</v>
      </c>
      <c r="T2736">
        <v>22.8</v>
      </c>
      <c r="U2736" t="s">
        <v>1052</v>
      </c>
      <c r="V2736" t="s">
        <v>982</v>
      </c>
      <c r="W2736" t="s">
        <v>1624</v>
      </c>
      <c r="X2736">
        <v>0.39</v>
      </c>
      <c r="Y2736" t="s">
        <v>1436</v>
      </c>
      <c r="Z2736" t="s">
        <v>856</v>
      </c>
      <c r="AA2736" t="s">
        <v>12380</v>
      </c>
      <c r="AB2736">
        <v>3.39</v>
      </c>
      <c r="AC2736" t="s">
        <v>613</v>
      </c>
      <c r="AD2736">
        <v>70.5</v>
      </c>
      <c r="AE2736" t="s">
        <v>1367</v>
      </c>
      <c r="AF2736">
        <v>3.86</v>
      </c>
      <c r="AG2736">
        <v>0</v>
      </c>
      <c r="AH2736">
        <v>0</v>
      </c>
      <c r="AI2736" s="4">
        <v>37477</v>
      </c>
    </row>
    <row r="2737" spans="1:35">
      <c r="A2737">
        <v>2736</v>
      </c>
      <c r="B2737" t="str">
        <f>"600365"</f>
        <v>600365</v>
      </c>
      <c r="C2737" t="s">
        <v>12381</v>
      </c>
      <c r="D2737" s="4">
        <v>43190</v>
      </c>
      <c r="E2737" t="s">
        <v>150</v>
      </c>
      <c r="F2737" t="s">
        <v>150</v>
      </c>
      <c r="G2737" t="s">
        <v>4763</v>
      </c>
      <c r="H2737">
        <v>0.01</v>
      </c>
      <c r="I2737">
        <v>1.73</v>
      </c>
      <c r="J2737">
        <v>0.39</v>
      </c>
      <c r="K2737" t="s">
        <v>2468</v>
      </c>
      <c r="L2737">
        <v>9.42</v>
      </c>
      <c r="M2737" t="s">
        <v>7362</v>
      </c>
      <c r="N2737">
        <v>0</v>
      </c>
      <c r="O2737" t="s">
        <v>12382</v>
      </c>
      <c r="P2737" t="s">
        <v>12383</v>
      </c>
      <c r="Q2737">
        <v>22.51</v>
      </c>
      <c r="R2737" t="s">
        <v>12384</v>
      </c>
      <c r="S2737">
        <v>-0.66</v>
      </c>
      <c r="T2737">
        <v>11.97</v>
      </c>
      <c r="U2737" t="s">
        <v>3839</v>
      </c>
      <c r="V2737" t="s">
        <v>1907</v>
      </c>
      <c r="W2737" t="s">
        <v>1484</v>
      </c>
      <c r="X2737">
        <v>0.39</v>
      </c>
      <c r="Y2737" t="s">
        <v>748</v>
      </c>
      <c r="Z2737" t="s">
        <v>1839</v>
      </c>
      <c r="AA2737" t="s">
        <v>11188</v>
      </c>
      <c r="AB2737">
        <v>3.63</v>
      </c>
      <c r="AC2737" t="s">
        <v>741</v>
      </c>
      <c r="AD2737">
        <v>72.400000000000006</v>
      </c>
      <c r="AE2737" t="s">
        <v>1438</v>
      </c>
      <c r="AF2737">
        <v>1.37</v>
      </c>
      <c r="AG2737">
        <v>0</v>
      </c>
      <c r="AH2737">
        <v>0</v>
      </c>
      <c r="AI2737" s="4">
        <v>36906</v>
      </c>
    </row>
    <row r="2738" spans="1:35">
      <c r="A2738">
        <v>2737</v>
      </c>
      <c r="B2738" t="str">
        <f>"300597"</f>
        <v>300597</v>
      </c>
      <c r="C2738" t="s">
        <v>12385</v>
      </c>
      <c r="D2738" s="4">
        <v>43190</v>
      </c>
      <c r="E2738" t="s">
        <v>94</v>
      </c>
      <c r="F2738" t="s">
        <v>12386</v>
      </c>
      <c r="G2738">
        <v>2577</v>
      </c>
      <c r="H2738">
        <v>0.01</v>
      </c>
      <c r="I2738">
        <v>3.03</v>
      </c>
      <c r="J2738">
        <v>0.39</v>
      </c>
      <c r="K2738" t="s">
        <v>10474</v>
      </c>
      <c r="L2738">
        <v>-1.73</v>
      </c>
      <c r="M2738" t="s">
        <v>567</v>
      </c>
      <c r="N2738">
        <v>0</v>
      </c>
      <c r="O2738" t="s">
        <v>7951</v>
      </c>
      <c r="P2738" t="s">
        <v>4346</v>
      </c>
      <c r="Q2738">
        <v>4.75</v>
      </c>
      <c r="R2738" t="s">
        <v>219</v>
      </c>
      <c r="S2738">
        <v>1.03</v>
      </c>
      <c r="T2738">
        <v>20.28</v>
      </c>
      <c r="U2738" t="s">
        <v>513</v>
      </c>
      <c r="V2738" t="s">
        <v>1769</v>
      </c>
      <c r="W2738" t="s">
        <v>9370</v>
      </c>
      <c r="X2738">
        <v>0.39</v>
      </c>
      <c r="Y2738" t="s">
        <v>682</v>
      </c>
      <c r="Z2738" t="s">
        <v>682</v>
      </c>
      <c r="AA2738">
        <v>0</v>
      </c>
      <c r="AB2738">
        <v>5.08</v>
      </c>
      <c r="AC2738" t="s">
        <v>1837</v>
      </c>
      <c r="AD2738">
        <v>76.75</v>
      </c>
      <c r="AE2738" t="s">
        <v>1417</v>
      </c>
      <c r="AF2738">
        <v>0.89</v>
      </c>
      <c r="AG2738">
        <v>0</v>
      </c>
      <c r="AH2738">
        <v>0</v>
      </c>
      <c r="AI2738" s="4">
        <v>42758</v>
      </c>
    </row>
    <row r="2739" spans="1:35">
      <c r="A2739">
        <v>2738</v>
      </c>
      <c r="B2739" t="str">
        <f>"300328"</f>
        <v>300328</v>
      </c>
      <c r="C2739" t="s">
        <v>12387</v>
      </c>
      <c r="D2739" s="4">
        <v>43190</v>
      </c>
      <c r="E2739" t="s">
        <v>157</v>
      </c>
      <c r="F2739" t="s">
        <v>623</v>
      </c>
      <c r="G2739" t="s">
        <v>11281</v>
      </c>
      <c r="H2739">
        <v>0.01</v>
      </c>
      <c r="I2739">
        <v>2.5499999999999998</v>
      </c>
      <c r="J2739">
        <v>0.39</v>
      </c>
      <c r="K2739" t="s">
        <v>1360</v>
      </c>
      <c r="L2739">
        <v>0.13</v>
      </c>
      <c r="M2739" t="s">
        <v>8406</v>
      </c>
      <c r="N2739">
        <v>0</v>
      </c>
      <c r="O2739" t="s">
        <v>6177</v>
      </c>
      <c r="P2739" t="s">
        <v>2937</v>
      </c>
      <c r="Q2739">
        <v>-71.02</v>
      </c>
      <c r="R2739" t="s">
        <v>1489</v>
      </c>
      <c r="S2739">
        <v>0.49</v>
      </c>
      <c r="T2739">
        <v>26.04</v>
      </c>
      <c r="U2739" t="s">
        <v>980</v>
      </c>
      <c r="V2739" t="s">
        <v>978</v>
      </c>
      <c r="W2739" t="s">
        <v>1018</v>
      </c>
      <c r="X2739">
        <v>0.39</v>
      </c>
      <c r="Y2739" t="s">
        <v>2586</v>
      </c>
      <c r="Z2739" t="s">
        <v>186</v>
      </c>
      <c r="AA2739" t="s">
        <v>726</v>
      </c>
      <c r="AB2739">
        <v>2.87</v>
      </c>
      <c r="AC2739" t="s">
        <v>1033</v>
      </c>
      <c r="AD2739">
        <v>64.680000000000007</v>
      </c>
      <c r="AE2739" t="s">
        <v>2625</v>
      </c>
      <c r="AF2739">
        <v>0.99</v>
      </c>
      <c r="AG2739">
        <v>0</v>
      </c>
      <c r="AH2739">
        <v>0</v>
      </c>
      <c r="AI2739" s="4">
        <v>41079</v>
      </c>
    </row>
    <row r="2740" spans="1:35">
      <c r="A2740">
        <v>2739</v>
      </c>
      <c r="B2740" t="str">
        <f>"300092"</f>
        <v>300092</v>
      </c>
      <c r="C2740" t="s">
        <v>12388</v>
      </c>
      <c r="D2740" s="4">
        <v>43190</v>
      </c>
      <c r="E2740" t="s">
        <v>676</v>
      </c>
      <c r="F2740" t="s">
        <v>321</v>
      </c>
      <c r="G2740">
        <v>8245</v>
      </c>
      <c r="H2740">
        <v>0.01</v>
      </c>
      <c r="I2740">
        <v>2.2999999999999998</v>
      </c>
      <c r="J2740">
        <v>0.39</v>
      </c>
      <c r="K2740" t="s">
        <v>12389</v>
      </c>
      <c r="L2740">
        <v>36.659999999999997</v>
      </c>
      <c r="M2740" t="s">
        <v>875</v>
      </c>
      <c r="N2740">
        <v>0</v>
      </c>
      <c r="O2740" t="s">
        <v>6395</v>
      </c>
      <c r="P2740" t="s">
        <v>9735</v>
      </c>
      <c r="Q2740">
        <v>106.56</v>
      </c>
      <c r="R2740" t="s">
        <v>12390</v>
      </c>
      <c r="S2740">
        <v>0.25</v>
      </c>
      <c r="T2740">
        <v>17.96</v>
      </c>
      <c r="U2740" t="s">
        <v>1319</v>
      </c>
      <c r="V2740" t="s">
        <v>2625</v>
      </c>
      <c r="W2740" t="s">
        <v>200</v>
      </c>
      <c r="X2740">
        <v>0.39</v>
      </c>
      <c r="Y2740" t="s">
        <v>1974</v>
      </c>
      <c r="Z2740" t="s">
        <v>1370</v>
      </c>
      <c r="AA2740" t="s">
        <v>10261</v>
      </c>
      <c r="AB2740">
        <v>2.58</v>
      </c>
      <c r="AC2740" t="s">
        <v>1438</v>
      </c>
      <c r="AD2740">
        <v>79.680000000000007</v>
      </c>
      <c r="AE2740" t="s">
        <v>828</v>
      </c>
      <c r="AF2740">
        <v>1.1100000000000001</v>
      </c>
      <c r="AG2740">
        <v>0</v>
      </c>
      <c r="AH2740">
        <v>0</v>
      </c>
      <c r="AI2740" s="4">
        <v>40367</v>
      </c>
    </row>
    <row r="2741" spans="1:35">
      <c r="A2741">
        <v>2740</v>
      </c>
      <c r="B2741" t="str">
        <f>"600992"</f>
        <v>600992</v>
      </c>
      <c r="C2741" t="s">
        <v>12391</v>
      </c>
      <c r="D2741" s="4">
        <v>43190</v>
      </c>
      <c r="E2741" t="s">
        <v>203</v>
      </c>
      <c r="F2741" t="s">
        <v>203</v>
      </c>
      <c r="G2741" t="s">
        <v>4294</v>
      </c>
      <c r="H2741">
        <v>0.02</v>
      </c>
      <c r="I2741">
        <v>5.63</v>
      </c>
      <c r="J2741">
        <v>0.38</v>
      </c>
      <c r="K2741" t="s">
        <v>1563</v>
      </c>
      <c r="L2741">
        <v>23.37</v>
      </c>
      <c r="M2741" t="s">
        <v>6038</v>
      </c>
      <c r="N2741" t="s">
        <v>5939</v>
      </c>
      <c r="O2741" t="s">
        <v>11418</v>
      </c>
      <c r="P2741" t="s">
        <v>10220</v>
      </c>
      <c r="Q2741">
        <v>3.18</v>
      </c>
      <c r="R2741" t="s">
        <v>807</v>
      </c>
      <c r="S2741">
        <v>0.93</v>
      </c>
      <c r="T2741">
        <v>12.78</v>
      </c>
      <c r="U2741" t="s">
        <v>2291</v>
      </c>
      <c r="V2741" t="s">
        <v>833</v>
      </c>
      <c r="W2741" t="s">
        <v>2889</v>
      </c>
      <c r="X2741">
        <v>0.38</v>
      </c>
      <c r="Y2741" t="s">
        <v>8311</v>
      </c>
      <c r="Z2741" t="s">
        <v>358</v>
      </c>
      <c r="AA2741" t="s">
        <v>10796</v>
      </c>
      <c r="AB2741">
        <v>1.36</v>
      </c>
      <c r="AC2741" t="s">
        <v>176</v>
      </c>
      <c r="AD2741">
        <v>60.58</v>
      </c>
      <c r="AE2741" t="s">
        <v>5930</v>
      </c>
      <c r="AF2741">
        <v>3.43</v>
      </c>
      <c r="AG2741">
        <v>0</v>
      </c>
      <c r="AH2741">
        <v>0</v>
      </c>
      <c r="AI2741" s="4">
        <v>38121</v>
      </c>
    </row>
    <row r="2742" spans="1:35">
      <c r="A2742">
        <v>2741</v>
      </c>
      <c r="B2742" t="str">
        <f>"603860"</f>
        <v>603860</v>
      </c>
      <c r="C2742" t="s">
        <v>12392</v>
      </c>
      <c r="D2742" s="4">
        <v>43190</v>
      </c>
      <c r="E2742" t="s">
        <v>8433</v>
      </c>
      <c r="F2742" t="s">
        <v>8434</v>
      </c>
      <c r="G2742">
        <v>2327</v>
      </c>
      <c r="H2742">
        <v>0.03</v>
      </c>
      <c r="I2742">
        <v>8.2799999999999994</v>
      </c>
      <c r="J2742">
        <v>0.38</v>
      </c>
      <c r="K2742" t="s">
        <v>1665</v>
      </c>
      <c r="L2742">
        <v>5.47</v>
      </c>
      <c r="M2742" t="s">
        <v>3811</v>
      </c>
      <c r="N2742">
        <v>0</v>
      </c>
      <c r="O2742" t="s">
        <v>3811</v>
      </c>
      <c r="P2742" t="s">
        <v>1286</v>
      </c>
      <c r="Q2742">
        <v>21.02</v>
      </c>
      <c r="R2742" t="s">
        <v>531</v>
      </c>
      <c r="S2742">
        <v>3.49</v>
      </c>
      <c r="T2742">
        <v>55.61</v>
      </c>
      <c r="U2742" t="s">
        <v>504</v>
      </c>
      <c r="V2742" t="s">
        <v>2811</v>
      </c>
      <c r="W2742" t="s">
        <v>1202</v>
      </c>
      <c r="X2742">
        <v>0.38</v>
      </c>
      <c r="Y2742" t="s">
        <v>9609</v>
      </c>
      <c r="Z2742" t="s">
        <v>12393</v>
      </c>
      <c r="AA2742" t="s">
        <v>6556</v>
      </c>
      <c r="AB2742">
        <v>3.63</v>
      </c>
      <c r="AC2742" t="s">
        <v>1685</v>
      </c>
      <c r="AD2742">
        <v>85.98</v>
      </c>
      <c r="AE2742" t="s">
        <v>682</v>
      </c>
      <c r="AF2742">
        <v>3.31</v>
      </c>
      <c r="AG2742">
        <v>0</v>
      </c>
      <c r="AH2742">
        <v>0</v>
      </c>
      <c r="AI2742" s="4">
        <v>42949</v>
      </c>
    </row>
    <row r="2743" spans="1:35">
      <c r="A2743">
        <v>2742</v>
      </c>
      <c r="B2743" t="str">
        <f>"600635"</f>
        <v>600635</v>
      </c>
      <c r="C2743" t="s">
        <v>12394</v>
      </c>
      <c r="D2743" s="4">
        <v>43190</v>
      </c>
      <c r="E2743" t="s">
        <v>1242</v>
      </c>
      <c r="F2743" t="s">
        <v>223</v>
      </c>
      <c r="G2743">
        <v>0</v>
      </c>
      <c r="H2743">
        <v>0.01</v>
      </c>
      <c r="I2743">
        <v>2.4700000000000002</v>
      </c>
      <c r="J2743">
        <v>0.38</v>
      </c>
      <c r="K2743" t="s">
        <v>1792</v>
      </c>
      <c r="L2743">
        <v>13.82</v>
      </c>
      <c r="M2743" t="s">
        <v>7267</v>
      </c>
      <c r="N2743" t="s">
        <v>197</v>
      </c>
      <c r="O2743" t="s">
        <v>6156</v>
      </c>
      <c r="P2743" t="s">
        <v>12395</v>
      </c>
      <c r="Q2743">
        <v>-78</v>
      </c>
      <c r="R2743" t="s">
        <v>867</v>
      </c>
      <c r="S2743">
        <v>0.59</v>
      </c>
      <c r="T2743">
        <v>10.37</v>
      </c>
      <c r="U2743" t="s">
        <v>1098</v>
      </c>
      <c r="V2743" t="s">
        <v>1303</v>
      </c>
      <c r="W2743" t="s">
        <v>3160</v>
      </c>
      <c r="X2743">
        <v>0.38</v>
      </c>
      <c r="Y2743" t="s">
        <v>1089</v>
      </c>
      <c r="Z2743" t="s">
        <v>3702</v>
      </c>
      <c r="AA2743" t="s">
        <v>737</v>
      </c>
      <c r="AB2743">
        <v>1.46</v>
      </c>
      <c r="AC2743" t="s">
        <v>3147</v>
      </c>
      <c r="AD2743">
        <v>35.78</v>
      </c>
      <c r="AE2743" t="s">
        <v>1223</v>
      </c>
      <c r="AF2743">
        <v>0.37</v>
      </c>
      <c r="AG2743">
        <v>0</v>
      </c>
      <c r="AH2743" t="s">
        <v>289</v>
      </c>
      <c r="AI2743" s="4">
        <v>34032</v>
      </c>
    </row>
    <row r="2744" spans="1:35">
      <c r="A2744">
        <v>2743</v>
      </c>
      <c r="B2744" t="str">
        <f>"600410"</f>
        <v>600410</v>
      </c>
      <c r="C2744" t="s">
        <v>12396</v>
      </c>
      <c r="D2744" s="4">
        <v>43190</v>
      </c>
      <c r="E2744" t="s">
        <v>602</v>
      </c>
      <c r="F2744" t="s">
        <v>1223</v>
      </c>
      <c r="G2744" t="s">
        <v>1862</v>
      </c>
      <c r="H2744">
        <v>0.02</v>
      </c>
      <c r="I2744">
        <v>4.41</v>
      </c>
      <c r="J2744">
        <v>0.38</v>
      </c>
      <c r="K2744" t="s">
        <v>1047</v>
      </c>
      <c r="L2744">
        <v>-12.52</v>
      </c>
      <c r="M2744" t="s">
        <v>12397</v>
      </c>
      <c r="N2744" t="s">
        <v>9552</v>
      </c>
      <c r="O2744" t="s">
        <v>5317</v>
      </c>
      <c r="P2744" t="s">
        <v>5307</v>
      </c>
      <c r="Q2744">
        <v>311.18</v>
      </c>
      <c r="R2744" t="s">
        <v>973</v>
      </c>
      <c r="S2744">
        <v>1.04</v>
      </c>
      <c r="T2744">
        <v>19.920000000000002</v>
      </c>
      <c r="U2744" t="s">
        <v>3449</v>
      </c>
      <c r="V2744" t="s">
        <v>1403</v>
      </c>
      <c r="W2744" t="s">
        <v>123</v>
      </c>
      <c r="X2744">
        <v>0.38</v>
      </c>
      <c r="Y2744" t="s">
        <v>888</v>
      </c>
      <c r="Z2744" t="s">
        <v>4159</v>
      </c>
      <c r="AA2744" t="s">
        <v>2792</v>
      </c>
      <c r="AB2744">
        <v>2.0099999999999998</v>
      </c>
      <c r="AC2744" t="s">
        <v>777</v>
      </c>
      <c r="AD2744">
        <v>43.4</v>
      </c>
      <c r="AE2744" t="s">
        <v>2542</v>
      </c>
      <c r="AF2744">
        <v>2.31</v>
      </c>
      <c r="AG2744">
        <v>0</v>
      </c>
      <c r="AH2744">
        <v>0</v>
      </c>
      <c r="AI2744" s="4">
        <v>38104</v>
      </c>
    </row>
    <row r="2745" spans="1:35">
      <c r="A2745">
        <v>2744</v>
      </c>
      <c r="B2745" t="str">
        <f>"002545"</f>
        <v>002545</v>
      </c>
      <c r="C2745" t="s">
        <v>12398</v>
      </c>
      <c r="D2745" s="4">
        <v>43190</v>
      </c>
      <c r="E2745" t="s">
        <v>101</v>
      </c>
      <c r="F2745" t="s">
        <v>2996</v>
      </c>
      <c r="G2745" t="s">
        <v>723</v>
      </c>
      <c r="H2745">
        <v>0.02</v>
      </c>
      <c r="I2745">
        <v>5.38</v>
      </c>
      <c r="J2745">
        <v>0.38</v>
      </c>
      <c r="K2745" t="s">
        <v>156</v>
      </c>
      <c r="L2745">
        <v>-10.76</v>
      </c>
      <c r="M2745" t="s">
        <v>6521</v>
      </c>
      <c r="N2745" t="s">
        <v>6824</v>
      </c>
      <c r="O2745" t="s">
        <v>11848</v>
      </c>
      <c r="P2745" t="s">
        <v>9541</v>
      </c>
      <c r="Q2745">
        <v>25.37</v>
      </c>
      <c r="R2745" t="s">
        <v>2593</v>
      </c>
      <c r="S2745">
        <v>0.64</v>
      </c>
      <c r="T2745">
        <v>30.24</v>
      </c>
      <c r="U2745" t="s">
        <v>586</v>
      </c>
      <c r="V2745" t="s">
        <v>1704</v>
      </c>
      <c r="W2745" t="s">
        <v>1843</v>
      </c>
      <c r="X2745">
        <v>0.38</v>
      </c>
      <c r="Y2745" t="s">
        <v>235</v>
      </c>
      <c r="Z2745" t="s">
        <v>389</v>
      </c>
      <c r="AA2745" t="s">
        <v>1752</v>
      </c>
      <c r="AB2745">
        <v>1.07</v>
      </c>
      <c r="AC2745" t="s">
        <v>4013</v>
      </c>
      <c r="AD2745">
        <v>64.489999999999995</v>
      </c>
      <c r="AE2745" t="s">
        <v>2059</v>
      </c>
      <c r="AF2745">
        <v>3.54</v>
      </c>
      <c r="AG2745">
        <v>0</v>
      </c>
      <c r="AH2745">
        <v>0</v>
      </c>
      <c r="AI2745" s="4">
        <v>40585</v>
      </c>
    </row>
    <row r="2746" spans="1:35">
      <c r="A2746">
        <v>2745</v>
      </c>
      <c r="B2746" t="str">
        <f>"002193"</f>
        <v>002193</v>
      </c>
      <c r="C2746" t="s">
        <v>12399</v>
      </c>
      <c r="D2746" s="4">
        <v>43190</v>
      </c>
      <c r="E2746" t="s">
        <v>1995</v>
      </c>
      <c r="F2746" t="s">
        <v>4614</v>
      </c>
      <c r="G2746" t="s">
        <v>4505</v>
      </c>
      <c r="H2746">
        <v>0.04</v>
      </c>
      <c r="I2746">
        <v>9.6199999999999992</v>
      </c>
      <c r="J2746">
        <v>0.38</v>
      </c>
      <c r="K2746" t="s">
        <v>2733</v>
      </c>
      <c r="L2746">
        <v>13.03</v>
      </c>
      <c r="M2746" t="s">
        <v>271</v>
      </c>
      <c r="N2746">
        <v>0</v>
      </c>
      <c r="O2746" t="s">
        <v>1466</v>
      </c>
      <c r="P2746" t="s">
        <v>10717</v>
      </c>
      <c r="Q2746">
        <v>78.900000000000006</v>
      </c>
      <c r="R2746" t="s">
        <v>1330</v>
      </c>
      <c r="S2746">
        <v>2.25</v>
      </c>
      <c r="T2746">
        <v>19.78</v>
      </c>
      <c r="U2746" t="s">
        <v>2005</v>
      </c>
      <c r="V2746" t="s">
        <v>1158</v>
      </c>
      <c r="W2746" t="s">
        <v>250</v>
      </c>
      <c r="X2746">
        <v>0.38</v>
      </c>
      <c r="Y2746" t="s">
        <v>1752</v>
      </c>
      <c r="Z2746" t="s">
        <v>1190</v>
      </c>
      <c r="AA2746" t="s">
        <v>1733</v>
      </c>
      <c r="AB2746">
        <v>1.61</v>
      </c>
      <c r="AC2746" t="s">
        <v>2542</v>
      </c>
      <c r="AD2746">
        <v>55.44</v>
      </c>
      <c r="AE2746" t="s">
        <v>847</v>
      </c>
      <c r="AF2746">
        <v>6.1</v>
      </c>
      <c r="AG2746">
        <v>0</v>
      </c>
      <c r="AH2746">
        <v>0</v>
      </c>
      <c r="AI2746" s="4">
        <v>39423</v>
      </c>
    </row>
    <row r="2747" spans="1:35">
      <c r="A2747">
        <v>2746</v>
      </c>
      <c r="B2747" t="str">
        <f>"000416"</f>
        <v>000416</v>
      </c>
      <c r="C2747" t="s">
        <v>12400</v>
      </c>
      <c r="D2747" s="4">
        <v>43190</v>
      </c>
      <c r="E2747" t="s">
        <v>943</v>
      </c>
      <c r="F2747" t="s">
        <v>943</v>
      </c>
      <c r="G2747" t="s">
        <v>2229</v>
      </c>
      <c r="H2747">
        <v>0.01</v>
      </c>
      <c r="I2747">
        <v>1.6</v>
      </c>
      <c r="J2747">
        <v>0.38</v>
      </c>
      <c r="K2747" t="s">
        <v>12401</v>
      </c>
      <c r="L2747">
        <v>3.97</v>
      </c>
      <c r="M2747" t="s">
        <v>6974</v>
      </c>
      <c r="N2747" t="s">
        <v>12402</v>
      </c>
      <c r="O2747" t="s">
        <v>6974</v>
      </c>
      <c r="P2747" t="s">
        <v>11450</v>
      </c>
      <c r="Q2747">
        <v>-46.35</v>
      </c>
      <c r="R2747" t="s">
        <v>1732</v>
      </c>
      <c r="S2747">
        <v>0.47</v>
      </c>
      <c r="T2747">
        <v>98.77</v>
      </c>
      <c r="U2747" t="s">
        <v>6541</v>
      </c>
      <c r="V2747" t="s">
        <v>911</v>
      </c>
      <c r="W2747" t="s">
        <v>12403</v>
      </c>
      <c r="X2747">
        <v>0.38</v>
      </c>
      <c r="Y2747" t="s">
        <v>3047</v>
      </c>
      <c r="Z2747" t="s">
        <v>7564</v>
      </c>
      <c r="AA2747" t="s">
        <v>9283</v>
      </c>
      <c r="AB2747">
        <v>2.86</v>
      </c>
      <c r="AC2747" t="s">
        <v>2930</v>
      </c>
      <c r="AD2747">
        <v>93.3</v>
      </c>
      <c r="AE2747" t="s">
        <v>8129</v>
      </c>
      <c r="AF2747">
        <v>0.05</v>
      </c>
      <c r="AG2747">
        <v>0</v>
      </c>
      <c r="AH2747">
        <v>0</v>
      </c>
      <c r="AI2747" s="4">
        <v>35265</v>
      </c>
    </row>
    <row r="2748" spans="1:35">
      <c r="A2748">
        <v>2747</v>
      </c>
      <c r="B2748" t="str">
        <f>"600679"</f>
        <v>600679</v>
      </c>
      <c r="C2748" t="s">
        <v>12404</v>
      </c>
      <c r="D2748" s="4">
        <v>43190</v>
      </c>
      <c r="E2748" t="s">
        <v>498</v>
      </c>
      <c r="F2748" t="s">
        <v>608</v>
      </c>
      <c r="G2748">
        <v>0</v>
      </c>
      <c r="H2748">
        <v>0.01</v>
      </c>
      <c r="I2748">
        <v>3.32</v>
      </c>
      <c r="J2748">
        <v>0.38</v>
      </c>
      <c r="K2748" t="s">
        <v>2031</v>
      </c>
      <c r="L2748">
        <v>-42.75</v>
      </c>
      <c r="M2748" t="s">
        <v>10854</v>
      </c>
      <c r="N2748" t="s">
        <v>8299</v>
      </c>
      <c r="O2748" t="s">
        <v>8808</v>
      </c>
      <c r="P2748" t="s">
        <v>6979</v>
      </c>
      <c r="Q2748">
        <v>-51.39</v>
      </c>
      <c r="R2748" t="s">
        <v>6246</v>
      </c>
      <c r="S2748">
        <v>0.21</v>
      </c>
      <c r="T2748">
        <v>16.27</v>
      </c>
      <c r="U2748" t="s">
        <v>1678</v>
      </c>
      <c r="V2748" t="s">
        <v>5084</v>
      </c>
      <c r="W2748" t="s">
        <v>595</v>
      </c>
      <c r="X2748">
        <v>0.38</v>
      </c>
      <c r="Y2748" t="s">
        <v>1229</v>
      </c>
      <c r="Z2748" t="s">
        <v>186</v>
      </c>
      <c r="AA2748" t="s">
        <v>8438</v>
      </c>
      <c r="AB2748">
        <v>3.02</v>
      </c>
      <c r="AC2748" t="s">
        <v>924</v>
      </c>
      <c r="AD2748">
        <v>75.040000000000006</v>
      </c>
      <c r="AE2748" t="s">
        <v>1608</v>
      </c>
      <c r="AF2748">
        <v>1.9</v>
      </c>
      <c r="AG2748" t="s">
        <v>1457</v>
      </c>
      <c r="AH2748">
        <v>0</v>
      </c>
      <c r="AI2748" s="4">
        <v>34250</v>
      </c>
    </row>
    <row r="2749" spans="1:35">
      <c r="A2749">
        <v>2748</v>
      </c>
      <c r="B2749" t="str">
        <f>"600722"</f>
        <v>600722</v>
      </c>
      <c r="C2749" t="s">
        <v>12405</v>
      </c>
      <c r="D2749" s="4">
        <v>43190</v>
      </c>
      <c r="E2749" t="s">
        <v>3293</v>
      </c>
      <c r="F2749" t="s">
        <v>3293</v>
      </c>
      <c r="G2749" t="s">
        <v>1381</v>
      </c>
      <c r="H2749">
        <v>0.01</v>
      </c>
      <c r="I2749">
        <v>1.35</v>
      </c>
      <c r="J2749">
        <v>0.38</v>
      </c>
      <c r="K2749" t="s">
        <v>2123</v>
      </c>
      <c r="L2749">
        <v>-14.97</v>
      </c>
      <c r="M2749" t="s">
        <v>12059</v>
      </c>
      <c r="N2749" t="s">
        <v>12406</v>
      </c>
      <c r="O2749" t="s">
        <v>10854</v>
      </c>
      <c r="P2749" t="s">
        <v>1230</v>
      </c>
      <c r="Q2749">
        <v>-73.400000000000006</v>
      </c>
      <c r="R2749" t="s">
        <v>12407</v>
      </c>
      <c r="S2749">
        <v>-2.2000000000000002</v>
      </c>
      <c r="T2749">
        <v>5.13</v>
      </c>
      <c r="U2749" t="s">
        <v>613</v>
      </c>
      <c r="V2749" t="s">
        <v>1835</v>
      </c>
      <c r="W2749" t="s">
        <v>1011</v>
      </c>
      <c r="X2749">
        <v>0.38</v>
      </c>
      <c r="Y2749" t="s">
        <v>1349</v>
      </c>
      <c r="Z2749" t="s">
        <v>1349</v>
      </c>
      <c r="AA2749" t="s">
        <v>12408</v>
      </c>
      <c r="AB2749">
        <v>3.14</v>
      </c>
      <c r="AC2749" t="s">
        <v>1506</v>
      </c>
      <c r="AD2749">
        <v>79.22</v>
      </c>
      <c r="AE2749" t="s">
        <v>1052</v>
      </c>
      <c r="AF2749">
        <v>2.42</v>
      </c>
      <c r="AG2749">
        <v>0</v>
      </c>
      <c r="AH2749">
        <v>0</v>
      </c>
      <c r="AI2749" s="4">
        <v>35242</v>
      </c>
    </row>
    <row r="2750" spans="1:35">
      <c r="A2750">
        <v>2749</v>
      </c>
      <c r="B2750" t="str">
        <f>"600129"</f>
        <v>600129</v>
      </c>
      <c r="C2750" t="s">
        <v>12409</v>
      </c>
      <c r="D2750" s="4">
        <v>43190</v>
      </c>
      <c r="E2750" t="s">
        <v>633</v>
      </c>
      <c r="F2750" t="s">
        <v>1317</v>
      </c>
      <c r="G2750" t="s">
        <v>1862</v>
      </c>
      <c r="H2750">
        <v>0.02</v>
      </c>
      <c r="I2750">
        <v>5.69</v>
      </c>
      <c r="J2750">
        <v>0.37</v>
      </c>
      <c r="K2750" t="s">
        <v>565</v>
      </c>
      <c r="L2750">
        <v>20.43</v>
      </c>
      <c r="M2750" t="s">
        <v>12410</v>
      </c>
      <c r="N2750" t="s">
        <v>12411</v>
      </c>
      <c r="O2750" t="s">
        <v>5673</v>
      </c>
      <c r="P2750" t="s">
        <v>4788</v>
      </c>
      <c r="Q2750">
        <v>402.9</v>
      </c>
      <c r="R2750" t="s">
        <v>1695</v>
      </c>
      <c r="S2750">
        <v>0.85</v>
      </c>
      <c r="T2750">
        <v>40.25</v>
      </c>
      <c r="U2750" t="s">
        <v>1465</v>
      </c>
      <c r="V2750" t="s">
        <v>1024</v>
      </c>
      <c r="W2750" t="s">
        <v>1449</v>
      </c>
      <c r="X2750">
        <v>0.37</v>
      </c>
      <c r="Y2750" t="s">
        <v>4810</v>
      </c>
      <c r="Z2750" t="s">
        <v>2237</v>
      </c>
      <c r="AA2750" t="s">
        <v>2328</v>
      </c>
      <c r="AB2750">
        <v>2.5299999999999998</v>
      </c>
      <c r="AC2750" t="s">
        <v>1404</v>
      </c>
      <c r="AD2750">
        <v>26.3</v>
      </c>
      <c r="AE2750" t="s">
        <v>1920</v>
      </c>
      <c r="AF2750">
        <v>3.68</v>
      </c>
      <c r="AG2750">
        <v>0</v>
      </c>
      <c r="AH2750">
        <v>0</v>
      </c>
      <c r="AI2750" s="4">
        <v>35752</v>
      </c>
    </row>
    <row r="2751" spans="1:35">
      <c r="A2751">
        <v>2750</v>
      </c>
      <c r="B2751" t="str">
        <f>"300527"</f>
        <v>300527</v>
      </c>
      <c r="C2751" t="s">
        <v>12412</v>
      </c>
      <c r="D2751" s="4">
        <v>43190</v>
      </c>
      <c r="E2751" t="s">
        <v>4936</v>
      </c>
      <c r="F2751" t="s">
        <v>726</v>
      </c>
      <c r="G2751">
        <v>4255</v>
      </c>
      <c r="H2751">
        <v>0.01</v>
      </c>
      <c r="I2751">
        <v>2.27</v>
      </c>
      <c r="J2751">
        <v>0.37</v>
      </c>
      <c r="K2751" t="s">
        <v>89</v>
      </c>
      <c r="L2751">
        <v>-6.32</v>
      </c>
      <c r="M2751" t="s">
        <v>4486</v>
      </c>
      <c r="N2751">
        <v>0</v>
      </c>
      <c r="O2751" t="s">
        <v>5645</v>
      </c>
      <c r="P2751" t="s">
        <v>1922</v>
      </c>
      <c r="Q2751">
        <v>75.87</v>
      </c>
      <c r="R2751" t="s">
        <v>2178</v>
      </c>
      <c r="S2751">
        <v>0.59</v>
      </c>
      <c r="T2751">
        <v>14.42</v>
      </c>
      <c r="U2751" t="s">
        <v>1242</v>
      </c>
      <c r="V2751" t="s">
        <v>1449</v>
      </c>
      <c r="W2751" t="s">
        <v>160</v>
      </c>
      <c r="X2751">
        <v>0.37</v>
      </c>
      <c r="Y2751" t="s">
        <v>960</v>
      </c>
      <c r="Z2751" t="s">
        <v>724</v>
      </c>
      <c r="AA2751" t="s">
        <v>8564</v>
      </c>
      <c r="AB2751">
        <v>4.1900000000000004</v>
      </c>
      <c r="AC2751" t="s">
        <v>1000</v>
      </c>
      <c r="AD2751">
        <v>67.7</v>
      </c>
      <c r="AE2751" t="s">
        <v>458</v>
      </c>
      <c r="AF2751">
        <v>0.65</v>
      </c>
      <c r="AG2751">
        <v>0</v>
      </c>
      <c r="AH2751">
        <v>0</v>
      </c>
      <c r="AI2751" s="4">
        <v>42587</v>
      </c>
    </row>
    <row r="2752" spans="1:35">
      <c r="A2752">
        <v>2751</v>
      </c>
      <c r="B2752" t="str">
        <f>"300211"</f>
        <v>300211</v>
      </c>
      <c r="C2752" t="s">
        <v>12413</v>
      </c>
      <c r="D2752" s="4">
        <v>43190</v>
      </c>
      <c r="E2752" t="s">
        <v>1791</v>
      </c>
      <c r="F2752" t="s">
        <v>383</v>
      </c>
      <c r="G2752" t="s">
        <v>4774</v>
      </c>
      <c r="H2752">
        <v>0.01</v>
      </c>
      <c r="I2752">
        <v>1.61</v>
      </c>
      <c r="J2752">
        <v>0.37</v>
      </c>
      <c r="K2752" t="s">
        <v>151</v>
      </c>
      <c r="L2752">
        <v>0.92</v>
      </c>
      <c r="M2752" t="s">
        <v>5044</v>
      </c>
      <c r="N2752" t="s">
        <v>12414</v>
      </c>
      <c r="O2752" t="s">
        <v>12415</v>
      </c>
      <c r="P2752" t="s">
        <v>12416</v>
      </c>
      <c r="Q2752">
        <v>3.94</v>
      </c>
      <c r="R2752" t="s">
        <v>920</v>
      </c>
      <c r="S2752">
        <v>0.42</v>
      </c>
      <c r="T2752">
        <v>21.9</v>
      </c>
      <c r="U2752" t="s">
        <v>106</v>
      </c>
      <c r="V2752" t="s">
        <v>1712</v>
      </c>
      <c r="W2752" t="s">
        <v>3111</v>
      </c>
      <c r="X2752">
        <v>0.37</v>
      </c>
      <c r="Y2752" t="s">
        <v>12417</v>
      </c>
      <c r="Z2752" t="s">
        <v>12418</v>
      </c>
      <c r="AA2752" t="s">
        <v>11057</v>
      </c>
      <c r="AB2752">
        <v>3.17</v>
      </c>
      <c r="AC2752" t="s">
        <v>442</v>
      </c>
      <c r="AD2752">
        <v>89</v>
      </c>
      <c r="AE2752" t="s">
        <v>11614</v>
      </c>
      <c r="AF2752">
        <v>0.12</v>
      </c>
      <c r="AG2752">
        <v>0</v>
      </c>
      <c r="AH2752">
        <v>0</v>
      </c>
      <c r="AI2752" s="4">
        <v>40668</v>
      </c>
    </row>
    <row r="2753" spans="1:35">
      <c r="A2753">
        <v>2752</v>
      </c>
      <c r="B2753" t="str">
        <f>"300191"</f>
        <v>300191</v>
      </c>
      <c r="C2753" t="s">
        <v>12419</v>
      </c>
      <c r="D2753" s="4">
        <v>43190</v>
      </c>
      <c r="E2753" t="s">
        <v>824</v>
      </c>
      <c r="F2753" t="s">
        <v>618</v>
      </c>
      <c r="G2753" t="s">
        <v>70</v>
      </c>
      <c r="H2753">
        <v>0.01</v>
      </c>
      <c r="I2753">
        <v>3.6</v>
      </c>
      <c r="J2753">
        <v>0.37</v>
      </c>
      <c r="K2753" t="s">
        <v>11268</v>
      </c>
      <c r="L2753">
        <v>643.4</v>
      </c>
      <c r="M2753" t="s">
        <v>7939</v>
      </c>
      <c r="N2753" t="s">
        <v>4420</v>
      </c>
      <c r="O2753" t="s">
        <v>7252</v>
      </c>
      <c r="P2753" t="s">
        <v>8409</v>
      </c>
      <c r="Q2753">
        <v>145.07</v>
      </c>
      <c r="R2753" t="s">
        <v>1287</v>
      </c>
      <c r="S2753">
        <v>0.66</v>
      </c>
      <c r="T2753">
        <v>65</v>
      </c>
      <c r="U2753" t="s">
        <v>164</v>
      </c>
      <c r="V2753" t="s">
        <v>353</v>
      </c>
      <c r="W2753" t="s">
        <v>603</v>
      </c>
      <c r="X2753">
        <v>0.37</v>
      </c>
      <c r="Y2753" t="s">
        <v>12420</v>
      </c>
      <c r="Z2753" t="s">
        <v>7676</v>
      </c>
      <c r="AA2753" t="s">
        <v>6886</v>
      </c>
      <c r="AB2753">
        <v>4.75</v>
      </c>
      <c r="AC2753" t="s">
        <v>613</v>
      </c>
      <c r="AD2753">
        <v>91.93</v>
      </c>
      <c r="AE2753" t="s">
        <v>701</v>
      </c>
      <c r="AF2753">
        <v>1.72</v>
      </c>
      <c r="AG2753">
        <v>0</v>
      </c>
      <c r="AH2753">
        <v>0</v>
      </c>
      <c r="AI2753" s="4">
        <v>40618</v>
      </c>
    </row>
    <row r="2754" spans="1:35">
      <c r="A2754">
        <v>2753</v>
      </c>
      <c r="B2754" t="str">
        <f>"002837"</f>
        <v>002837</v>
      </c>
      <c r="C2754" t="s">
        <v>12421</v>
      </c>
      <c r="D2754" s="4">
        <v>43190</v>
      </c>
      <c r="E2754" t="s">
        <v>1364</v>
      </c>
      <c r="F2754" t="s">
        <v>12422</v>
      </c>
      <c r="G2754">
        <v>3180</v>
      </c>
      <c r="H2754">
        <v>0.01</v>
      </c>
      <c r="I2754">
        <v>4.4400000000000004</v>
      </c>
      <c r="J2754">
        <v>0.37</v>
      </c>
      <c r="K2754" t="s">
        <v>993</v>
      </c>
      <c r="L2754">
        <v>15.11</v>
      </c>
      <c r="M2754" t="s">
        <v>4390</v>
      </c>
      <c r="N2754" t="s">
        <v>12423</v>
      </c>
      <c r="O2754" t="s">
        <v>1230</v>
      </c>
      <c r="P2754" t="s">
        <v>2008</v>
      </c>
      <c r="Q2754">
        <v>-78.900000000000006</v>
      </c>
      <c r="R2754" t="s">
        <v>507</v>
      </c>
      <c r="S2754">
        <v>1.2</v>
      </c>
      <c r="T2754">
        <v>34.67</v>
      </c>
      <c r="U2754" t="s">
        <v>264</v>
      </c>
      <c r="V2754" t="s">
        <v>147</v>
      </c>
      <c r="W2754" t="s">
        <v>12424</v>
      </c>
      <c r="X2754">
        <v>0.37</v>
      </c>
      <c r="Y2754" t="s">
        <v>1212</v>
      </c>
      <c r="Z2754" t="s">
        <v>4962</v>
      </c>
      <c r="AA2754" t="s">
        <v>12425</v>
      </c>
      <c r="AB2754">
        <v>3.64</v>
      </c>
      <c r="AC2754" t="s">
        <v>563</v>
      </c>
      <c r="AD2754">
        <v>55.22</v>
      </c>
      <c r="AE2754" t="s">
        <v>81</v>
      </c>
      <c r="AF2754">
        <v>2.56</v>
      </c>
      <c r="AG2754">
        <v>0</v>
      </c>
      <c r="AH2754">
        <v>0</v>
      </c>
      <c r="AI2754" s="4">
        <v>42733</v>
      </c>
    </row>
    <row r="2755" spans="1:35">
      <c r="A2755">
        <v>2754</v>
      </c>
      <c r="B2755" t="str">
        <f>"000420"</f>
        <v>000420</v>
      </c>
      <c r="C2755" t="s">
        <v>12426</v>
      </c>
      <c r="D2755" s="4">
        <v>43190</v>
      </c>
      <c r="E2755" t="s">
        <v>1284</v>
      </c>
      <c r="F2755" t="s">
        <v>298</v>
      </c>
      <c r="G2755" t="s">
        <v>8128</v>
      </c>
      <c r="H2755">
        <v>0.01</v>
      </c>
      <c r="I2755">
        <v>1.42</v>
      </c>
      <c r="J2755">
        <v>0.37</v>
      </c>
      <c r="K2755" t="s">
        <v>2571</v>
      </c>
      <c r="L2755">
        <v>15.98</v>
      </c>
      <c r="M2755" t="s">
        <v>12066</v>
      </c>
      <c r="N2755">
        <v>0</v>
      </c>
      <c r="O2755" t="s">
        <v>10770</v>
      </c>
      <c r="P2755" t="s">
        <v>9016</v>
      </c>
      <c r="Q2755">
        <v>-69.3</v>
      </c>
      <c r="R2755" t="s">
        <v>12427</v>
      </c>
      <c r="S2755">
        <v>-0.38</v>
      </c>
      <c r="T2755">
        <v>12.33</v>
      </c>
      <c r="U2755" t="s">
        <v>2497</v>
      </c>
      <c r="V2755" t="s">
        <v>867</v>
      </c>
      <c r="W2755" t="s">
        <v>426</v>
      </c>
      <c r="X2755">
        <v>0.37</v>
      </c>
      <c r="Y2755" t="s">
        <v>447</v>
      </c>
      <c r="Z2755" t="s">
        <v>2725</v>
      </c>
      <c r="AA2755" t="s">
        <v>3332</v>
      </c>
      <c r="AB2755">
        <v>1.8</v>
      </c>
      <c r="AC2755" t="s">
        <v>700</v>
      </c>
      <c r="AD2755">
        <v>41.77</v>
      </c>
      <c r="AE2755" t="s">
        <v>624</v>
      </c>
      <c r="AF2755">
        <v>0.71</v>
      </c>
      <c r="AG2755">
        <v>0</v>
      </c>
      <c r="AH2755">
        <v>0</v>
      </c>
      <c r="AI2755" s="4">
        <v>35279</v>
      </c>
    </row>
    <row r="2756" spans="1:35">
      <c r="A2756">
        <v>2755</v>
      </c>
      <c r="B2756" t="str">
        <f>"600818"</f>
        <v>600818</v>
      </c>
      <c r="C2756" t="s">
        <v>12428</v>
      </c>
      <c r="D2756" s="4">
        <v>43190</v>
      </c>
      <c r="E2756" t="s">
        <v>559</v>
      </c>
      <c r="F2756" t="s">
        <v>676</v>
      </c>
      <c r="G2756">
        <v>0</v>
      </c>
      <c r="H2756">
        <v>0.01</v>
      </c>
      <c r="I2756">
        <v>1.95</v>
      </c>
      <c r="J2756">
        <v>0.37</v>
      </c>
      <c r="K2756" t="s">
        <v>804</v>
      </c>
      <c r="L2756">
        <v>-8.94</v>
      </c>
      <c r="M2756" t="s">
        <v>12429</v>
      </c>
      <c r="N2756" t="s">
        <v>3229</v>
      </c>
      <c r="O2756" t="s">
        <v>11041</v>
      </c>
      <c r="P2756" t="s">
        <v>7665</v>
      </c>
      <c r="Q2756">
        <v>-90.88</v>
      </c>
      <c r="R2756" t="s">
        <v>337</v>
      </c>
      <c r="S2756">
        <v>0.53</v>
      </c>
      <c r="T2756">
        <v>16.100000000000001</v>
      </c>
      <c r="U2756" t="s">
        <v>392</v>
      </c>
      <c r="V2756" t="s">
        <v>1999</v>
      </c>
      <c r="W2756" t="s">
        <v>12430</v>
      </c>
      <c r="X2756">
        <v>0.37</v>
      </c>
      <c r="Y2756" t="s">
        <v>143</v>
      </c>
      <c r="Z2756" t="s">
        <v>1664</v>
      </c>
      <c r="AA2756" t="s">
        <v>6061</v>
      </c>
      <c r="AB2756">
        <v>7.99</v>
      </c>
      <c r="AC2756" t="s">
        <v>2517</v>
      </c>
      <c r="AD2756">
        <v>63.69</v>
      </c>
      <c r="AE2756" t="s">
        <v>12102</v>
      </c>
      <c r="AF2756">
        <v>0.1</v>
      </c>
      <c r="AG2756" t="s">
        <v>12431</v>
      </c>
      <c r="AH2756">
        <v>0</v>
      </c>
      <c r="AI2756" s="4">
        <v>34362</v>
      </c>
    </row>
    <row r="2757" spans="1:35">
      <c r="A2757">
        <v>2756</v>
      </c>
      <c r="B2757" t="str">
        <f>"603825"</f>
        <v>603825</v>
      </c>
      <c r="C2757" t="s">
        <v>12432</v>
      </c>
      <c r="D2757" s="4">
        <v>43190</v>
      </c>
      <c r="E2757" t="s">
        <v>2031</v>
      </c>
      <c r="F2757" t="s">
        <v>4429</v>
      </c>
      <c r="G2757">
        <v>5096</v>
      </c>
      <c r="H2757">
        <v>0.03</v>
      </c>
      <c r="I2757">
        <v>8.15</v>
      </c>
      <c r="J2757">
        <v>0.36</v>
      </c>
      <c r="K2757" t="s">
        <v>1255</v>
      </c>
      <c r="L2757">
        <v>37.9</v>
      </c>
      <c r="M2757" t="s">
        <v>8374</v>
      </c>
      <c r="N2757" t="s">
        <v>3524</v>
      </c>
      <c r="O2757" t="s">
        <v>11515</v>
      </c>
      <c r="P2757" t="s">
        <v>12433</v>
      </c>
      <c r="Q2757">
        <v>34.11</v>
      </c>
      <c r="R2757" t="s">
        <v>2608</v>
      </c>
      <c r="S2757">
        <v>2.52</v>
      </c>
      <c r="T2757">
        <v>10.029999999999999</v>
      </c>
      <c r="U2757" t="s">
        <v>1277</v>
      </c>
      <c r="V2757" t="s">
        <v>2105</v>
      </c>
      <c r="W2757" t="s">
        <v>12434</v>
      </c>
      <c r="X2757">
        <v>0.36</v>
      </c>
      <c r="Y2757" t="s">
        <v>4697</v>
      </c>
      <c r="Z2757" t="s">
        <v>4697</v>
      </c>
      <c r="AA2757">
        <v>0</v>
      </c>
      <c r="AB2757">
        <v>4.34</v>
      </c>
      <c r="AC2757" t="s">
        <v>1082</v>
      </c>
      <c r="AD2757">
        <v>27.41</v>
      </c>
      <c r="AE2757" t="s">
        <v>1408</v>
      </c>
      <c r="AF2757">
        <v>4.3899999999999997</v>
      </c>
      <c r="AG2757">
        <v>0</v>
      </c>
      <c r="AH2757">
        <v>0</v>
      </c>
      <c r="AI2757" s="4">
        <v>42949</v>
      </c>
    </row>
    <row r="2758" spans="1:35">
      <c r="A2758">
        <v>2757</v>
      </c>
      <c r="B2758" t="str">
        <f>"603229"</f>
        <v>603229</v>
      </c>
      <c r="C2758" t="s">
        <v>12435</v>
      </c>
      <c r="D2758" s="4">
        <v>43190</v>
      </c>
      <c r="E2758" t="s">
        <v>1203</v>
      </c>
      <c r="F2758" t="s">
        <v>12436</v>
      </c>
      <c r="G2758">
        <v>2951</v>
      </c>
      <c r="H2758">
        <v>0.01</v>
      </c>
      <c r="I2758">
        <v>3.47</v>
      </c>
      <c r="J2758">
        <v>0.36</v>
      </c>
      <c r="K2758" t="s">
        <v>3623</v>
      </c>
      <c r="L2758">
        <v>28.05</v>
      </c>
      <c r="M2758" t="s">
        <v>8170</v>
      </c>
      <c r="N2758" t="s">
        <v>4272</v>
      </c>
      <c r="O2758" t="s">
        <v>8170</v>
      </c>
      <c r="P2758" t="s">
        <v>1441</v>
      </c>
      <c r="Q2758">
        <v>-83.29</v>
      </c>
      <c r="R2758" t="s">
        <v>1203</v>
      </c>
      <c r="S2758">
        <v>0.93</v>
      </c>
      <c r="T2758">
        <v>44.73</v>
      </c>
      <c r="U2758" t="s">
        <v>2646</v>
      </c>
      <c r="V2758" t="s">
        <v>1076</v>
      </c>
      <c r="W2758" t="s">
        <v>136</v>
      </c>
      <c r="X2758">
        <v>0.36</v>
      </c>
      <c r="Y2758" t="s">
        <v>603</v>
      </c>
      <c r="Z2758" t="s">
        <v>2069</v>
      </c>
      <c r="AA2758" t="s">
        <v>7095</v>
      </c>
      <c r="AB2758">
        <v>4.25</v>
      </c>
      <c r="AC2758" t="s">
        <v>3420</v>
      </c>
      <c r="AD2758">
        <v>76.290000000000006</v>
      </c>
      <c r="AE2758" t="s">
        <v>807</v>
      </c>
      <c r="AF2758">
        <v>1.43</v>
      </c>
      <c r="AG2758">
        <v>0</v>
      </c>
      <c r="AH2758">
        <v>0</v>
      </c>
      <c r="AI2758" s="4">
        <v>42864</v>
      </c>
    </row>
    <row r="2759" spans="1:35">
      <c r="A2759">
        <v>2758</v>
      </c>
      <c r="B2759" t="str">
        <f>"601989"</f>
        <v>601989</v>
      </c>
      <c r="C2759" t="s">
        <v>12437</v>
      </c>
      <c r="D2759" s="4">
        <v>43190</v>
      </c>
      <c r="E2759" t="s">
        <v>1193</v>
      </c>
      <c r="F2759" t="s">
        <v>962</v>
      </c>
      <c r="G2759" t="s">
        <v>2266</v>
      </c>
      <c r="H2759">
        <v>0.01</v>
      </c>
      <c r="I2759">
        <v>3.67</v>
      </c>
      <c r="J2759">
        <v>0.36</v>
      </c>
      <c r="K2759" t="s">
        <v>2633</v>
      </c>
      <c r="L2759">
        <v>-41.93</v>
      </c>
      <c r="M2759" t="s">
        <v>145</v>
      </c>
      <c r="N2759" t="s">
        <v>12438</v>
      </c>
      <c r="O2759" t="s">
        <v>3441</v>
      </c>
      <c r="P2759" t="s">
        <v>594</v>
      </c>
      <c r="Q2759">
        <v>-1</v>
      </c>
      <c r="R2759" t="s">
        <v>412</v>
      </c>
      <c r="S2759">
        <v>0.62</v>
      </c>
      <c r="T2759">
        <v>8.2200000000000006</v>
      </c>
      <c r="U2759" t="s">
        <v>4374</v>
      </c>
      <c r="V2759" t="s">
        <v>12439</v>
      </c>
      <c r="W2759" t="s">
        <v>4542</v>
      </c>
      <c r="X2759">
        <v>0.36</v>
      </c>
      <c r="Y2759" t="s">
        <v>12440</v>
      </c>
      <c r="Z2759" t="s">
        <v>12441</v>
      </c>
      <c r="AA2759" t="s">
        <v>1653</v>
      </c>
      <c r="AB2759">
        <v>1.07</v>
      </c>
      <c r="AC2759" t="s">
        <v>2548</v>
      </c>
      <c r="AD2759">
        <v>41.71</v>
      </c>
      <c r="AE2759" t="s">
        <v>9344</v>
      </c>
      <c r="AF2759">
        <v>1.97</v>
      </c>
      <c r="AG2759">
        <v>0</v>
      </c>
      <c r="AH2759">
        <v>0</v>
      </c>
      <c r="AI2759" s="4">
        <v>40163</v>
      </c>
    </row>
    <row r="2760" spans="1:35">
      <c r="A2760">
        <v>2759</v>
      </c>
      <c r="B2760" t="str">
        <f>"600117"</f>
        <v>600117</v>
      </c>
      <c r="C2760" t="s">
        <v>12442</v>
      </c>
      <c r="D2760" s="4">
        <v>43190</v>
      </c>
      <c r="E2760" t="s">
        <v>407</v>
      </c>
      <c r="F2760" t="s">
        <v>1042</v>
      </c>
      <c r="G2760" t="s">
        <v>2645</v>
      </c>
      <c r="H2760">
        <v>0.01</v>
      </c>
      <c r="I2760">
        <v>3.01</v>
      </c>
      <c r="J2760">
        <v>0.36</v>
      </c>
      <c r="K2760" t="s">
        <v>298</v>
      </c>
      <c r="L2760">
        <v>42.53</v>
      </c>
      <c r="M2760" t="s">
        <v>7327</v>
      </c>
      <c r="N2760">
        <v>0</v>
      </c>
      <c r="O2760" t="s">
        <v>10458</v>
      </c>
      <c r="P2760" t="s">
        <v>6958</v>
      </c>
      <c r="Q2760">
        <v>3.88</v>
      </c>
      <c r="R2760" t="s">
        <v>12443</v>
      </c>
      <c r="S2760">
        <v>-0.13</v>
      </c>
      <c r="T2760">
        <v>16.54</v>
      </c>
      <c r="U2760" t="s">
        <v>2077</v>
      </c>
      <c r="V2760" t="s">
        <v>951</v>
      </c>
      <c r="W2760" t="s">
        <v>716</v>
      </c>
      <c r="X2760">
        <v>0.36</v>
      </c>
      <c r="Y2760" t="s">
        <v>1749</v>
      </c>
      <c r="Z2760" t="s">
        <v>764</v>
      </c>
      <c r="AA2760" t="s">
        <v>1494</v>
      </c>
      <c r="AB2760">
        <v>1.51</v>
      </c>
      <c r="AC2760" t="s">
        <v>423</v>
      </c>
      <c r="AD2760">
        <v>12.87</v>
      </c>
      <c r="AE2760" t="s">
        <v>1843</v>
      </c>
      <c r="AF2760">
        <v>1.95</v>
      </c>
      <c r="AG2760">
        <v>0</v>
      </c>
      <c r="AH2760">
        <v>0</v>
      </c>
      <c r="AI2760" s="4">
        <v>35718</v>
      </c>
    </row>
    <row r="2761" spans="1:35">
      <c r="A2761">
        <v>2760</v>
      </c>
      <c r="B2761" t="str">
        <f>"300479"</f>
        <v>300479</v>
      </c>
      <c r="C2761" t="s">
        <v>12444</v>
      </c>
      <c r="D2761" s="4">
        <v>43190</v>
      </c>
      <c r="E2761" t="s">
        <v>64</v>
      </c>
      <c r="F2761" t="s">
        <v>1203</v>
      </c>
      <c r="G2761">
        <v>2902</v>
      </c>
      <c r="H2761">
        <v>0.01</v>
      </c>
      <c r="I2761">
        <v>3.28</v>
      </c>
      <c r="J2761">
        <v>0.36</v>
      </c>
      <c r="K2761" t="s">
        <v>12445</v>
      </c>
      <c r="L2761">
        <v>14.38</v>
      </c>
      <c r="M2761" t="s">
        <v>1848</v>
      </c>
      <c r="N2761">
        <v>0</v>
      </c>
      <c r="O2761" t="s">
        <v>621</v>
      </c>
      <c r="P2761" t="s">
        <v>3078</v>
      </c>
      <c r="Q2761">
        <v>-78.12</v>
      </c>
      <c r="R2761" t="s">
        <v>745</v>
      </c>
      <c r="S2761">
        <v>0.86</v>
      </c>
      <c r="T2761">
        <v>33.18</v>
      </c>
      <c r="U2761" t="s">
        <v>417</v>
      </c>
      <c r="V2761" t="s">
        <v>771</v>
      </c>
      <c r="W2761" t="s">
        <v>6492</v>
      </c>
      <c r="X2761">
        <v>0.36</v>
      </c>
      <c r="Y2761" t="s">
        <v>1200</v>
      </c>
      <c r="Z2761" t="s">
        <v>368</v>
      </c>
      <c r="AA2761" t="s">
        <v>5916</v>
      </c>
      <c r="AB2761">
        <v>4.5999999999999996</v>
      </c>
      <c r="AC2761" t="s">
        <v>3027</v>
      </c>
      <c r="AD2761">
        <v>66.72</v>
      </c>
      <c r="AE2761" t="s">
        <v>12446</v>
      </c>
      <c r="AF2761">
        <v>1.25</v>
      </c>
      <c r="AG2761">
        <v>0</v>
      </c>
      <c r="AH2761">
        <v>0</v>
      </c>
      <c r="AI2761" s="4">
        <v>42167</v>
      </c>
    </row>
    <row r="2762" spans="1:35">
      <c r="A2762">
        <v>2761</v>
      </c>
      <c r="B2762" t="str">
        <f>"300412"</f>
        <v>300412</v>
      </c>
      <c r="C2762" t="s">
        <v>12447</v>
      </c>
      <c r="D2762" s="4">
        <v>43190</v>
      </c>
      <c r="E2762" t="s">
        <v>1049</v>
      </c>
      <c r="F2762" t="s">
        <v>682</v>
      </c>
      <c r="G2762" t="s">
        <v>2554</v>
      </c>
      <c r="H2762">
        <v>0.01</v>
      </c>
      <c r="I2762">
        <v>2.88</v>
      </c>
      <c r="J2762">
        <v>0.36</v>
      </c>
      <c r="K2762" t="s">
        <v>11608</v>
      </c>
      <c r="L2762">
        <v>31.56</v>
      </c>
      <c r="M2762" t="s">
        <v>12448</v>
      </c>
      <c r="N2762">
        <v>0</v>
      </c>
      <c r="O2762" t="s">
        <v>12449</v>
      </c>
      <c r="P2762" t="s">
        <v>6058</v>
      </c>
      <c r="Q2762">
        <v>-57.29</v>
      </c>
      <c r="R2762" t="s">
        <v>1200</v>
      </c>
      <c r="S2762">
        <v>0.56000000000000005</v>
      </c>
      <c r="T2762">
        <v>37.96</v>
      </c>
      <c r="U2762" t="s">
        <v>982</v>
      </c>
      <c r="V2762" t="s">
        <v>906</v>
      </c>
      <c r="W2762" t="s">
        <v>711</v>
      </c>
      <c r="X2762">
        <v>0.36</v>
      </c>
      <c r="Y2762" t="s">
        <v>1235</v>
      </c>
      <c r="Z2762" t="s">
        <v>267</v>
      </c>
      <c r="AA2762" t="s">
        <v>4644</v>
      </c>
      <c r="AB2762">
        <v>3.3</v>
      </c>
      <c r="AC2762" t="s">
        <v>2148</v>
      </c>
      <c r="AD2762">
        <v>63.57</v>
      </c>
      <c r="AE2762" t="s">
        <v>139</v>
      </c>
      <c r="AF2762">
        <v>1.37</v>
      </c>
      <c r="AG2762">
        <v>0</v>
      </c>
      <c r="AH2762">
        <v>0</v>
      </c>
      <c r="AI2762" s="4">
        <v>42004</v>
      </c>
    </row>
    <row r="2763" spans="1:35">
      <c r="A2763">
        <v>2762</v>
      </c>
      <c r="B2763" t="str">
        <f>"300030"</f>
        <v>300030</v>
      </c>
      <c r="C2763" t="s">
        <v>12450</v>
      </c>
      <c r="D2763" s="4">
        <v>43190</v>
      </c>
      <c r="E2763" t="s">
        <v>3441</v>
      </c>
      <c r="F2763" t="s">
        <v>1180</v>
      </c>
      <c r="G2763">
        <v>8699</v>
      </c>
      <c r="H2763">
        <v>0.01</v>
      </c>
      <c r="I2763">
        <v>3.08</v>
      </c>
      <c r="J2763">
        <v>0.36</v>
      </c>
      <c r="K2763" t="s">
        <v>1365</v>
      </c>
      <c r="L2763">
        <v>13.26</v>
      </c>
      <c r="M2763" t="s">
        <v>12378</v>
      </c>
      <c r="N2763" t="s">
        <v>4111</v>
      </c>
      <c r="O2763" t="s">
        <v>12378</v>
      </c>
      <c r="P2763" t="s">
        <v>7276</v>
      </c>
      <c r="Q2763">
        <v>-41.27</v>
      </c>
      <c r="R2763" t="s">
        <v>682</v>
      </c>
      <c r="S2763">
        <v>0.69</v>
      </c>
      <c r="T2763">
        <v>46.2</v>
      </c>
      <c r="U2763" t="s">
        <v>1569</v>
      </c>
      <c r="V2763" t="s">
        <v>1847</v>
      </c>
      <c r="W2763" t="s">
        <v>2507</v>
      </c>
      <c r="X2763">
        <v>0.36</v>
      </c>
      <c r="Y2763" t="s">
        <v>2177</v>
      </c>
      <c r="Z2763" t="s">
        <v>676</v>
      </c>
      <c r="AA2763" t="s">
        <v>476</v>
      </c>
      <c r="AB2763">
        <v>2.2999999999999998</v>
      </c>
      <c r="AC2763" t="s">
        <v>5494</v>
      </c>
      <c r="AD2763">
        <v>57.1</v>
      </c>
      <c r="AE2763" t="s">
        <v>2468</v>
      </c>
      <c r="AF2763">
        <v>1.28</v>
      </c>
      <c r="AG2763">
        <v>0</v>
      </c>
      <c r="AH2763">
        <v>0</v>
      </c>
      <c r="AI2763" s="4">
        <v>40172</v>
      </c>
    </row>
    <row r="2764" spans="1:35">
      <c r="A2764">
        <v>2763</v>
      </c>
      <c r="B2764" t="str">
        <f>"300018"</f>
        <v>300018</v>
      </c>
      <c r="C2764" t="s">
        <v>12451</v>
      </c>
      <c r="D2764" s="4">
        <v>43190</v>
      </c>
      <c r="E2764" t="s">
        <v>616</v>
      </c>
      <c r="F2764" t="s">
        <v>1789</v>
      </c>
      <c r="G2764" t="s">
        <v>268</v>
      </c>
      <c r="H2764">
        <v>0.01</v>
      </c>
      <c r="I2764">
        <v>3.01</v>
      </c>
      <c r="J2764">
        <v>0.36</v>
      </c>
      <c r="K2764" t="s">
        <v>10099</v>
      </c>
      <c r="L2764">
        <v>18.45</v>
      </c>
      <c r="M2764" t="s">
        <v>10922</v>
      </c>
      <c r="N2764" t="s">
        <v>8965</v>
      </c>
      <c r="O2764" t="s">
        <v>12452</v>
      </c>
      <c r="P2764" t="s">
        <v>9608</v>
      </c>
      <c r="Q2764">
        <v>-48.87</v>
      </c>
      <c r="R2764" t="s">
        <v>1229</v>
      </c>
      <c r="S2764">
        <v>0.69</v>
      </c>
      <c r="T2764">
        <v>61.86</v>
      </c>
      <c r="U2764" t="s">
        <v>79</v>
      </c>
      <c r="V2764" t="s">
        <v>1368</v>
      </c>
      <c r="W2764" t="s">
        <v>5008</v>
      </c>
      <c r="X2764">
        <v>0.36</v>
      </c>
      <c r="Y2764" t="s">
        <v>1936</v>
      </c>
      <c r="Z2764" t="s">
        <v>2424</v>
      </c>
      <c r="AA2764" t="s">
        <v>12453</v>
      </c>
      <c r="AB2764">
        <v>1.62</v>
      </c>
      <c r="AC2764" t="s">
        <v>547</v>
      </c>
      <c r="AD2764">
        <v>87.26</v>
      </c>
      <c r="AE2764" t="s">
        <v>1491</v>
      </c>
      <c r="AF2764">
        <v>1.3</v>
      </c>
      <c r="AG2764">
        <v>0</v>
      </c>
      <c r="AH2764">
        <v>0</v>
      </c>
      <c r="AI2764" s="4">
        <v>40116</v>
      </c>
    </row>
    <row r="2765" spans="1:35">
      <c r="A2765">
        <v>2764</v>
      </c>
      <c r="B2765" t="str">
        <f>"002342"</f>
        <v>002342</v>
      </c>
      <c r="C2765" t="s">
        <v>12454</v>
      </c>
      <c r="D2765" s="4">
        <v>43190</v>
      </c>
      <c r="E2765" t="s">
        <v>4539</v>
      </c>
      <c r="F2765" t="s">
        <v>1835</v>
      </c>
      <c r="G2765">
        <v>7640</v>
      </c>
      <c r="H2765">
        <v>0.01</v>
      </c>
      <c r="I2765">
        <v>2.5099999999999998</v>
      </c>
      <c r="J2765">
        <v>0.36</v>
      </c>
      <c r="K2765" t="s">
        <v>681</v>
      </c>
      <c r="L2765">
        <v>2.2999999999999998</v>
      </c>
      <c r="M2765" t="s">
        <v>3249</v>
      </c>
      <c r="N2765" t="s">
        <v>12455</v>
      </c>
      <c r="O2765" t="s">
        <v>11840</v>
      </c>
      <c r="P2765" t="s">
        <v>8321</v>
      </c>
      <c r="Q2765">
        <v>-39.119999999999997</v>
      </c>
      <c r="R2765" t="s">
        <v>846</v>
      </c>
      <c r="S2765">
        <v>0.68</v>
      </c>
      <c r="T2765">
        <v>17.940000000000001</v>
      </c>
      <c r="U2765" t="s">
        <v>2643</v>
      </c>
      <c r="V2765" t="s">
        <v>578</v>
      </c>
      <c r="W2765" t="s">
        <v>1384</v>
      </c>
      <c r="X2765">
        <v>0.36</v>
      </c>
      <c r="Y2765" t="s">
        <v>50</v>
      </c>
      <c r="Z2765" t="s">
        <v>300</v>
      </c>
      <c r="AA2765" t="s">
        <v>340</v>
      </c>
      <c r="AB2765">
        <v>1.48</v>
      </c>
      <c r="AC2765" t="s">
        <v>1213</v>
      </c>
      <c r="AD2765">
        <v>59.84</v>
      </c>
      <c r="AE2765" t="s">
        <v>5080</v>
      </c>
      <c r="AF2765">
        <v>0.7</v>
      </c>
      <c r="AG2765">
        <v>0</v>
      </c>
      <c r="AH2765">
        <v>0</v>
      </c>
      <c r="AI2765" s="4">
        <v>40204</v>
      </c>
    </row>
    <row r="2766" spans="1:35">
      <c r="A2766">
        <v>2765</v>
      </c>
      <c r="B2766" t="str">
        <f>"002265"</f>
        <v>002265</v>
      </c>
      <c r="C2766" t="s">
        <v>12456</v>
      </c>
      <c r="D2766" s="4">
        <v>43190</v>
      </c>
      <c r="E2766" t="s">
        <v>301</v>
      </c>
      <c r="F2766" t="s">
        <v>1791</v>
      </c>
      <c r="G2766">
        <v>6576</v>
      </c>
      <c r="H2766">
        <v>0.01</v>
      </c>
      <c r="I2766">
        <v>3.06</v>
      </c>
      <c r="J2766">
        <v>0.36</v>
      </c>
      <c r="K2766" t="s">
        <v>682</v>
      </c>
      <c r="L2766">
        <v>-7.91</v>
      </c>
      <c r="M2766" t="s">
        <v>7542</v>
      </c>
      <c r="N2766">
        <v>0</v>
      </c>
      <c r="O2766" t="s">
        <v>9865</v>
      </c>
      <c r="P2766" t="s">
        <v>12457</v>
      </c>
      <c r="Q2766">
        <v>-56.35</v>
      </c>
      <c r="R2766" t="s">
        <v>12458</v>
      </c>
      <c r="S2766">
        <v>0.16</v>
      </c>
      <c r="T2766">
        <v>17.899999999999999</v>
      </c>
      <c r="U2766" t="s">
        <v>391</v>
      </c>
      <c r="V2766" t="s">
        <v>5537</v>
      </c>
      <c r="W2766" t="s">
        <v>69</v>
      </c>
      <c r="X2766">
        <v>0.36</v>
      </c>
      <c r="Y2766" t="s">
        <v>1438</v>
      </c>
      <c r="Z2766" t="s">
        <v>2608</v>
      </c>
      <c r="AA2766" t="s">
        <v>1370</v>
      </c>
      <c r="AB2766">
        <v>3.62</v>
      </c>
      <c r="AC2766" t="s">
        <v>4514</v>
      </c>
      <c r="AD2766">
        <v>63.97</v>
      </c>
      <c r="AE2766" t="s">
        <v>872</v>
      </c>
      <c r="AF2766">
        <v>1.8</v>
      </c>
      <c r="AG2766">
        <v>0</v>
      </c>
      <c r="AH2766">
        <v>0</v>
      </c>
      <c r="AI2766" s="4">
        <v>39666</v>
      </c>
    </row>
    <row r="2767" spans="1:35">
      <c r="A2767">
        <v>2766</v>
      </c>
      <c r="B2767" t="str">
        <f>"002160"</f>
        <v>002160</v>
      </c>
      <c r="C2767" t="s">
        <v>12459</v>
      </c>
      <c r="D2767" s="4">
        <v>43190</v>
      </c>
      <c r="E2767" t="s">
        <v>201</v>
      </c>
      <c r="F2767" t="s">
        <v>1618</v>
      </c>
      <c r="G2767">
        <v>9590</v>
      </c>
      <c r="H2767">
        <v>0.02</v>
      </c>
      <c r="I2767">
        <v>4.54</v>
      </c>
      <c r="J2767">
        <v>0.36</v>
      </c>
      <c r="K2767" t="s">
        <v>2383</v>
      </c>
      <c r="L2767">
        <v>8.08</v>
      </c>
      <c r="M2767" t="s">
        <v>5326</v>
      </c>
      <c r="N2767" t="s">
        <v>12460</v>
      </c>
      <c r="O2767" t="s">
        <v>12461</v>
      </c>
      <c r="P2767" t="s">
        <v>3042</v>
      </c>
      <c r="Q2767">
        <v>-45.16</v>
      </c>
      <c r="R2767" t="s">
        <v>2661</v>
      </c>
      <c r="S2767">
        <v>0.45</v>
      </c>
      <c r="T2767">
        <v>14.67</v>
      </c>
      <c r="U2767" t="s">
        <v>8378</v>
      </c>
      <c r="V2767" t="s">
        <v>638</v>
      </c>
      <c r="W2767" t="s">
        <v>1367</v>
      </c>
      <c r="X2767">
        <v>0.36</v>
      </c>
      <c r="Y2767" t="s">
        <v>1285</v>
      </c>
      <c r="Z2767" t="s">
        <v>1161</v>
      </c>
      <c r="AA2767" t="s">
        <v>12462</v>
      </c>
      <c r="AB2767">
        <v>0.92</v>
      </c>
      <c r="AC2767" t="s">
        <v>2238</v>
      </c>
      <c r="AD2767">
        <v>51.19</v>
      </c>
      <c r="AE2767" t="s">
        <v>789</v>
      </c>
      <c r="AF2767">
        <v>3.01</v>
      </c>
      <c r="AG2767">
        <v>0</v>
      </c>
      <c r="AH2767">
        <v>0</v>
      </c>
      <c r="AI2767" s="4">
        <v>39315</v>
      </c>
    </row>
    <row r="2768" spans="1:35">
      <c r="A2768">
        <v>2767</v>
      </c>
      <c r="B2768" t="str">
        <f>"000400"</f>
        <v>000400</v>
      </c>
      <c r="C2768" t="s">
        <v>12463</v>
      </c>
      <c r="D2768" s="4">
        <v>43190</v>
      </c>
      <c r="E2768" t="s">
        <v>1094</v>
      </c>
      <c r="F2768" t="s">
        <v>1094</v>
      </c>
      <c r="G2768" t="s">
        <v>2234</v>
      </c>
      <c r="H2768">
        <v>0.03</v>
      </c>
      <c r="I2768">
        <v>7.52</v>
      </c>
      <c r="J2768">
        <v>0.36</v>
      </c>
      <c r="K2768" t="s">
        <v>2593</v>
      </c>
      <c r="L2768">
        <v>-21.05</v>
      </c>
      <c r="M2768" t="s">
        <v>8889</v>
      </c>
      <c r="N2768">
        <v>0</v>
      </c>
      <c r="O2768" t="s">
        <v>5487</v>
      </c>
      <c r="P2768" t="s">
        <v>8463</v>
      </c>
      <c r="Q2768">
        <v>-44.26</v>
      </c>
      <c r="R2768" t="s">
        <v>5850</v>
      </c>
      <c r="S2768">
        <v>5.18</v>
      </c>
      <c r="T2768">
        <v>23.4</v>
      </c>
      <c r="U2768" t="s">
        <v>1222</v>
      </c>
      <c r="V2768" t="s">
        <v>410</v>
      </c>
      <c r="W2768" t="s">
        <v>192</v>
      </c>
      <c r="X2768">
        <v>0.36</v>
      </c>
      <c r="Y2768" t="s">
        <v>5750</v>
      </c>
      <c r="Z2768" t="s">
        <v>1107</v>
      </c>
      <c r="AA2768" t="s">
        <v>8951</v>
      </c>
      <c r="AB2768">
        <v>1.01</v>
      </c>
      <c r="AC2768" t="s">
        <v>4182</v>
      </c>
      <c r="AD2768">
        <v>52.42</v>
      </c>
      <c r="AE2768" t="s">
        <v>1575</v>
      </c>
      <c r="AF2768">
        <v>0.83</v>
      </c>
      <c r="AG2768">
        <v>0</v>
      </c>
      <c r="AH2768">
        <v>0</v>
      </c>
      <c r="AI2768" s="4">
        <v>35538</v>
      </c>
    </row>
    <row r="2769" spans="1:35">
      <c r="A2769">
        <v>2768</v>
      </c>
      <c r="B2769" t="str">
        <f>"600892"</f>
        <v>600892</v>
      </c>
      <c r="C2769" t="s">
        <v>12464</v>
      </c>
      <c r="D2769" s="4">
        <v>43190</v>
      </c>
      <c r="E2769" t="s">
        <v>1450</v>
      </c>
      <c r="F2769" t="s">
        <v>641</v>
      </c>
      <c r="G2769" t="s">
        <v>4505</v>
      </c>
      <c r="H2769">
        <v>0.01</v>
      </c>
      <c r="I2769">
        <v>3.53</v>
      </c>
      <c r="J2769">
        <v>0.35</v>
      </c>
      <c r="K2769" t="s">
        <v>9987</v>
      </c>
      <c r="L2769">
        <v>64.22</v>
      </c>
      <c r="M2769" t="s">
        <v>8277</v>
      </c>
      <c r="N2769" t="s">
        <v>12465</v>
      </c>
      <c r="O2769" t="s">
        <v>12466</v>
      </c>
      <c r="P2769" t="s">
        <v>7568</v>
      </c>
      <c r="Q2769">
        <v>-9.18</v>
      </c>
      <c r="R2769" t="s">
        <v>998</v>
      </c>
      <c r="S2769">
        <v>0.45</v>
      </c>
      <c r="T2769">
        <v>91.46</v>
      </c>
      <c r="U2769" t="s">
        <v>426</v>
      </c>
      <c r="V2769" t="s">
        <v>2032</v>
      </c>
      <c r="W2769" t="s">
        <v>9801</v>
      </c>
      <c r="X2769">
        <v>0.35</v>
      </c>
      <c r="Y2769" t="s">
        <v>615</v>
      </c>
      <c r="Z2769" t="s">
        <v>1166</v>
      </c>
      <c r="AA2769" t="s">
        <v>1200</v>
      </c>
      <c r="AB2769">
        <v>3.24</v>
      </c>
      <c r="AC2769" t="s">
        <v>691</v>
      </c>
      <c r="AD2769">
        <v>72.489999999999995</v>
      </c>
      <c r="AE2769" t="s">
        <v>613</v>
      </c>
      <c r="AF2769">
        <v>2.0699999999999998</v>
      </c>
      <c r="AG2769">
        <v>0</v>
      </c>
      <c r="AH2769">
        <v>0</v>
      </c>
      <c r="AI2769" s="4">
        <v>35139</v>
      </c>
    </row>
    <row r="2770" spans="1:35">
      <c r="A2770">
        <v>2769</v>
      </c>
      <c r="B2770" t="str">
        <f>"600375"</f>
        <v>600375</v>
      </c>
      <c r="C2770" t="s">
        <v>12467</v>
      </c>
      <c r="D2770" s="4">
        <v>43190</v>
      </c>
      <c r="E2770" t="s">
        <v>2392</v>
      </c>
      <c r="F2770" t="s">
        <v>2392</v>
      </c>
      <c r="G2770" t="s">
        <v>853</v>
      </c>
      <c r="H2770">
        <v>0.02</v>
      </c>
      <c r="I2770">
        <v>4.97</v>
      </c>
      <c r="J2770">
        <v>0.35</v>
      </c>
      <c r="K2770" t="s">
        <v>80</v>
      </c>
      <c r="L2770">
        <v>6.46</v>
      </c>
      <c r="M2770" t="s">
        <v>6642</v>
      </c>
      <c r="N2770">
        <v>0</v>
      </c>
      <c r="O2770" t="s">
        <v>6687</v>
      </c>
      <c r="P2770" t="s">
        <v>1795</v>
      </c>
      <c r="Q2770">
        <v>12.01</v>
      </c>
      <c r="R2770" t="s">
        <v>12468</v>
      </c>
      <c r="S2770">
        <v>-1.02</v>
      </c>
      <c r="T2770">
        <v>14.35</v>
      </c>
      <c r="U2770" t="s">
        <v>466</v>
      </c>
      <c r="V2770" t="s">
        <v>1143</v>
      </c>
      <c r="W2770" t="s">
        <v>1252</v>
      </c>
      <c r="X2770">
        <v>0.35</v>
      </c>
      <c r="Y2770" t="s">
        <v>12469</v>
      </c>
      <c r="Z2770" t="s">
        <v>636</v>
      </c>
      <c r="AA2770" t="s">
        <v>2665</v>
      </c>
      <c r="AB2770">
        <v>0.97</v>
      </c>
      <c r="AC2770" t="s">
        <v>2523</v>
      </c>
      <c r="AD2770">
        <v>24.48</v>
      </c>
      <c r="AE2770" t="s">
        <v>1308</v>
      </c>
      <c r="AF2770">
        <v>4.8</v>
      </c>
      <c r="AG2770">
        <v>0</v>
      </c>
      <c r="AH2770">
        <v>0</v>
      </c>
      <c r="AI2770" s="4">
        <v>37712</v>
      </c>
    </row>
    <row r="2771" spans="1:35">
      <c r="A2771">
        <v>2770</v>
      </c>
      <c r="B2771" t="str">
        <f>"300460"</f>
        <v>300460</v>
      </c>
      <c r="C2771" t="s">
        <v>12470</v>
      </c>
      <c r="D2771" s="4">
        <v>43190</v>
      </c>
      <c r="E2771" t="s">
        <v>290</v>
      </c>
      <c r="F2771" t="s">
        <v>290</v>
      </c>
      <c r="G2771">
        <v>6085</v>
      </c>
      <c r="H2771">
        <v>0.01</v>
      </c>
      <c r="I2771">
        <v>4.09</v>
      </c>
      <c r="J2771">
        <v>0.35</v>
      </c>
      <c r="K2771" t="s">
        <v>12471</v>
      </c>
      <c r="L2771">
        <v>16.98</v>
      </c>
      <c r="M2771" t="s">
        <v>4475</v>
      </c>
      <c r="N2771" t="s">
        <v>12472</v>
      </c>
      <c r="O2771" t="s">
        <v>4475</v>
      </c>
      <c r="P2771" t="s">
        <v>2520</v>
      </c>
      <c r="Q2771">
        <v>13.72</v>
      </c>
      <c r="R2771" t="s">
        <v>1999</v>
      </c>
      <c r="S2771">
        <v>1.39</v>
      </c>
      <c r="T2771">
        <v>20.11</v>
      </c>
      <c r="U2771" t="s">
        <v>295</v>
      </c>
      <c r="V2771" t="s">
        <v>5614</v>
      </c>
      <c r="W2771" t="s">
        <v>153</v>
      </c>
      <c r="X2771">
        <v>0.35</v>
      </c>
      <c r="Y2771" t="s">
        <v>375</v>
      </c>
      <c r="Z2771" t="s">
        <v>798</v>
      </c>
      <c r="AA2771" t="s">
        <v>443</v>
      </c>
      <c r="AB2771">
        <v>2.36</v>
      </c>
      <c r="AC2771" t="s">
        <v>5203</v>
      </c>
      <c r="AD2771">
        <v>64.319999999999993</v>
      </c>
      <c r="AE2771" t="s">
        <v>217</v>
      </c>
      <c r="AF2771">
        <v>1.53</v>
      </c>
      <c r="AG2771">
        <v>0</v>
      </c>
      <c r="AH2771">
        <v>0</v>
      </c>
      <c r="AI2771" s="4">
        <v>42139</v>
      </c>
    </row>
    <row r="2772" spans="1:35">
      <c r="A2772">
        <v>2771</v>
      </c>
      <c r="B2772" t="str">
        <f>"300209"</f>
        <v>300209</v>
      </c>
      <c r="C2772" t="s">
        <v>12473</v>
      </c>
      <c r="D2772" s="4">
        <v>43190</v>
      </c>
      <c r="E2772" t="s">
        <v>1124</v>
      </c>
      <c r="F2772" t="s">
        <v>1905</v>
      </c>
      <c r="G2772">
        <v>9864</v>
      </c>
      <c r="H2772">
        <v>0.02</v>
      </c>
      <c r="I2772">
        <v>7.17</v>
      </c>
      <c r="J2772">
        <v>0.35</v>
      </c>
      <c r="K2772" t="s">
        <v>1376</v>
      </c>
      <c r="L2772">
        <v>2.52</v>
      </c>
      <c r="M2772" t="s">
        <v>4525</v>
      </c>
      <c r="N2772" t="s">
        <v>12474</v>
      </c>
      <c r="O2772" t="s">
        <v>10806</v>
      </c>
      <c r="P2772" t="s">
        <v>937</v>
      </c>
      <c r="Q2772">
        <v>23.54</v>
      </c>
      <c r="R2772" t="s">
        <v>1699</v>
      </c>
      <c r="S2772">
        <v>1</v>
      </c>
      <c r="T2772">
        <v>37.700000000000003</v>
      </c>
      <c r="U2772" t="s">
        <v>1908</v>
      </c>
      <c r="V2772" t="s">
        <v>855</v>
      </c>
      <c r="W2772" t="s">
        <v>533</v>
      </c>
      <c r="X2772">
        <v>0.35</v>
      </c>
      <c r="Y2772" t="s">
        <v>105</v>
      </c>
      <c r="Z2772" t="s">
        <v>2056</v>
      </c>
      <c r="AA2772" t="s">
        <v>8299</v>
      </c>
      <c r="AB2772">
        <v>2.12</v>
      </c>
      <c r="AC2772" t="s">
        <v>159</v>
      </c>
      <c r="AD2772">
        <v>77.84</v>
      </c>
      <c r="AE2772" t="s">
        <v>759</v>
      </c>
      <c r="AF2772">
        <v>5.12</v>
      </c>
      <c r="AG2772">
        <v>0</v>
      </c>
      <c r="AH2772">
        <v>0</v>
      </c>
      <c r="AI2772" s="4">
        <v>40659</v>
      </c>
    </row>
    <row r="2773" spans="1:35">
      <c r="A2773">
        <v>2772</v>
      </c>
      <c r="B2773" t="str">
        <f>"300080"</f>
        <v>300080</v>
      </c>
      <c r="C2773" t="s">
        <v>12475</v>
      </c>
      <c r="D2773" s="4">
        <v>43190</v>
      </c>
      <c r="E2773" t="s">
        <v>442</v>
      </c>
      <c r="F2773" t="s">
        <v>1346</v>
      </c>
      <c r="G2773" t="s">
        <v>2597</v>
      </c>
      <c r="H2773">
        <v>0.01</v>
      </c>
      <c r="I2773">
        <v>4.37</v>
      </c>
      <c r="J2773">
        <v>0.35</v>
      </c>
      <c r="K2773" t="s">
        <v>782</v>
      </c>
      <c r="L2773">
        <v>194.13</v>
      </c>
      <c r="M2773" t="s">
        <v>12476</v>
      </c>
      <c r="N2773" t="s">
        <v>3064</v>
      </c>
      <c r="O2773" t="s">
        <v>7171</v>
      </c>
      <c r="P2773" t="s">
        <v>6129</v>
      </c>
      <c r="Q2773">
        <v>381.65</v>
      </c>
      <c r="R2773" t="s">
        <v>12427</v>
      </c>
      <c r="S2773">
        <v>-1.5</v>
      </c>
      <c r="T2773">
        <v>18.97</v>
      </c>
      <c r="U2773" t="s">
        <v>4239</v>
      </c>
      <c r="V2773" t="s">
        <v>3073</v>
      </c>
      <c r="W2773" t="s">
        <v>114</v>
      </c>
      <c r="X2773">
        <v>0.35</v>
      </c>
      <c r="Y2773" t="s">
        <v>1312</v>
      </c>
      <c r="Z2773" t="s">
        <v>1161</v>
      </c>
      <c r="AA2773" t="s">
        <v>625</v>
      </c>
      <c r="AB2773">
        <v>1.33</v>
      </c>
      <c r="AC2773" t="s">
        <v>1875</v>
      </c>
      <c r="AD2773">
        <v>32.130000000000003</v>
      </c>
      <c r="AE2773" t="s">
        <v>1348</v>
      </c>
      <c r="AF2773">
        <v>4.78</v>
      </c>
      <c r="AG2773">
        <v>0</v>
      </c>
      <c r="AH2773">
        <v>0</v>
      </c>
      <c r="AI2773" s="4">
        <v>40354</v>
      </c>
    </row>
    <row r="2774" spans="1:35">
      <c r="A2774">
        <v>2773</v>
      </c>
      <c r="B2774" t="str">
        <f>"002658"</f>
        <v>002658</v>
      </c>
      <c r="C2774" t="s">
        <v>12477</v>
      </c>
      <c r="D2774" s="4">
        <v>43190</v>
      </c>
      <c r="E2774" t="s">
        <v>2063</v>
      </c>
      <c r="F2774" t="s">
        <v>145</v>
      </c>
      <c r="G2774">
        <v>6311</v>
      </c>
      <c r="H2774">
        <v>0.01</v>
      </c>
      <c r="I2774">
        <v>3.06</v>
      </c>
      <c r="J2774">
        <v>0.35</v>
      </c>
      <c r="K2774" t="s">
        <v>1077</v>
      </c>
      <c r="L2774">
        <v>17.62</v>
      </c>
      <c r="M2774" t="s">
        <v>9533</v>
      </c>
      <c r="N2774" t="s">
        <v>12478</v>
      </c>
      <c r="O2774" t="s">
        <v>12479</v>
      </c>
      <c r="P2774" t="s">
        <v>3700</v>
      </c>
      <c r="Q2774">
        <v>-46.82</v>
      </c>
      <c r="R2774" t="s">
        <v>5537</v>
      </c>
      <c r="S2774">
        <v>1.45</v>
      </c>
      <c r="T2774">
        <v>46.52</v>
      </c>
      <c r="U2774" t="s">
        <v>1308</v>
      </c>
      <c r="V2774" t="s">
        <v>1875</v>
      </c>
      <c r="W2774" t="s">
        <v>505</v>
      </c>
      <c r="X2774">
        <v>0.35</v>
      </c>
      <c r="Y2774" t="s">
        <v>4002</v>
      </c>
      <c r="Z2774" t="s">
        <v>975</v>
      </c>
      <c r="AA2774" t="s">
        <v>1563</v>
      </c>
      <c r="AB2774">
        <v>2.57</v>
      </c>
      <c r="AC2774" t="s">
        <v>1255</v>
      </c>
      <c r="AD2774">
        <v>75.42</v>
      </c>
      <c r="AE2774" t="s">
        <v>203</v>
      </c>
      <c r="AF2774">
        <v>0.4</v>
      </c>
      <c r="AG2774">
        <v>0</v>
      </c>
      <c r="AH2774">
        <v>0</v>
      </c>
      <c r="AI2774" s="4">
        <v>40977</v>
      </c>
    </row>
    <row r="2775" spans="1:35">
      <c r="A2775">
        <v>2774</v>
      </c>
      <c r="B2775" t="str">
        <f>"002623"</f>
        <v>002623</v>
      </c>
      <c r="C2775" t="s">
        <v>12480</v>
      </c>
      <c r="D2775" s="4">
        <v>43190</v>
      </c>
      <c r="E2775" t="s">
        <v>1203</v>
      </c>
      <c r="F2775" t="s">
        <v>1203</v>
      </c>
      <c r="G2775">
        <v>6960</v>
      </c>
      <c r="H2775">
        <v>0.05</v>
      </c>
      <c r="I2775">
        <v>13.38</v>
      </c>
      <c r="J2775">
        <v>0.35</v>
      </c>
      <c r="K2775" t="s">
        <v>492</v>
      </c>
      <c r="L2775">
        <v>-20.28</v>
      </c>
      <c r="M2775" t="s">
        <v>12481</v>
      </c>
      <c r="N2775">
        <v>0</v>
      </c>
      <c r="O2775" t="s">
        <v>6949</v>
      </c>
      <c r="P2775" t="s">
        <v>1922</v>
      </c>
      <c r="Q2775">
        <v>6.69</v>
      </c>
      <c r="R2775" t="s">
        <v>1295</v>
      </c>
      <c r="S2775">
        <v>2.7</v>
      </c>
      <c r="T2775">
        <v>17.579999999999998</v>
      </c>
      <c r="U2775" t="s">
        <v>8225</v>
      </c>
      <c r="V2775" t="s">
        <v>1920</v>
      </c>
      <c r="W2775" t="s">
        <v>865</v>
      </c>
      <c r="X2775">
        <v>0.35</v>
      </c>
      <c r="Y2775" t="s">
        <v>700</v>
      </c>
      <c r="Z2775" t="s">
        <v>2328</v>
      </c>
      <c r="AA2775" t="s">
        <v>906</v>
      </c>
      <c r="AB2775">
        <v>1.1499999999999999</v>
      </c>
      <c r="AC2775" t="s">
        <v>420</v>
      </c>
      <c r="AD2775">
        <v>43.26</v>
      </c>
      <c r="AE2775" t="s">
        <v>759</v>
      </c>
      <c r="AF2775">
        <v>9.2799999999999994</v>
      </c>
      <c r="AG2775">
        <v>0</v>
      </c>
      <c r="AH2775">
        <v>0</v>
      </c>
      <c r="AI2775" s="4">
        <v>40829</v>
      </c>
    </row>
    <row r="2776" spans="1:35">
      <c r="A2776">
        <v>2775</v>
      </c>
      <c r="B2776" t="str">
        <f>"002347"</f>
        <v>002347</v>
      </c>
      <c r="C2776" t="s">
        <v>12482</v>
      </c>
      <c r="D2776" s="4">
        <v>43190</v>
      </c>
      <c r="E2776" t="s">
        <v>1059</v>
      </c>
      <c r="F2776" t="s">
        <v>301</v>
      </c>
      <c r="G2776">
        <v>8411</v>
      </c>
      <c r="H2776">
        <v>0.01</v>
      </c>
      <c r="I2776">
        <v>2.5299999999999998</v>
      </c>
      <c r="J2776">
        <v>0.35</v>
      </c>
      <c r="K2776" t="s">
        <v>2360</v>
      </c>
      <c r="L2776">
        <v>46.04</v>
      </c>
      <c r="M2776" t="s">
        <v>5600</v>
      </c>
      <c r="N2776" t="s">
        <v>10334</v>
      </c>
      <c r="O2776" t="s">
        <v>11821</v>
      </c>
      <c r="P2776" t="s">
        <v>601</v>
      </c>
      <c r="Q2776">
        <v>83.76</v>
      </c>
      <c r="R2776" t="s">
        <v>326</v>
      </c>
      <c r="S2776">
        <v>0.32</v>
      </c>
      <c r="T2776">
        <v>31.54</v>
      </c>
      <c r="U2776" t="s">
        <v>419</v>
      </c>
      <c r="V2776" t="s">
        <v>173</v>
      </c>
      <c r="W2776" t="s">
        <v>4871</v>
      </c>
      <c r="X2776">
        <v>0.35</v>
      </c>
      <c r="Y2776" t="s">
        <v>4354</v>
      </c>
      <c r="Z2776" t="s">
        <v>1021</v>
      </c>
      <c r="AA2776" t="s">
        <v>12483</v>
      </c>
      <c r="AB2776">
        <v>1.48</v>
      </c>
      <c r="AC2776" t="s">
        <v>354</v>
      </c>
      <c r="AD2776">
        <v>57.88</v>
      </c>
      <c r="AE2776" t="s">
        <v>442</v>
      </c>
      <c r="AF2776">
        <v>1.1200000000000001</v>
      </c>
      <c r="AG2776">
        <v>0</v>
      </c>
      <c r="AH2776">
        <v>0</v>
      </c>
      <c r="AI2776" s="4">
        <v>40206</v>
      </c>
    </row>
    <row r="2777" spans="1:35">
      <c r="A2777">
        <v>2776</v>
      </c>
      <c r="B2777" t="str">
        <f>"002329"</f>
        <v>002329</v>
      </c>
      <c r="C2777" t="s">
        <v>12484</v>
      </c>
      <c r="D2777" s="4">
        <v>43190</v>
      </c>
      <c r="E2777" t="s">
        <v>1047</v>
      </c>
      <c r="F2777" t="s">
        <v>97</v>
      </c>
      <c r="G2777">
        <v>6009</v>
      </c>
      <c r="H2777">
        <v>0.01</v>
      </c>
      <c r="I2777">
        <v>3.29</v>
      </c>
      <c r="J2777">
        <v>0.35</v>
      </c>
      <c r="K2777" t="s">
        <v>1059</v>
      </c>
      <c r="L2777">
        <v>-1.06</v>
      </c>
      <c r="M2777" t="s">
        <v>8900</v>
      </c>
      <c r="N2777">
        <v>-4205</v>
      </c>
      <c r="O2777" t="s">
        <v>5639</v>
      </c>
      <c r="P2777" t="s">
        <v>12485</v>
      </c>
      <c r="Q2777">
        <v>-42.9</v>
      </c>
      <c r="R2777" t="s">
        <v>2853</v>
      </c>
      <c r="S2777">
        <v>0.82</v>
      </c>
      <c r="T2777">
        <v>28.33</v>
      </c>
      <c r="U2777" t="s">
        <v>1134</v>
      </c>
      <c r="V2777" t="s">
        <v>1832</v>
      </c>
      <c r="W2777" t="s">
        <v>4552</v>
      </c>
      <c r="X2777">
        <v>0.35</v>
      </c>
      <c r="Y2777" t="s">
        <v>356</v>
      </c>
      <c r="Z2777" t="s">
        <v>754</v>
      </c>
      <c r="AA2777" t="s">
        <v>1094</v>
      </c>
      <c r="AB2777">
        <v>1.28</v>
      </c>
      <c r="AC2777" t="s">
        <v>2523</v>
      </c>
      <c r="AD2777">
        <v>47.77</v>
      </c>
      <c r="AE2777" t="s">
        <v>250</v>
      </c>
      <c r="AF2777">
        <v>1.4</v>
      </c>
      <c r="AG2777">
        <v>0</v>
      </c>
      <c r="AH2777">
        <v>0</v>
      </c>
      <c r="AI2777" s="4">
        <v>40184</v>
      </c>
    </row>
    <row r="2778" spans="1:35">
      <c r="A2778">
        <v>2777</v>
      </c>
      <c r="B2778" t="str">
        <f>"002073"</f>
        <v>002073</v>
      </c>
      <c r="C2778" t="s">
        <v>12486</v>
      </c>
      <c r="D2778" s="4">
        <v>43190</v>
      </c>
      <c r="E2778" t="s">
        <v>2134</v>
      </c>
      <c r="F2778" t="s">
        <v>2783</v>
      </c>
      <c r="G2778" t="s">
        <v>2258</v>
      </c>
      <c r="H2778">
        <v>0.02</v>
      </c>
      <c r="I2778">
        <v>4.92</v>
      </c>
      <c r="J2778">
        <v>0.35</v>
      </c>
      <c r="K2778" t="s">
        <v>1058</v>
      </c>
      <c r="L2778">
        <v>2.71</v>
      </c>
      <c r="M2778" t="s">
        <v>11513</v>
      </c>
      <c r="N2778" t="s">
        <v>1997</v>
      </c>
      <c r="O2778" t="s">
        <v>12487</v>
      </c>
      <c r="P2778" t="s">
        <v>3010</v>
      </c>
      <c r="Q2778">
        <v>10.11</v>
      </c>
      <c r="R2778" t="s">
        <v>1307</v>
      </c>
      <c r="S2778">
        <v>1.41</v>
      </c>
      <c r="T2778">
        <v>22.61</v>
      </c>
      <c r="U2778" t="s">
        <v>3680</v>
      </c>
      <c r="V2778" t="s">
        <v>2390</v>
      </c>
      <c r="W2778" t="s">
        <v>162</v>
      </c>
      <c r="X2778">
        <v>0.35</v>
      </c>
      <c r="Y2778" t="s">
        <v>949</v>
      </c>
      <c r="Z2778" t="s">
        <v>706</v>
      </c>
      <c r="AA2778" t="s">
        <v>1214</v>
      </c>
      <c r="AB2778">
        <v>1.17</v>
      </c>
      <c r="AC2778" t="s">
        <v>3653</v>
      </c>
      <c r="AD2778">
        <v>53.08</v>
      </c>
      <c r="AE2778" t="s">
        <v>712</v>
      </c>
      <c r="AF2778">
        <v>2.17</v>
      </c>
      <c r="AG2778">
        <v>0</v>
      </c>
      <c r="AH2778">
        <v>0</v>
      </c>
      <c r="AI2778" s="4">
        <v>39008</v>
      </c>
    </row>
    <row r="2779" spans="1:35">
      <c r="A2779">
        <v>2778</v>
      </c>
      <c r="B2779" t="str">
        <f>"000009"</f>
        <v>000009</v>
      </c>
      <c r="C2779" t="s">
        <v>12488</v>
      </c>
      <c r="D2779" s="4">
        <v>43190</v>
      </c>
      <c r="E2779" t="s">
        <v>449</v>
      </c>
      <c r="F2779" t="s">
        <v>1693</v>
      </c>
      <c r="G2779" t="s">
        <v>2589</v>
      </c>
      <c r="H2779">
        <v>0.02</v>
      </c>
      <c r="I2779">
        <v>2.33</v>
      </c>
      <c r="J2779">
        <v>0.35</v>
      </c>
      <c r="K2779" t="s">
        <v>712</v>
      </c>
      <c r="L2779">
        <v>59.55</v>
      </c>
      <c r="M2779" t="s">
        <v>4730</v>
      </c>
      <c r="N2779" t="s">
        <v>12489</v>
      </c>
      <c r="O2779" t="s">
        <v>71</v>
      </c>
      <c r="P2779" t="s">
        <v>10886</v>
      </c>
      <c r="Q2779">
        <v>5.26</v>
      </c>
      <c r="R2779" t="s">
        <v>980</v>
      </c>
      <c r="S2779">
        <v>0.86</v>
      </c>
      <c r="T2779">
        <v>39.26</v>
      </c>
      <c r="U2779" t="s">
        <v>837</v>
      </c>
      <c r="V2779" t="s">
        <v>5782</v>
      </c>
      <c r="W2779" t="s">
        <v>4558</v>
      </c>
      <c r="X2779">
        <v>0.35</v>
      </c>
      <c r="Y2779" t="s">
        <v>1114</v>
      </c>
      <c r="Z2779" t="s">
        <v>466</v>
      </c>
      <c r="AA2779" t="s">
        <v>2633</v>
      </c>
      <c r="AB2779">
        <v>2.08</v>
      </c>
      <c r="AC2779" t="s">
        <v>2736</v>
      </c>
      <c r="AD2779">
        <v>18.239999999999998</v>
      </c>
      <c r="AE2779" t="s">
        <v>1041</v>
      </c>
      <c r="AF2779">
        <v>0.37</v>
      </c>
      <c r="AG2779">
        <v>0</v>
      </c>
      <c r="AH2779">
        <v>0</v>
      </c>
      <c r="AI2779" s="4">
        <v>33414</v>
      </c>
    </row>
    <row r="2780" spans="1:35">
      <c r="A2780">
        <v>2779</v>
      </c>
      <c r="B2780" t="str">
        <f>"601258"</f>
        <v>601258</v>
      </c>
      <c r="C2780" t="s">
        <v>12490</v>
      </c>
      <c r="D2780" s="4">
        <v>43190</v>
      </c>
      <c r="E2780" t="s">
        <v>1591</v>
      </c>
      <c r="F2780" t="s">
        <v>2740</v>
      </c>
      <c r="G2780" t="s">
        <v>4774</v>
      </c>
      <c r="H2780">
        <v>0.01</v>
      </c>
      <c r="I2780">
        <v>2.0099999999999998</v>
      </c>
      <c r="J2780">
        <v>0.34</v>
      </c>
      <c r="K2780" t="s">
        <v>398</v>
      </c>
      <c r="L2780">
        <v>-10.71</v>
      </c>
      <c r="M2780" t="s">
        <v>71</v>
      </c>
      <c r="N2780" t="s">
        <v>12491</v>
      </c>
      <c r="O2780" t="s">
        <v>600</v>
      </c>
      <c r="P2780" t="s">
        <v>3906</v>
      </c>
      <c r="Q2780">
        <v>-60.82</v>
      </c>
      <c r="R2780" t="s">
        <v>238</v>
      </c>
      <c r="S2780">
        <v>0.44</v>
      </c>
      <c r="T2780">
        <v>9.48</v>
      </c>
      <c r="U2780" t="s">
        <v>5069</v>
      </c>
      <c r="V2780" t="s">
        <v>4725</v>
      </c>
      <c r="W2780" t="s">
        <v>3287</v>
      </c>
      <c r="X2780">
        <v>0.34</v>
      </c>
      <c r="Y2780" t="s">
        <v>6407</v>
      </c>
      <c r="Z2780" t="s">
        <v>12492</v>
      </c>
      <c r="AA2780" t="s">
        <v>2291</v>
      </c>
      <c r="AB2780">
        <v>0.84</v>
      </c>
      <c r="AC2780" t="s">
        <v>794</v>
      </c>
      <c r="AD2780">
        <v>22.4</v>
      </c>
      <c r="AE2780" t="s">
        <v>2667</v>
      </c>
      <c r="AF2780">
        <v>0.56999999999999995</v>
      </c>
      <c r="AG2780">
        <v>0</v>
      </c>
      <c r="AH2780">
        <v>0</v>
      </c>
      <c r="AI2780" s="4">
        <v>40661</v>
      </c>
    </row>
    <row r="2781" spans="1:35">
      <c r="A2781">
        <v>2780</v>
      </c>
      <c r="B2781" t="str">
        <f>"600847"</f>
        <v>600847</v>
      </c>
      <c r="C2781" t="s">
        <v>12493</v>
      </c>
      <c r="D2781" s="4">
        <v>43190</v>
      </c>
      <c r="E2781" t="s">
        <v>452</v>
      </c>
      <c r="F2781" t="s">
        <v>452</v>
      </c>
      <c r="G2781" t="s">
        <v>1092</v>
      </c>
      <c r="H2781">
        <v>0.02</v>
      </c>
      <c r="I2781">
        <v>4.47</v>
      </c>
      <c r="J2781">
        <v>0.34</v>
      </c>
      <c r="K2781" t="s">
        <v>1475</v>
      </c>
      <c r="L2781">
        <v>53.84</v>
      </c>
      <c r="M2781" t="s">
        <v>5970</v>
      </c>
      <c r="N2781" t="s">
        <v>12494</v>
      </c>
      <c r="O2781" t="s">
        <v>1848</v>
      </c>
      <c r="P2781" t="s">
        <v>1848</v>
      </c>
      <c r="Q2781">
        <v>313.52999999999997</v>
      </c>
      <c r="R2781" t="s">
        <v>12495</v>
      </c>
      <c r="S2781">
        <v>-0.76</v>
      </c>
      <c r="T2781">
        <v>14.78</v>
      </c>
      <c r="U2781" t="s">
        <v>1509</v>
      </c>
      <c r="V2781" t="s">
        <v>1049</v>
      </c>
      <c r="W2781" t="s">
        <v>1184</v>
      </c>
      <c r="X2781">
        <v>0.34</v>
      </c>
      <c r="Y2781" t="s">
        <v>1457</v>
      </c>
      <c r="Z2781" t="s">
        <v>337</v>
      </c>
      <c r="AA2781" t="s">
        <v>1902</v>
      </c>
      <c r="AB2781">
        <v>3.16</v>
      </c>
      <c r="AC2781" t="s">
        <v>2394</v>
      </c>
      <c r="AD2781">
        <v>79.94</v>
      </c>
      <c r="AE2781" t="s">
        <v>690</v>
      </c>
      <c r="AF2781">
        <v>4.2300000000000004</v>
      </c>
      <c r="AG2781">
        <v>0</v>
      </c>
      <c r="AH2781">
        <v>0</v>
      </c>
      <c r="AI2781" s="4">
        <v>34417</v>
      </c>
    </row>
    <row r="2782" spans="1:35">
      <c r="A2782">
        <v>2781</v>
      </c>
      <c r="B2782" t="str">
        <f>"300708"</f>
        <v>300708</v>
      </c>
      <c r="C2782" t="s">
        <v>12496</v>
      </c>
      <c r="D2782" s="4">
        <v>43190</v>
      </c>
      <c r="E2782" t="s">
        <v>217</v>
      </c>
      <c r="F2782" t="s">
        <v>9431</v>
      </c>
      <c r="G2782">
        <v>1762</v>
      </c>
      <c r="H2782">
        <v>0.01</v>
      </c>
      <c r="I2782">
        <v>2.72</v>
      </c>
      <c r="J2782">
        <v>0.34</v>
      </c>
      <c r="K2782" t="s">
        <v>1627</v>
      </c>
      <c r="L2782">
        <v>-21.16</v>
      </c>
      <c r="M2782" t="s">
        <v>11450</v>
      </c>
      <c r="N2782">
        <v>0</v>
      </c>
      <c r="O2782" t="s">
        <v>2204</v>
      </c>
      <c r="P2782" t="s">
        <v>2724</v>
      </c>
      <c r="Q2782">
        <v>-89.11</v>
      </c>
      <c r="R2782" t="s">
        <v>1077</v>
      </c>
      <c r="S2782">
        <v>0.65</v>
      </c>
      <c r="T2782">
        <v>22.25</v>
      </c>
      <c r="U2782" t="s">
        <v>757</v>
      </c>
      <c r="V2782" t="s">
        <v>871</v>
      </c>
      <c r="W2782" t="s">
        <v>216</v>
      </c>
      <c r="X2782">
        <v>0.34</v>
      </c>
      <c r="Y2782" t="s">
        <v>699</v>
      </c>
      <c r="Z2782" t="s">
        <v>1589</v>
      </c>
      <c r="AA2782" t="s">
        <v>255</v>
      </c>
      <c r="AB2782">
        <v>6.35</v>
      </c>
      <c r="AC2782" t="s">
        <v>1872</v>
      </c>
      <c r="AD2782">
        <v>39.799999999999997</v>
      </c>
      <c r="AE2782" t="s">
        <v>1180</v>
      </c>
      <c r="AF2782">
        <v>0.99</v>
      </c>
      <c r="AG2782">
        <v>0</v>
      </c>
      <c r="AH2782">
        <v>0</v>
      </c>
      <c r="AI2782" s="4">
        <v>43024</v>
      </c>
    </row>
    <row r="2783" spans="1:35">
      <c r="A2783">
        <v>2782</v>
      </c>
      <c r="B2783" t="str">
        <f>"300651"</f>
        <v>300651</v>
      </c>
      <c r="C2783" t="s">
        <v>12497</v>
      </c>
      <c r="D2783" s="4">
        <v>43190</v>
      </c>
      <c r="E2783" t="s">
        <v>7638</v>
      </c>
      <c r="F2783" t="s">
        <v>4679</v>
      </c>
      <c r="G2783">
        <v>4193</v>
      </c>
      <c r="H2783">
        <v>0.03</v>
      </c>
      <c r="I2783">
        <v>8.1199999999999992</v>
      </c>
      <c r="J2783">
        <v>0.34</v>
      </c>
      <c r="K2783" t="s">
        <v>4128</v>
      </c>
      <c r="L2783">
        <v>10.35</v>
      </c>
      <c r="M2783" t="s">
        <v>6117</v>
      </c>
      <c r="N2783" t="s">
        <v>11657</v>
      </c>
      <c r="O2783" t="s">
        <v>2937</v>
      </c>
      <c r="P2783" t="s">
        <v>2594</v>
      </c>
      <c r="Q2783">
        <v>6.76</v>
      </c>
      <c r="R2783" t="s">
        <v>1733</v>
      </c>
      <c r="S2783">
        <v>3.51</v>
      </c>
      <c r="T2783">
        <v>48.82</v>
      </c>
      <c r="U2783" t="s">
        <v>2486</v>
      </c>
      <c r="V2783" t="s">
        <v>501</v>
      </c>
      <c r="W2783" t="s">
        <v>608</v>
      </c>
      <c r="X2783">
        <v>0.34</v>
      </c>
      <c r="Y2783" t="s">
        <v>696</v>
      </c>
      <c r="Z2783" t="s">
        <v>454</v>
      </c>
      <c r="AA2783" t="s">
        <v>12498</v>
      </c>
      <c r="AB2783">
        <v>4.33</v>
      </c>
      <c r="AC2783" t="s">
        <v>1330</v>
      </c>
      <c r="AD2783">
        <v>73.83</v>
      </c>
      <c r="AE2783" t="s">
        <v>3535</v>
      </c>
      <c r="AF2783">
        <v>3.28</v>
      </c>
      <c r="AG2783">
        <v>0</v>
      </c>
      <c r="AH2783">
        <v>0</v>
      </c>
      <c r="AI2783" s="4">
        <v>42864</v>
      </c>
    </row>
    <row r="2784" spans="1:35">
      <c r="A2784">
        <v>2783</v>
      </c>
      <c r="B2784" t="str">
        <f>"300518"</f>
        <v>300518</v>
      </c>
      <c r="C2784" t="s">
        <v>12499</v>
      </c>
      <c r="D2784" s="4">
        <v>43190</v>
      </c>
      <c r="E2784" t="s">
        <v>10664</v>
      </c>
      <c r="F2784" t="s">
        <v>10586</v>
      </c>
      <c r="G2784">
        <v>2818</v>
      </c>
      <c r="H2784">
        <v>0.04</v>
      </c>
      <c r="I2784">
        <v>11.67</v>
      </c>
      <c r="J2784">
        <v>0.34</v>
      </c>
      <c r="K2784" t="s">
        <v>4143</v>
      </c>
      <c r="L2784">
        <v>46.1</v>
      </c>
      <c r="M2784" t="s">
        <v>2033</v>
      </c>
      <c r="N2784" t="s">
        <v>10445</v>
      </c>
      <c r="O2784" t="s">
        <v>12236</v>
      </c>
      <c r="P2784" t="s">
        <v>12500</v>
      </c>
      <c r="Q2784">
        <v>-80.819999999999993</v>
      </c>
      <c r="R2784" t="s">
        <v>1721</v>
      </c>
      <c r="S2784">
        <v>4.92</v>
      </c>
      <c r="T2784">
        <v>29.5</v>
      </c>
      <c r="U2784" t="s">
        <v>80</v>
      </c>
      <c r="V2784" t="s">
        <v>2056</v>
      </c>
      <c r="W2784" t="s">
        <v>198</v>
      </c>
      <c r="X2784">
        <v>0.34</v>
      </c>
      <c r="Y2784" t="s">
        <v>1035</v>
      </c>
      <c r="Z2784" t="s">
        <v>1597</v>
      </c>
      <c r="AA2784" t="s">
        <v>200</v>
      </c>
      <c r="AB2784">
        <v>4.2</v>
      </c>
      <c r="AC2784" t="s">
        <v>602</v>
      </c>
      <c r="AD2784">
        <v>74.72</v>
      </c>
      <c r="AE2784" t="s">
        <v>2036</v>
      </c>
      <c r="AF2784">
        <v>5.25</v>
      </c>
      <c r="AG2784">
        <v>0</v>
      </c>
      <c r="AH2784">
        <v>0</v>
      </c>
      <c r="AI2784" s="4">
        <v>42545</v>
      </c>
    </row>
    <row r="2785" spans="1:35">
      <c r="A2785">
        <v>2784</v>
      </c>
      <c r="B2785" t="str">
        <f>"300440"</f>
        <v>300440</v>
      </c>
      <c r="C2785" t="s">
        <v>12501</v>
      </c>
      <c r="D2785" s="4">
        <v>43190</v>
      </c>
      <c r="E2785" t="s">
        <v>2222</v>
      </c>
      <c r="F2785" t="s">
        <v>4044</v>
      </c>
      <c r="G2785">
        <v>8186</v>
      </c>
      <c r="H2785">
        <v>0.01</v>
      </c>
      <c r="I2785">
        <v>2.83</v>
      </c>
      <c r="J2785">
        <v>0.34</v>
      </c>
      <c r="K2785" t="s">
        <v>4034</v>
      </c>
      <c r="L2785">
        <v>-4.7699999999999996</v>
      </c>
      <c r="M2785" t="s">
        <v>2386</v>
      </c>
      <c r="N2785" t="s">
        <v>12502</v>
      </c>
      <c r="O2785" t="s">
        <v>3978</v>
      </c>
      <c r="P2785" t="s">
        <v>11894</v>
      </c>
      <c r="Q2785">
        <v>-60.79</v>
      </c>
      <c r="R2785" t="s">
        <v>943</v>
      </c>
      <c r="S2785">
        <v>1.17</v>
      </c>
      <c r="T2785">
        <v>50.51</v>
      </c>
      <c r="U2785" t="s">
        <v>1678</v>
      </c>
      <c r="V2785" t="s">
        <v>1062</v>
      </c>
      <c r="W2785" t="s">
        <v>209</v>
      </c>
      <c r="X2785">
        <v>0.34</v>
      </c>
      <c r="Y2785" t="s">
        <v>1615</v>
      </c>
      <c r="Z2785" t="s">
        <v>1436</v>
      </c>
      <c r="AA2785" t="s">
        <v>4566</v>
      </c>
      <c r="AB2785">
        <v>2.4</v>
      </c>
      <c r="AC2785" t="s">
        <v>101</v>
      </c>
      <c r="AD2785">
        <v>72.27</v>
      </c>
      <c r="AE2785" t="s">
        <v>1184</v>
      </c>
      <c r="AF2785">
        <v>0.63</v>
      </c>
      <c r="AG2785">
        <v>0</v>
      </c>
      <c r="AH2785">
        <v>0</v>
      </c>
      <c r="AI2785" s="4">
        <v>42117</v>
      </c>
    </row>
    <row r="2786" spans="1:35">
      <c r="A2786">
        <v>2785</v>
      </c>
      <c r="B2786" t="str">
        <f>"002378"</f>
        <v>002378</v>
      </c>
      <c r="C2786" t="s">
        <v>12503</v>
      </c>
      <c r="D2786" s="4">
        <v>43190</v>
      </c>
      <c r="E2786" t="s">
        <v>2000</v>
      </c>
      <c r="F2786" t="s">
        <v>821</v>
      </c>
      <c r="G2786" t="s">
        <v>2323</v>
      </c>
      <c r="H2786">
        <v>0.01</v>
      </c>
      <c r="I2786">
        <v>2.13</v>
      </c>
      <c r="J2786">
        <v>0.34</v>
      </c>
      <c r="K2786" t="s">
        <v>1695</v>
      </c>
      <c r="L2786">
        <v>14.92</v>
      </c>
      <c r="M2786" t="s">
        <v>6111</v>
      </c>
      <c r="N2786" t="s">
        <v>11127</v>
      </c>
      <c r="O2786" t="s">
        <v>7399</v>
      </c>
      <c r="P2786" t="s">
        <v>11419</v>
      </c>
      <c r="Q2786">
        <v>90.69</v>
      </c>
      <c r="R2786" t="s">
        <v>1067</v>
      </c>
      <c r="S2786">
        <v>0.31</v>
      </c>
      <c r="T2786">
        <v>15.31</v>
      </c>
      <c r="U2786" t="s">
        <v>940</v>
      </c>
      <c r="V2786" t="s">
        <v>1062</v>
      </c>
      <c r="W2786" t="s">
        <v>625</v>
      </c>
      <c r="X2786">
        <v>0.34</v>
      </c>
      <c r="Y2786" t="s">
        <v>76</v>
      </c>
      <c r="Z2786" t="s">
        <v>391</v>
      </c>
      <c r="AA2786" t="s">
        <v>71</v>
      </c>
      <c r="AB2786">
        <v>2.99</v>
      </c>
      <c r="AC2786" t="s">
        <v>1284</v>
      </c>
      <c r="AD2786">
        <v>54.53</v>
      </c>
      <c r="AE2786" t="s">
        <v>2310</v>
      </c>
      <c r="AF2786">
        <v>0.62</v>
      </c>
      <c r="AG2786">
        <v>0</v>
      </c>
      <c r="AH2786">
        <v>0</v>
      </c>
      <c r="AI2786" s="4">
        <v>40268</v>
      </c>
    </row>
    <row r="2787" spans="1:35">
      <c r="A2787">
        <v>2786</v>
      </c>
      <c r="B2787" t="str">
        <f>"002249"</f>
        <v>002249</v>
      </c>
      <c r="C2787" t="s">
        <v>12504</v>
      </c>
      <c r="D2787" s="4">
        <v>43190</v>
      </c>
      <c r="E2787" t="s">
        <v>2273</v>
      </c>
      <c r="F2787" t="s">
        <v>971</v>
      </c>
      <c r="G2787" t="s">
        <v>3310</v>
      </c>
      <c r="H2787">
        <v>0.01</v>
      </c>
      <c r="I2787">
        <v>3.71</v>
      </c>
      <c r="J2787">
        <v>0.34</v>
      </c>
      <c r="K2787" t="s">
        <v>2328</v>
      </c>
      <c r="L2787">
        <v>9.8699999999999992</v>
      </c>
      <c r="M2787" t="s">
        <v>12505</v>
      </c>
      <c r="N2787" t="s">
        <v>12506</v>
      </c>
      <c r="O2787" t="s">
        <v>8997</v>
      </c>
      <c r="P2787" t="s">
        <v>12507</v>
      </c>
      <c r="Q2787">
        <v>-37.56</v>
      </c>
      <c r="R2787" t="s">
        <v>407</v>
      </c>
      <c r="S2787">
        <v>0.33</v>
      </c>
      <c r="T2787">
        <v>19.3</v>
      </c>
      <c r="U2787" t="s">
        <v>4411</v>
      </c>
      <c r="V2787" t="s">
        <v>12508</v>
      </c>
      <c r="W2787" t="s">
        <v>789</v>
      </c>
      <c r="X2787">
        <v>0.34</v>
      </c>
      <c r="Y2787" t="s">
        <v>688</v>
      </c>
      <c r="Z2787" t="s">
        <v>742</v>
      </c>
      <c r="AA2787" t="s">
        <v>2328</v>
      </c>
      <c r="AB2787">
        <v>1.1399999999999999</v>
      </c>
      <c r="AC2787" t="s">
        <v>1282</v>
      </c>
      <c r="AD2787">
        <v>53</v>
      </c>
      <c r="AE2787" t="s">
        <v>1532</v>
      </c>
      <c r="AF2787">
        <v>2.2200000000000002</v>
      </c>
      <c r="AG2787">
        <v>0</v>
      </c>
      <c r="AH2787">
        <v>0</v>
      </c>
      <c r="AI2787" s="4">
        <v>39618</v>
      </c>
    </row>
    <row r="2788" spans="1:35">
      <c r="A2788">
        <v>2787</v>
      </c>
      <c r="B2788" t="str">
        <f>"600146"</f>
        <v>600146</v>
      </c>
      <c r="C2788" t="s">
        <v>12509</v>
      </c>
      <c r="D2788" s="4">
        <v>43190</v>
      </c>
      <c r="E2788" t="s">
        <v>1721</v>
      </c>
      <c r="F2788" t="s">
        <v>293</v>
      </c>
      <c r="G2788" t="s">
        <v>915</v>
      </c>
      <c r="H2788">
        <v>0.02</v>
      </c>
      <c r="I2788">
        <v>6.49</v>
      </c>
      <c r="J2788">
        <v>0.33</v>
      </c>
      <c r="K2788" t="s">
        <v>3324</v>
      </c>
      <c r="L2788">
        <v>46.47</v>
      </c>
      <c r="M2788" t="s">
        <v>12336</v>
      </c>
      <c r="N2788" t="s">
        <v>5979</v>
      </c>
      <c r="O2788" t="s">
        <v>12510</v>
      </c>
      <c r="P2788" t="s">
        <v>1696</v>
      </c>
      <c r="Q2788">
        <v>40.97</v>
      </c>
      <c r="R2788" t="s">
        <v>12511</v>
      </c>
      <c r="S2788">
        <v>0.02</v>
      </c>
      <c r="T2788">
        <v>35.71</v>
      </c>
      <c r="U2788" t="s">
        <v>1291</v>
      </c>
      <c r="V2788" t="s">
        <v>251</v>
      </c>
      <c r="W2788" t="s">
        <v>11761</v>
      </c>
      <c r="X2788">
        <v>0.33</v>
      </c>
      <c r="Y2788" t="s">
        <v>405</v>
      </c>
      <c r="Z2788" t="s">
        <v>1584</v>
      </c>
      <c r="AA2788" t="s">
        <v>2581</v>
      </c>
      <c r="AB2788">
        <v>3.43</v>
      </c>
      <c r="AC2788" t="s">
        <v>756</v>
      </c>
      <c r="AD2788">
        <v>71.180000000000007</v>
      </c>
      <c r="AE2788" t="s">
        <v>2515</v>
      </c>
      <c r="AF2788">
        <v>5.59</v>
      </c>
      <c r="AG2788">
        <v>0</v>
      </c>
      <c r="AH2788">
        <v>0</v>
      </c>
      <c r="AI2788" s="4">
        <v>36348</v>
      </c>
    </row>
    <row r="2789" spans="1:35">
      <c r="A2789">
        <v>2788</v>
      </c>
      <c r="B2789" t="str">
        <f>"603383"</f>
        <v>603383</v>
      </c>
      <c r="C2789" t="s">
        <v>12512</v>
      </c>
      <c r="D2789" s="4">
        <v>43190</v>
      </c>
      <c r="E2789" t="s">
        <v>280</v>
      </c>
      <c r="F2789" t="s">
        <v>12513</v>
      </c>
      <c r="G2789">
        <v>2358</v>
      </c>
      <c r="H2789">
        <v>0.03</v>
      </c>
      <c r="I2789">
        <v>7.48</v>
      </c>
      <c r="J2789">
        <v>0.33</v>
      </c>
      <c r="K2789" t="s">
        <v>12514</v>
      </c>
      <c r="L2789">
        <v>5.52</v>
      </c>
      <c r="M2789" t="s">
        <v>1441</v>
      </c>
      <c r="N2789" t="s">
        <v>2998</v>
      </c>
      <c r="O2789" t="s">
        <v>9398</v>
      </c>
      <c r="P2789" t="s">
        <v>11163</v>
      </c>
      <c r="Q2789">
        <v>131.65</v>
      </c>
      <c r="R2789" t="s">
        <v>165</v>
      </c>
      <c r="S2789">
        <v>2.84</v>
      </c>
      <c r="T2789">
        <v>81.31</v>
      </c>
      <c r="U2789" t="s">
        <v>354</v>
      </c>
      <c r="V2789" t="s">
        <v>1496</v>
      </c>
      <c r="W2789" t="s">
        <v>5765</v>
      </c>
      <c r="X2789">
        <v>0.33</v>
      </c>
      <c r="Y2789" t="s">
        <v>1624</v>
      </c>
      <c r="Z2789" t="s">
        <v>1624</v>
      </c>
      <c r="AA2789">
        <v>0</v>
      </c>
      <c r="AB2789">
        <v>3.88</v>
      </c>
      <c r="AC2789" t="s">
        <v>2690</v>
      </c>
      <c r="AD2789">
        <v>82.66</v>
      </c>
      <c r="AE2789" t="s">
        <v>735</v>
      </c>
      <c r="AF2789">
        <v>3.61</v>
      </c>
      <c r="AG2789">
        <v>0</v>
      </c>
      <c r="AH2789">
        <v>0</v>
      </c>
      <c r="AI2789" s="4">
        <v>42877</v>
      </c>
    </row>
    <row r="2790" spans="1:35">
      <c r="A2790">
        <v>2789</v>
      </c>
      <c r="B2790" t="str">
        <f>"601212"</f>
        <v>601212</v>
      </c>
      <c r="C2790" t="s">
        <v>12515</v>
      </c>
      <c r="D2790" s="4">
        <v>43190</v>
      </c>
      <c r="E2790" t="s">
        <v>366</v>
      </c>
      <c r="F2790" t="s">
        <v>419</v>
      </c>
      <c r="G2790">
        <v>9924</v>
      </c>
      <c r="H2790">
        <v>0</v>
      </c>
      <c r="I2790">
        <v>1.45</v>
      </c>
      <c r="J2790">
        <v>0.33</v>
      </c>
      <c r="K2790" t="s">
        <v>525</v>
      </c>
      <c r="L2790">
        <v>87.17</v>
      </c>
      <c r="M2790" t="s">
        <v>1689</v>
      </c>
      <c r="N2790" t="s">
        <v>12516</v>
      </c>
      <c r="O2790" t="s">
        <v>711</v>
      </c>
      <c r="P2790" t="s">
        <v>12517</v>
      </c>
      <c r="Q2790">
        <v>45.88</v>
      </c>
      <c r="R2790" t="s">
        <v>1252</v>
      </c>
      <c r="S2790">
        <v>0.42</v>
      </c>
      <c r="T2790">
        <v>5.68</v>
      </c>
      <c r="U2790" t="s">
        <v>7029</v>
      </c>
      <c r="V2790" t="s">
        <v>4816</v>
      </c>
      <c r="W2790" t="s">
        <v>2534</v>
      </c>
      <c r="X2790">
        <v>0.33</v>
      </c>
      <c r="Y2790" t="s">
        <v>3308</v>
      </c>
      <c r="Z2790" t="s">
        <v>1385</v>
      </c>
      <c r="AA2790" t="s">
        <v>2066</v>
      </c>
      <c r="AB2790">
        <v>2.83</v>
      </c>
      <c r="AC2790" t="s">
        <v>232</v>
      </c>
      <c r="AD2790">
        <v>21.52</v>
      </c>
      <c r="AE2790" t="s">
        <v>884</v>
      </c>
      <c r="AF2790">
        <v>0.49</v>
      </c>
      <c r="AG2790">
        <v>0</v>
      </c>
      <c r="AH2790">
        <v>0</v>
      </c>
      <c r="AI2790" s="4">
        <v>42781</v>
      </c>
    </row>
    <row r="2791" spans="1:35">
      <c r="A2791">
        <v>2790</v>
      </c>
      <c r="B2791" t="str">
        <f>"600825"</f>
        <v>600825</v>
      </c>
      <c r="C2791" t="s">
        <v>12518</v>
      </c>
      <c r="D2791" s="4">
        <v>43190</v>
      </c>
      <c r="E2791" t="s">
        <v>919</v>
      </c>
      <c r="F2791" t="s">
        <v>919</v>
      </c>
      <c r="G2791" t="s">
        <v>1694</v>
      </c>
      <c r="H2791">
        <v>0.01</v>
      </c>
      <c r="I2791">
        <v>2.52</v>
      </c>
      <c r="J2791">
        <v>0.33</v>
      </c>
      <c r="K2791" t="s">
        <v>986</v>
      </c>
      <c r="L2791">
        <v>-24.57</v>
      </c>
      <c r="M2791" t="s">
        <v>10712</v>
      </c>
      <c r="N2791" t="s">
        <v>10562</v>
      </c>
      <c r="O2791" t="s">
        <v>9533</v>
      </c>
      <c r="P2791" t="s">
        <v>3684</v>
      </c>
      <c r="Q2791">
        <v>18.510000000000002</v>
      </c>
      <c r="R2791" t="s">
        <v>1462</v>
      </c>
      <c r="S2791">
        <v>0.81</v>
      </c>
      <c r="T2791">
        <v>41.98</v>
      </c>
      <c r="U2791" t="s">
        <v>230</v>
      </c>
      <c r="V2791" t="s">
        <v>1348</v>
      </c>
      <c r="W2791" t="s">
        <v>3441</v>
      </c>
      <c r="X2791">
        <v>0.33</v>
      </c>
      <c r="Y2791" t="s">
        <v>1025</v>
      </c>
      <c r="Z2791" t="s">
        <v>1025</v>
      </c>
      <c r="AA2791">
        <v>0</v>
      </c>
      <c r="AB2791">
        <v>1.76</v>
      </c>
      <c r="AC2791" t="s">
        <v>2515</v>
      </c>
      <c r="AD2791">
        <v>66.88</v>
      </c>
      <c r="AE2791" t="s">
        <v>695</v>
      </c>
      <c r="AF2791">
        <v>0.53</v>
      </c>
      <c r="AG2791">
        <v>0</v>
      </c>
      <c r="AH2791">
        <v>0</v>
      </c>
      <c r="AI2791" s="4">
        <v>34369</v>
      </c>
    </row>
    <row r="2792" spans="1:35">
      <c r="A2792">
        <v>2791</v>
      </c>
      <c r="B2792" t="str">
        <f>"600662"</f>
        <v>600662</v>
      </c>
      <c r="C2792" t="s">
        <v>12519</v>
      </c>
      <c r="D2792" s="4">
        <v>43190</v>
      </c>
      <c r="E2792" t="s">
        <v>407</v>
      </c>
      <c r="F2792" t="s">
        <v>407</v>
      </c>
      <c r="G2792" t="s">
        <v>2125</v>
      </c>
      <c r="H2792">
        <v>0.01</v>
      </c>
      <c r="I2792">
        <v>3.1</v>
      </c>
      <c r="J2792">
        <v>0.33</v>
      </c>
      <c r="K2792" t="s">
        <v>513</v>
      </c>
      <c r="L2792">
        <v>5.61</v>
      </c>
      <c r="M2792" t="s">
        <v>9189</v>
      </c>
      <c r="N2792" t="s">
        <v>5473</v>
      </c>
      <c r="O2792" t="s">
        <v>5867</v>
      </c>
      <c r="P2792" t="s">
        <v>4490</v>
      </c>
      <c r="Q2792">
        <v>-44.66</v>
      </c>
      <c r="R2792" t="s">
        <v>2721</v>
      </c>
      <c r="S2792">
        <v>0.94</v>
      </c>
      <c r="T2792">
        <v>12.51</v>
      </c>
      <c r="U2792" t="s">
        <v>3565</v>
      </c>
      <c r="V2792" t="s">
        <v>789</v>
      </c>
      <c r="W2792" t="s">
        <v>1255</v>
      </c>
      <c r="X2792">
        <v>0.33</v>
      </c>
      <c r="Y2792" t="s">
        <v>2542</v>
      </c>
      <c r="Z2792" t="s">
        <v>2291</v>
      </c>
      <c r="AA2792" t="s">
        <v>2387</v>
      </c>
      <c r="AB2792">
        <v>1.22</v>
      </c>
      <c r="AC2792" t="s">
        <v>2700</v>
      </c>
      <c r="AD2792">
        <v>52.86</v>
      </c>
      <c r="AE2792" t="s">
        <v>2693</v>
      </c>
      <c r="AF2792">
        <v>0.73</v>
      </c>
      <c r="AG2792">
        <v>0</v>
      </c>
      <c r="AH2792">
        <v>0</v>
      </c>
      <c r="AI2792" s="4">
        <v>34134</v>
      </c>
    </row>
    <row r="2793" spans="1:35">
      <c r="A2793">
        <v>2792</v>
      </c>
      <c r="B2793" t="str">
        <f>"600621"</f>
        <v>600621</v>
      </c>
      <c r="C2793" t="s">
        <v>12520</v>
      </c>
      <c r="D2793" s="4">
        <v>43190</v>
      </c>
      <c r="E2793" t="s">
        <v>521</v>
      </c>
      <c r="F2793" t="s">
        <v>2111</v>
      </c>
      <c r="G2793" t="s">
        <v>2125</v>
      </c>
      <c r="H2793">
        <v>0.02</v>
      </c>
      <c r="I2793">
        <v>6.16</v>
      </c>
      <c r="J2793">
        <v>0.33</v>
      </c>
      <c r="K2793" t="s">
        <v>296</v>
      </c>
      <c r="L2793">
        <v>-38.299999999999997</v>
      </c>
      <c r="M2793" t="s">
        <v>12521</v>
      </c>
      <c r="N2793" t="s">
        <v>8594</v>
      </c>
      <c r="O2793" t="s">
        <v>12522</v>
      </c>
      <c r="P2793" t="s">
        <v>5257</v>
      </c>
      <c r="Q2793">
        <v>-53.22</v>
      </c>
      <c r="R2793" t="s">
        <v>2700</v>
      </c>
      <c r="S2793">
        <v>3.07</v>
      </c>
      <c r="T2793">
        <v>35.74</v>
      </c>
      <c r="U2793" t="s">
        <v>1982</v>
      </c>
      <c r="V2793" t="s">
        <v>3912</v>
      </c>
      <c r="W2793" t="s">
        <v>10910</v>
      </c>
      <c r="X2793">
        <v>0.33</v>
      </c>
      <c r="Y2793" t="s">
        <v>404</v>
      </c>
      <c r="Z2793" t="s">
        <v>2987</v>
      </c>
      <c r="AA2793" t="s">
        <v>908</v>
      </c>
      <c r="AB2793">
        <v>1.7</v>
      </c>
      <c r="AC2793" t="s">
        <v>5445</v>
      </c>
      <c r="AD2793">
        <v>35.700000000000003</v>
      </c>
      <c r="AE2793" t="s">
        <v>510</v>
      </c>
      <c r="AF2793">
        <v>1.74</v>
      </c>
      <c r="AG2793">
        <v>0</v>
      </c>
      <c r="AH2793">
        <v>0</v>
      </c>
      <c r="AI2793" s="4">
        <v>33940</v>
      </c>
    </row>
    <row r="2794" spans="1:35">
      <c r="A2794">
        <v>2793</v>
      </c>
      <c r="B2794" t="str">
        <f>"600582"</f>
        <v>600582</v>
      </c>
      <c r="C2794" t="s">
        <v>12523</v>
      </c>
      <c r="D2794" s="4">
        <v>43190</v>
      </c>
      <c r="E2794" t="s">
        <v>1322</v>
      </c>
      <c r="F2794" t="s">
        <v>1322</v>
      </c>
      <c r="G2794" t="s">
        <v>12524</v>
      </c>
      <c r="H2794">
        <v>0.01</v>
      </c>
      <c r="I2794">
        <v>3.58</v>
      </c>
      <c r="J2794">
        <v>0.33</v>
      </c>
      <c r="K2794" t="s">
        <v>1350</v>
      </c>
      <c r="L2794">
        <v>46.58</v>
      </c>
      <c r="M2794" t="s">
        <v>600</v>
      </c>
      <c r="N2794" t="s">
        <v>12191</v>
      </c>
      <c r="O2794" t="s">
        <v>1525</v>
      </c>
      <c r="P2794" t="s">
        <v>6264</v>
      </c>
      <c r="Q2794">
        <v>326.93</v>
      </c>
      <c r="R2794" t="s">
        <v>4347</v>
      </c>
      <c r="S2794">
        <v>2.17</v>
      </c>
      <c r="T2794">
        <v>28.66</v>
      </c>
      <c r="U2794" t="s">
        <v>2334</v>
      </c>
      <c r="V2794" t="s">
        <v>1739</v>
      </c>
      <c r="W2794" t="s">
        <v>1677</v>
      </c>
      <c r="X2794">
        <v>0.33</v>
      </c>
      <c r="Y2794" t="s">
        <v>1751</v>
      </c>
      <c r="Z2794" t="s">
        <v>1465</v>
      </c>
      <c r="AA2794" t="s">
        <v>1443</v>
      </c>
      <c r="AB2794">
        <v>1.04</v>
      </c>
      <c r="AC2794" t="s">
        <v>3118</v>
      </c>
      <c r="AD2794">
        <v>41.7</v>
      </c>
      <c r="AE2794" t="s">
        <v>926</v>
      </c>
      <c r="AF2794">
        <v>0.31</v>
      </c>
      <c r="AG2794">
        <v>0</v>
      </c>
      <c r="AH2794">
        <v>0</v>
      </c>
      <c r="AI2794" s="4">
        <v>37391</v>
      </c>
    </row>
    <row r="2795" spans="1:35">
      <c r="A2795">
        <v>2794</v>
      </c>
      <c r="B2795" t="str">
        <f>"600199"</f>
        <v>600199</v>
      </c>
      <c r="C2795" t="s">
        <v>12525</v>
      </c>
      <c r="D2795" s="4">
        <v>43190</v>
      </c>
      <c r="E2795" t="s">
        <v>2392</v>
      </c>
      <c r="F2795" t="s">
        <v>2392</v>
      </c>
      <c r="G2795">
        <v>8169</v>
      </c>
      <c r="H2795">
        <v>0.01</v>
      </c>
      <c r="I2795">
        <v>4.0599999999999996</v>
      </c>
      <c r="J2795">
        <v>0.33</v>
      </c>
      <c r="K2795" t="s">
        <v>3297</v>
      </c>
      <c r="L2795">
        <v>-11.64</v>
      </c>
      <c r="M2795" t="s">
        <v>12273</v>
      </c>
      <c r="N2795">
        <v>0</v>
      </c>
      <c r="O2795" t="s">
        <v>6824</v>
      </c>
      <c r="P2795" t="s">
        <v>8415</v>
      </c>
      <c r="Q2795">
        <v>17.13</v>
      </c>
      <c r="R2795" t="s">
        <v>226</v>
      </c>
      <c r="S2795">
        <v>1.54</v>
      </c>
      <c r="T2795">
        <v>50.75</v>
      </c>
      <c r="U2795" t="s">
        <v>1345</v>
      </c>
      <c r="V2795" t="s">
        <v>980</v>
      </c>
      <c r="W2795" t="s">
        <v>2571</v>
      </c>
      <c r="X2795">
        <v>0.33</v>
      </c>
      <c r="Y2795" t="s">
        <v>353</v>
      </c>
      <c r="Z2795" t="s">
        <v>690</v>
      </c>
      <c r="AA2795" t="s">
        <v>505</v>
      </c>
      <c r="AB2795">
        <v>1.51</v>
      </c>
      <c r="AC2795" t="s">
        <v>565</v>
      </c>
      <c r="AD2795">
        <v>73.540000000000006</v>
      </c>
      <c r="AE2795" t="s">
        <v>5415</v>
      </c>
      <c r="AF2795">
        <v>1.26</v>
      </c>
      <c r="AG2795">
        <v>0</v>
      </c>
      <c r="AH2795">
        <v>0</v>
      </c>
      <c r="AI2795" s="4">
        <v>36019</v>
      </c>
    </row>
    <row r="2796" spans="1:35">
      <c r="A2796">
        <v>2795</v>
      </c>
      <c r="B2796" t="str">
        <f>"300202"</f>
        <v>300202</v>
      </c>
      <c r="C2796" t="s">
        <v>12526</v>
      </c>
      <c r="D2796" s="4">
        <v>43190</v>
      </c>
      <c r="E2796" t="s">
        <v>701</v>
      </c>
      <c r="F2796" t="s">
        <v>349</v>
      </c>
      <c r="G2796" t="s">
        <v>11001</v>
      </c>
      <c r="H2796">
        <v>0.01</v>
      </c>
      <c r="I2796">
        <v>3.16</v>
      </c>
      <c r="J2796">
        <v>0.33</v>
      </c>
      <c r="K2796" t="s">
        <v>1364</v>
      </c>
      <c r="L2796">
        <v>133.55000000000001</v>
      </c>
      <c r="M2796" t="s">
        <v>11987</v>
      </c>
      <c r="N2796" t="s">
        <v>12527</v>
      </c>
      <c r="O2796" t="s">
        <v>8368</v>
      </c>
      <c r="P2796" t="s">
        <v>10930</v>
      </c>
      <c r="Q2796">
        <v>-61.8</v>
      </c>
      <c r="R2796" t="s">
        <v>4514</v>
      </c>
      <c r="S2796">
        <v>1.68</v>
      </c>
      <c r="T2796">
        <v>19.5</v>
      </c>
      <c r="U2796" t="s">
        <v>774</v>
      </c>
      <c r="V2796" t="s">
        <v>516</v>
      </c>
      <c r="W2796" t="s">
        <v>3441</v>
      </c>
      <c r="X2796">
        <v>0.33</v>
      </c>
      <c r="Y2796" t="s">
        <v>1487</v>
      </c>
      <c r="Z2796" t="s">
        <v>845</v>
      </c>
      <c r="AA2796" t="s">
        <v>3238</v>
      </c>
      <c r="AB2796">
        <v>5.57</v>
      </c>
      <c r="AC2796" t="s">
        <v>303</v>
      </c>
      <c r="AD2796">
        <v>70.31</v>
      </c>
      <c r="AE2796" t="s">
        <v>372</v>
      </c>
      <c r="AF2796">
        <v>0.25</v>
      </c>
      <c r="AG2796">
        <v>0</v>
      </c>
      <c r="AH2796">
        <v>0</v>
      </c>
      <c r="AI2796" s="4">
        <v>40648</v>
      </c>
    </row>
    <row r="2797" spans="1:35">
      <c r="A2797">
        <v>2796</v>
      </c>
      <c r="B2797" t="str">
        <f>"002580"</f>
        <v>002580</v>
      </c>
      <c r="C2797" t="s">
        <v>12528</v>
      </c>
      <c r="D2797" s="4">
        <v>43190</v>
      </c>
      <c r="E2797" t="s">
        <v>1918</v>
      </c>
      <c r="F2797" t="s">
        <v>1810</v>
      </c>
      <c r="G2797">
        <v>8272</v>
      </c>
      <c r="H2797">
        <v>0.01</v>
      </c>
      <c r="I2797">
        <v>3.31</v>
      </c>
      <c r="J2797">
        <v>0.33</v>
      </c>
      <c r="K2797" t="s">
        <v>160</v>
      </c>
      <c r="L2797">
        <v>13.38</v>
      </c>
      <c r="M2797" t="s">
        <v>9725</v>
      </c>
      <c r="N2797">
        <v>0</v>
      </c>
      <c r="O2797" t="s">
        <v>10562</v>
      </c>
      <c r="P2797" t="s">
        <v>11302</v>
      </c>
      <c r="Q2797">
        <v>-38.89</v>
      </c>
      <c r="R2797" t="s">
        <v>2774</v>
      </c>
      <c r="S2797">
        <v>0.77</v>
      </c>
      <c r="T2797">
        <v>14.82</v>
      </c>
      <c r="U2797" t="s">
        <v>1000</v>
      </c>
      <c r="V2797" t="s">
        <v>624</v>
      </c>
      <c r="W2797" t="s">
        <v>806</v>
      </c>
      <c r="X2797">
        <v>0.33</v>
      </c>
      <c r="Y2797" t="s">
        <v>358</v>
      </c>
      <c r="Z2797" t="s">
        <v>1652</v>
      </c>
      <c r="AA2797" t="s">
        <v>1364</v>
      </c>
      <c r="AB2797">
        <v>1.4</v>
      </c>
      <c r="AC2797" t="s">
        <v>192</v>
      </c>
      <c r="AD2797">
        <v>58.63</v>
      </c>
      <c r="AE2797" t="s">
        <v>2587</v>
      </c>
      <c r="AF2797">
        <v>1.52</v>
      </c>
      <c r="AG2797">
        <v>0</v>
      </c>
      <c r="AH2797">
        <v>0</v>
      </c>
      <c r="AI2797" s="4">
        <v>40669</v>
      </c>
    </row>
    <row r="2798" spans="1:35">
      <c r="A2798">
        <v>2797</v>
      </c>
      <c r="B2798" t="str">
        <f>"002505"</f>
        <v>002505</v>
      </c>
      <c r="C2798" t="s">
        <v>12529</v>
      </c>
      <c r="D2798" s="4">
        <v>43190</v>
      </c>
      <c r="E2798" t="s">
        <v>1674</v>
      </c>
      <c r="F2798" t="s">
        <v>4799</v>
      </c>
      <c r="G2798" t="s">
        <v>3849</v>
      </c>
      <c r="H2798">
        <v>0</v>
      </c>
      <c r="I2798">
        <v>1.01</v>
      </c>
      <c r="J2798">
        <v>0.33</v>
      </c>
      <c r="K2798" t="s">
        <v>4558</v>
      </c>
      <c r="L2798">
        <v>-24.47</v>
      </c>
      <c r="M2798" t="s">
        <v>2948</v>
      </c>
      <c r="N2798" t="s">
        <v>12530</v>
      </c>
      <c r="O2798" t="s">
        <v>12531</v>
      </c>
      <c r="P2798" t="s">
        <v>7588</v>
      </c>
      <c r="Q2798">
        <v>-64.97</v>
      </c>
      <c r="R2798" t="s">
        <v>12532</v>
      </c>
      <c r="S2798">
        <v>-0.02</v>
      </c>
      <c r="T2798">
        <v>12.87</v>
      </c>
      <c r="U2798" t="s">
        <v>1550</v>
      </c>
      <c r="V2798" t="s">
        <v>1820</v>
      </c>
      <c r="W2798" t="s">
        <v>733</v>
      </c>
      <c r="X2798">
        <v>0.33</v>
      </c>
      <c r="Y2798" t="s">
        <v>815</v>
      </c>
      <c r="Z2798" t="s">
        <v>1656</v>
      </c>
      <c r="AA2798" t="s">
        <v>1213</v>
      </c>
      <c r="AB2798">
        <v>2.25</v>
      </c>
      <c r="AC2798" t="s">
        <v>799</v>
      </c>
      <c r="AD2798">
        <v>30.49</v>
      </c>
      <c r="AE2798" t="s">
        <v>134</v>
      </c>
      <c r="AF2798">
        <v>0.05</v>
      </c>
      <c r="AG2798">
        <v>0</v>
      </c>
      <c r="AH2798">
        <v>0</v>
      </c>
      <c r="AI2798" s="4">
        <v>40500</v>
      </c>
    </row>
    <row r="2799" spans="1:35">
      <c r="A2799">
        <v>2798</v>
      </c>
      <c r="B2799" t="str">
        <f>"002471"</f>
        <v>002471</v>
      </c>
      <c r="C2799" t="s">
        <v>12533</v>
      </c>
      <c r="D2799" s="4">
        <v>43190</v>
      </c>
      <c r="E2799" t="s">
        <v>1082</v>
      </c>
      <c r="F2799" t="s">
        <v>164</v>
      </c>
      <c r="G2799" t="s">
        <v>1862</v>
      </c>
      <c r="H2799">
        <v>0</v>
      </c>
      <c r="I2799">
        <v>1.48</v>
      </c>
      <c r="J2799">
        <v>0.33</v>
      </c>
      <c r="K2799" t="s">
        <v>173</v>
      </c>
      <c r="L2799">
        <v>23.2</v>
      </c>
      <c r="M2799" t="s">
        <v>10834</v>
      </c>
      <c r="N2799" t="s">
        <v>4346</v>
      </c>
      <c r="O2799" t="s">
        <v>12123</v>
      </c>
      <c r="P2799" t="s">
        <v>12214</v>
      </c>
      <c r="Q2799">
        <v>-42.73</v>
      </c>
      <c r="R2799" t="s">
        <v>1731</v>
      </c>
      <c r="S2799">
        <v>0.4</v>
      </c>
      <c r="T2799">
        <v>13.61</v>
      </c>
      <c r="U2799" t="s">
        <v>1411</v>
      </c>
      <c r="V2799" t="s">
        <v>1617</v>
      </c>
      <c r="W2799" t="s">
        <v>602</v>
      </c>
      <c r="X2799">
        <v>0.33</v>
      </c>
      <c r="Y2799" t="s">
        <v>3316</v>
      </c>
      <c r="Z2799" t="s">
        <v>4937</v>
      </c>
      <c r="AA2799" t="s">
        <v>4044</v>
      </c>
      <c r="AB2799">
        <v>2.08</v>
      </c>
      <c r="AC2799" t="s">
        <v>308</v>
      </c>
      <c r="AD2799">
        <v>20.49</v>
      </c>
      <c r="AE2799" t="s">
        <v>12534</v>
      </c>
      <c r="AF2799">
        <v>0.02</v>
      </c>
      <c r="AG2799">
        <v>0</v>
      </c>
      <c r="AH2799">
        <v>0</v>
      </c>
      <c r="AI2799" s="4">
        <v>40431</v>
      </c>
    </row>
    <row r="2800" spans="1:35">
      <c r="A2800">
        <v>2799</v>
      </c>
      <c r="B2800" t="str">
        <f>"002465"</f>
        <v>002465</v>
      </c>
      <c r="C2800" t="s">
        <v>12535</v>
      </c>
      <c r="D2800" s="4">
        <v>43190</v>
      </c>
      <c r="E2800" t="s">
        <v>1029</v>
      </c>
      <c r="F2800" t="s">
        <v>308</v>
      </c>
      <c r="G2800" t="s">
        <v>1763</v>
      </c>
      <c r="H2800">
        <v>0.01</v>
      </c>
      <c r="I2800">
        <v>3.46</v>
      </c>
      <c r="J2800">
        <v>0.33</v>
      </c>
      <c r="K2800" t="s">
        <v>3741</v>
      </c>
      <c r="L2800">
        <v>2.4500000000000002</v>
      </c>
      <c r="M2800" t="s">
        <v>12536</v>
      </c>
      <c r="N2800" t="s">
        <v>10539</v>
      </c>
      <c r="O2800" t="s">
        <v>12537</v>
      </c>
      <c r="P2800" t="s">
        <v>2847</v>
      </c>
      <c r="Q2800">
        <v>44.67</v>
      </c>
      <c r="R2800" t="s">
        <v>79</v>
      </c>
      <c r="S2800">
        <v>0.67</v>
      </c>
      <c r="T2800">
        <v>35.22</v>
      </c>
      <c r="U2800" t="s">
        <v>590</v>
      </c>
      <c r="V2800" t="s">
        <v>7055</v>
      </c>
      <c r="W2800" t="s">
        <v>1214</v>
      </c>
      <c r="X2800">
        <v>0.33</v>
      </c>
      <c r="Y2800" t="s">
        <v>1051</v>
      </c>
      <c r="Z2800" t="s">
        <v>2280</v>
      </c>
      <c r="AA2800" t="s">
        <v>3496</v>
      </c>
      <c r="AB2800">
        <v>2.11</v>
      </c>
      <c r="AC2800" t="s">
        <v>1514</v>
      </c>
      <c r="AD2800">
        <v>70.55</v>
      </c>
      <c r="AE2800" t="s">
        <v>3160</v>
      </c>
      <c r="AF2800">
        <v>1.66</v>
      </c>
      <c r="AG2800">
        <v>0</v>
      </c>
      <c r="AH2800">
        <v>0</v>
      </c>
      <c r="AI2800" s="4">
        <v>40421</v>
      </c>
    </row>
    <row r="2801" spans="1:35">
      <c r="A2801">
        <v>2800</v>
      </c>
      <c r="B2801" t="str">
        <f>"002307"</f>
        <v>002307</v>
      </c>
      <c r="C2801" t="s">
        <v>12538</v>
      </c>
      <c r="D2801" s="4">
        <v>43190</v>
      </c>
      <c r="E2801" t="s">
        <v>8311</v>
      </c>
      <c r="F2801" t="s">
        <v>299</v>
      </c>
      <c r="G2801">
        <v>6348</v>
      </c>
      <c r="H2801">
        <v>0.01</v>
      </c>
      <c r="I2801">
        <v>2.1</v>
      </c>
      <c r="J2801">
        <v>0.33</v>
      </c>
      <c r="K2801" t="s">
        <v>835</v>
      </c>
      <c r="L2801">
        <v>33.93</v>
      </c>
      <c r="M2801" t="s">
        <v>12539</v>
      </c>
      <c r="N2801" t="s">
        <v>1673</v>
      </c>
      <c r="O2801" t="s">
        <v>1975</v>
      </c>
      <c r="P2801" t="s">
        <v>2682</v>
      </c>
      <c r="Q2801">
        <v>28.78</v>
      </c>
      <c r="R2801" t="s">
        <v>133</v>
      </c>
      <c r="S2801">
        <v>0.44</v>
      </c>
      <c r="T2801">
        <v>11.87</v>
      </c>
      <c r="U2801" t="s">
        <v>838</v>
      </c>
      <c r="V2801" t="s">
        <v>315</v>
      </c>
      <c r="W2801" t="s">
        <v>1382</v>
      </c>
      <c r="X2801">
        <v>0.33</v>
      </c>
      <c r="Y2801" t="s">
        <v>1751</v>
      </c>
      <c r="Z2801" t="s">
        <v>2900</v>
      </c>
      <c r="AA2801" t="s">
        <v>1469</v>
      </c>
      <c r="AB2801">
        <v>2.68</v>
      </c>
      <c r="AC2801" t="s">
        <v>187</v>
      </c>
      <c r="AD2801">
        <v>9.5399999999999991</v>
      </c>
      <c r="AE2801" t="s">
        <v>544</v>
      </c>
      <c r="AF2801">
        <v>0.54</v>
      </c>
      <c r="AG2801">
        <v>0</v>
      </c>
      <c r="AH2801">
        <v>0</v>
      </c>
      <c r="AI2801" s="4">
        <v>40128</v>
      </c>
    </row>
    <row r="2802" spans="1:35">
      <c r="A2802">
        <v>2801</v>
      </c>
      <c r="B2802" t="str">
        <f>"600232"</f>
        <v>600232</v>
      </c>
      <c r="C2802" t="s">
        <v>12540</v>
      </c>
      <c r="D2802" s="4">
        <v>43190</v>
      </c>
      <c r="E2802" t="s">
        <v>340</v>
      </c>
      <c r="F2802" t="s">
        <v>340</v>
      </c>
      <c r="G2802" t="s">
        <v>4389</v>
      </c>
      <c r="H2802">
        <v>0.01</v>
      </c>
      <c r="I2802">
        <v>3.2</v>
      </c>
      <c r="J2802">
        <v>0.33</v>
      </c>
      <c r="K2802" t="s">
        <v>1999</v>
      </c>
      <c r="L2802">
        <v>15.94</v>
      </c>
      <c r="M2802" t="s">
        <v>7939</v>
      </c>
      <c r="N2802">
        <v>0</v>
      </c>
      <c r="O2802" t="s">
        <v>11183</v>
      </c>
      <c r="P2802" t="s">
        <v>2920</v>
      </c>
      <c r="Q2802">
        <v>-7.09</v>
      </c>
      <c r="R2802" t="s">
        <v>1184</v>
      </c>
      <c r="S2802">
        <v>0.79</v>
      </c>
      <c r="T2802">
        <v>12.66</v>
      </c>
      <c r="U2802" t="s">
        <v>757</v>
      </c>
      <c r="V2802" t="s">
        <v>926</v>
      </c>
      <c r="W2802" t="s">
        <v>137</v>
      </c>
      <c r="X2802">
        <v>0.33</v>
      </c>
      <c r="Y2802" t="s">
        <v>1058</v>
      </c>
      <c r="Z2802" t="s">
        <v>456</v>
      </c>
      <c r="AA2802" t="s">
        <v>1864</v>
      </c>
      <c r="AB2802">
        <v>1.83</v>
      </c>
      <c r="AC2802" t="s">
        <v>192</v>
      </c>
      <c r="AD2802">
        <v>65.02</v>
      </c>
      <c r="AE2802" t="s">
        <v>2915</v>
      </c>
      <c r="AF2802">
        <v>1.0900000000000001</v>
      </c>
      <c r="AG2802">
        <v>0</v>
      </c>
      <c r="AH2802">
        <v>0</v>
      </c>
      <c r="AI2802" s="4">
        <v>36679</v>
      </c>
    </row>
    <row r="2803" spans="1:35">
      <c r="A2803">
        <v>2802</v>
      </c>
      <c r="B2803" t="str">
        <f>"603536"</f>
        <v>603536</v>
      </c>
      <c r="C2803" t="s">
        <v>12541</v>
      </c>
      <c r="D2803" s="4">
        <v>43190</v>
      </c>
      <c r="E2803" t="s">
        <v>290</v>
      </c>
      <c r="F2803" t="s">
        <v>12542</v>
      </c>
      <c r="G2803">
        <v>4638</v>
      </c>
      <c r="H2803">
        <v>0.01</v>
      </c>
      <c r="I2803">
        <v>3.67</v>
      </c>
      <c r="J2803">
        <v>0.32</v>
      </c>
      <c r="K2803" t="s">
        <v>3332</v>
      </c>
      <c r="L2803">
        <v>16.149999999999999</v>
      </c>
      <c r="M2803" t="s">
        <v>12543</v>
      </c>
      <c r="N2803" t="s">
        <v>5386</v>
      </c>
      <c r="O2803" t="s">
        <v>5939</v>
      </c>
      <c r="P2803" t="s">
        <v>12415</v>
      </c>
      <c r="Q2803">
        <v>-71.150000000000006</v>
      </c>
      <c r="R2803" t="s">
        <v>1609</v>
      </c>
      <c r="S2803">
        <v>1.49</v>
      </c>
      <c r="T2803">
        <v>23.34</v>
      </c>
      <c r="U2803" t="s">
        <v>978</v>
      </c>
      <c r="V2803" t="s">
        <v>2811</v>
      </c>
      <c r="W2803" t="s">
        <v>196</v>
      </c>
      <c r="X2803">
        <v>0.32</v>
      </c>
      <c r="Y2803" t="s">
        <v>2098</v>
      </c>
      <c r="Z2803" t="s">
        <v>167</v>
      </c>
      <c r="AA2803" t="s">
        <v>12544</v>
      </c>
      <c r="AB2803">
        <v>2.58</v>
      </c>
      <c r="AC2803" t="s">
        <v>359</v>
      </c>
      <c r="AD2803">
        <v>62.49</v>
      </c>
      <c r="AE2803" t="s">
        <v>2733</v>
      </c>
      <c r="AF2803">
        <v>1.06</v>
      </c>
      <c r="AG2803">
        <v>0</v>
      </c>
      <c r="AH2803">
        <v>0</v>
      </c>
      <c r="AI2803" s="4">
        <v>42899</v>
      </c>
    </row>
    <row r="2804" spans="1:35">
      <c r="A2804">
        <v>2803</v>
      </c>
      <c r="B2804" t="str">
        <f>"600718"</f>
        <v>600718</v>
      </c>
      <c r="C2804" t="s">
        <v>12545</v>
      </c>
      <c r="D2804" s="4">
        <v>43190</v>
      </c>
      <c r="E2804" t="s">
        <v>548</v>
      </c>
      <c r="F2804" t="s">
        <v>548</v>
      </c>
      <c r="G2804" t="s">
        <v>1440</v>
      </c>
      <c r="H2804">
        <v>0.02</v>
      </c>
      <c r="I2804">
        <v>7.2</v>
      </c>
      <c r="J2804">
        <v>0.32</v>
      </c>
      <c r="K2804" t="s">
        <v>548</v>
      </c>
      <c r="L2804">
        <v>1.81</v>
      </c>
      <c r="M2804" t="s">
        <v>12546</v>
      </c>
      <c r="N2804" t="s">
        <v>12547</v>
      </c>
      <c r="O2804" t="s">
        <v>6060</v>
      </c>
      <c r="P2804" t="s">
        <v>8129</v>
      </c>
      <c r="Q2804">
        <v>1.17</v>
      </c>
      <c r="R2804" t="s">
        <v>2809</v>
      </c>
      <c r="S2804">
        <v>4.58</v>
      </c>
      <c r="T2804">
        <v>36.270000000000003</v>
      </c>
      <c r="U2804" t="s">
        <v>410</v>
      </c>
      <c r="V2804" t="s">
        <v>1316</v>
      </c>
      <c r="W2804" t="s">
        <v>747</v>
      </c>
      <c r="X2804">
        <v>0.32</v>
      </c>
      <c r="Y2804" t="s">
        <v>2028</v>
      </c>
      <c r="Z2804" t="s">
        <v>710</v>
      </c>
      <c r="AA2804" t="s">
        <v>2358</v>
      </c>
      <c r="AB2804">
        <v>1.75</v>
      </c>
      <c r="AC2804" t="s">
        <v>6574</v>
      </c>
      <c r="AD2804">
        <v>72.08</v>
      </c>
      <c r="AE2804" t="s">
        <v>1817</v>
      </c>
      <c r="AF2804">
        <v>0.76</v>
      </c>
      <c r="AG2804">
        <v>0</v>
      </c>
      <c r="AH2804">
        <v>0</v>
      </c>
      <c r="AI2804" s="4">
        <v>35234</v>
      </c>
    </row>
    <row r="2805" spans="1:35">
      <c r="A2805">
        <v>2804</v>
      </c>
      <c r="B2805" t="str">
        <f>"600094"</f>
        <v>600094</v>
      </c>
      <c r="C2805" t="s">
        <v>12548</v>
      </c>
      <c r="D2805" s="4">
        <v>43190</v>
      </c>
      <c r="E2805" t="s">
        <v>253</v>
      </c>
      <c r="F2805" t="s">
        <v>2291</v>
      </c>
      <c r="G2805">
        <v>0</v>
      </c>
      <c r="H2805">
        <v>0.02</v>
      </c>
      <c r="I2805">
        <v>4.75</v>
      </c>
      <c r="J2805">
        <v>0.32</v>
      </c>
      <c r="K2805" t="s">
        <v>162</v>
      </c>
      <c r="L2805">
        <v>64.19</v>
      </c>
      <c r="M2805" t="s">
        <v>5000</v>
      </c>
      <c r="N2805" t="s">
        <v>3970</v>
      </c>
      <c r="O2805" t="s">
        <v>6976</v>
      </c>
      <c r="P2805" t="s">
        <v>2425</v>
      </c>
      <c r="Q2805">
        <v>-86.52</v>
      </c>
      <c r="R2805" t="s">
        <v>273</v>
      </c>
      <c r="S2805">
        <v>1.26</v>
      </c>
      <c r="T2805">
        <v>38.630000000000003</v>
      </c>
      <c r="U2805" t="s">
        <v>12549</v>
      </c>
      <c r="V2805" t="s">
        <v>12550</v>
      </c>
      <c r="W2805" t="s">
        <v>3027</v>
      </c>
      <c r="X2805">
        <v>0.32</v>
      </c>
      <c r="Y2805" t="s">
        <v>5567</v>
      </c>
      <c r="Z2805" t="s">
        <v>784</v>
      </c>
      <c r="AA2805" t="s">
        <v>3129</v>
      </c>
      <c r="AB2805">
        <v>1.17</v>
      </c>
      <c r="AC2805" t="s">
        <v>399</v>
      </c>
      <c r="AD2805">
        <v>20.71</v>
      </c>
      <c r="AE2805" t="s">
        <v>1783</v>
      </c>
      <c r="AF2805">
        <v>2.36</v>
      </c>
      <c r="AG2805" t="s">
        <v>1264</v>
      </c>
      <c r="AH2805">
        <v>0</v>
      </c>
      <c r="AI2805" s="4">
        <v>35614</v>
      </c>
    </row>
    <row r="2806" spans="1:35">
      <c r="A2806">
        <v>2805</v>
      </c>
      <c r="B2806" t="str">
        <f>"300648"</f>
        <v>300648</v>
      </c>
      <c r="C2806" t="s">
        <v>12551</v>
      </c>
      <c r="D2806" s="4">
        <v>43190</v>
      </c>
      <c r="E2806" t="s">
        <v>1370</v>
      </c>
      <c r="F2806" t="s">
        <v>8021</v>
      </c>
      <c r="G2806">
        <v>2420</v>
      </c>
      <c r="H2806">
        <v>0.01</v>
      </c>
      <c r="I2806">
        <v>3.78</v>
      </c>
      <c r="J2806">
        <v>0.32</v>
      </c>
      <c r="K2806" t="s">
        <v>12552</v>
      </c>
      <c r="L2806">
        <v>20.79</v>
      </c>
      <c r="M2806" t="s">
        <v>5473</v>
      </c>
      <c r="N2806" t="s">
        <v>12553</v>
      </c>
      <c r="O2806" t="s">
        <v>5831</v>
      </c>
      <c r="P2806" t="s">
        <v>2075</v>
      </c>
      <c r="Q2806">
        <v>-70.849999999999994</v>
      </c>
      <c r="R2806" t="s">
        <v>84</v>
      </c>
      <c r="S2806">
        <v>0.99</v>
      </c>
      <c r="T2806">
        <v>47.17</v>
      </c>
      <c r="U2806" t="s">
        <v>1907</v>
      </c>
      <c r="V2806" t="s">
        <v>364</v>
      </c>
      <c r="W2806" t="s">
        <v>12554</v>
      </c>
      <c r="X2806">
        <v>0.32</v>
      </c>
      <c r="Y2806" t="s">
        <v>1626</v>
      </c>
      <c r="Z2806" t="s">
        <v>1626</v>
      </c>
      <c r="AA2806" t="s">
        <v>2234</v>
      </c>
      <c r="AB2806">
        <v>5.95</v>
      </c>
      <c r="AC2806" t="s">
        <v>2230</v>
      </c>
      <c r="AD2806">
        <v>81.12</v>
      </c>
      <c r="AE2806" t="s">
        <v>1402</v>
      </c>
      <c r="AF2806">
        <v>1.67</v>
      </c>
      <c r="AG2806">
        <v>0</v>
      </c>
      <c r="AH2806">
        <v>0</v>
      </c>
      <c r="AI2806" s="4">
        <v>42850</v>
      </c>
    </row>
    <row r="2807" spans="1:35">
      <c r="A2807">
        <v>2806</v>
      </c>
      <c r="B2807" t="str">
        <f>"300348"</f>
        <v>300348</v>
      </c>
      <c r="C2807" t="s">
        <v>12555</v>
      </c>
      <c r="D2807" s="4">
        <v>43190</v>
      </c>
      <c r="E2807" t="s">
        <v>1320</v>
      </c>
      <c r="F2807" t="s">
        <v>748</v>
      </c>
      <c r="G2807">
        <v>8025</v>
      </c>
      <c r="H2807">
        <v>0.01</v>
      </c>
      <c r="I2807">
        <v>4.04</v>
      </c>
      <c r="J2807">
        <v>0.32</v>
      </c>
      <c r="K2807" t="s">
        <v>610</v>
      </c>
      <c r="L2807">
        <v>22.39</v>
      </c>
      <c r="M2807" t="s">
        <v>10143</v>
      </c>
      <c r="N2807" t="s">
        <v>12113</v>
      </c>
      <c r="O2807" t="s">
        <v>8604</v>
      </c>
      <c r="P2807" t="s">
        <v>7276</v>
      </c>
      <c r="Q2807">
        <v>305.44</v>
      </c>
      <c r="R2807" t="s">
        <v>535</v>
      </c>
      <c r="S2807">
        <v>0.92</v>
      </c>
      <c r="T2807">
        <v>53.64</v>
      </c>
      <c r="U2807" t="s">
        <v>584</v>
      </c>
      <c r="V2807" t="s">
        <v>5598</v>
      </c>
      <c r="W2807" t="s">
        <v>1905</v>
      </c>
      <c r="X2807">
        <v>0.32</v>
      </c>
      <c r="Y2807" t="s">
        <v>1035</v>
      </c>
      <c r="Z2807" t="s">
        <v>2507</v>
      </c>
      <c r="AA2807" t="s">
        <v>12445</v>
      </c>
      <c r="AB2807">
        <v>5.94</v>
      </c>
      <c r="AC2807" t="s">
        <v>699</v>
      </c>
      <c r="AD2807">
        <v>73.959999999999994</v>
      </c>
      <c r="AE2807" t="s">
        <v>364</v>
      </c>
      <c r="AF2807">
        <v>2.09</v>
      </c>
      <c r="AG2807">
        <v>0</v>
      </c>
      <c r="AH2807">
        <v>0</v>
      </c>
      <c r="AI2807" s="4">
        <v>41138</v>
      </c>
    </row>
    <row r="2808" spans="1:35">
      <c r="A2808">
        <v>2807</v>
      </c>
      <c r="B2808" t="str">
        <f>"300010"</f>
        <v>300010</v>
      </c>
      <c r="C2808" t="s">
        <v>12556</v>
      </c>
      <c r="D2808" s="4">
        <v>43190</v>
      </c>
      <c r="E2808" t="s">
        <v>3145</v>
      </c>
      <c r="F2808" t="s">
        <v>1714</v>
      </c>
      <c r="G2808" t="s">
        <v>2135</v>
      </c>
      <c r="H2808">
        <v>0.02</v>
      </c>
      <c r="I2808">
        <v>6.3</v>
      </c>
      <c r="J2808">
        <v>0.32</v>
      </c>
      <c r="K2808" t="s">
        <v>726</v>
      </c>
      <c r="L2808">
        <v>-15.73</v>
      </c>
      <c r="M2808" t="s">
        <v>11358</v>
      </c>
      <c r="N2808" t="s">
        <v>271</v>
      </c>
      <c r="O2808" t="s">
        <v>3039</v>
      </c>
      <c r="P2808" t="s">
        <v>6359</v>
      </c>
      <c r="Q2808">
        <v>-25.4</v>
      </c>
      <c r="R2808" t="s">
        <v>519</v>
      </c>
      <c r="S2808">
        <v>0.99</v>
      </c>
      <c r="T2808">
        <v>44.98</v>
      </c>
      <c r="U2808" t="s">
        <v>2388</v>
      </c>
      <c r="V2808" t="s">
        <v>1285</v>
      </c>
      <c r="W2808" t="s">
        <v>2102</v>
      </c>
      <c r="X2808">
        <v>0.32</v>
      </c>
      <c r="Y2808" t="s">
        <v>2100</v>
      </c>
      <c r="Z2808" t="s">
        <v>516</v>
      </c>
      <c r="AA2808" t="s">
        <v>3157</v>
      </c>
      <c r="AB2808">
        <v>1.8</v>
      </c>
      <c r="AC2808" t="s">
        <v>2287</v>
      </c>
      <c r="AD2808">
        <v>65.989999999999995</v>
      </c>
      <c r="AE2808" t="s">
        <v>1211</v>
      </c>
      <c r="AF2808">
        <v>4.33</v>
      </c>
      <c r="AG2808">
        <v>0</v>
      </c>
      <c r="AH2808">
        <v>0</v>
      </c>
      <c r="AI2808" s="4">
        <v>40116</v>
      </c>
    </row>
    <row r="2809" spans="1:35">
      <c r="A2809">
        <v>2808</v>
      </c>
      <c r="B2809" t="str">
        <f>"601872"</f>
        <v>601872</v>
      </c>
      <c r="C2809" t="s">
        <v>12557</v>
      </c>
      <c r="D2809" s="4">
        <v>43190</v>
      </c>
      <c r="E2809" t="s">
        <v>1494</v>
      </c>
      <c r="F2809" t="s">
        <v>3887</v>
      </c>
      <c r="G2809" t="s">
        <v>2097</v>
      </c>
      <c r="H2809">
        <v>0.01</v>
      </c>
      <c r="I2809">
        <v>2.79</v>
      </c>
      <c r="J2809">
        <v>0.31</v>
      </c>
      <c r="K2809" t="s">
        <v>624</v>
      </c>
      <c r="L2809">
        <v>-21</v>
      </c>
      <c r="M2809" t="s">
        <v>1873</v>
      </c>
      <c r="N2809" t="s">
        <v>9112</v>
      </c>
      <c r="O2809" t="s">
        <v>4221</v>
      </c>
      <c r="P2809" t="s">
        <v>3001</v>
      </c>
      <c r="Q2809">
        <v>-84.39</v>
      </c>
      <c r="R2809" t="s">
        <v>884</v>
      </c>
      <c r="S2809">
        <v>0.64</v>
      </c>
      <c r="T2809">
        <v>10.61</v>
      </c>
      <c r="U2809" t="s">
        <v>7613</v>
      </c>
      <c r="V2809" t="s">
        <v>2832</v>
      </c>
      <c r="W2809" t="s">
        <v>2543</v>
      </c>
      <c r="X2809">
        <v>0.31</v>
      </c>
      <c r="Y2809" t="s">
        <v>962</v>
      </c>
      <c r="Z2809" t="s">
        <v>3243</v>
      </c>
      <c r="AA2809" t="s">
        <v>466</v>
      </c>
      <c r="AB2809">
        <v>1.23</v>
      </c>
      <c r="AC2809" t="s">
        <v>899</v>
      </c>
      <c r="AD2809">
        <v>39.9</v>
      </c>
      <c r="AE2809" t="s">
        <v>2832</v>
      </c>
      <c r="AF2809">
        <v>1.39</v>
      </c>
      <c r="AG2809">
        <v>0</v>
      </c>
      <c r="AH2809">
        <v>0</v>
      </c>
      <c r="AI2809" s="4">
        <v>39052</v>
      </c>
    </row>
    <row r="2810" spans="1:35">
      <c r="A2810">
        <v>2809</v>
      </c>
      <c r="B2810" t="str">
        <f>"600747"</f>
        <v>600747</v>
      </c>
      <c r="C2810" t="s">
        <v>12558</v>
      </c>
      <c r="D2810" s="4">
        <v>43190</v>
      </c>
      <c r="E2810" t="s">
        <v>584</v>
      </c>
      <c r="F2810" t="s">
        <v>521</v>
      </c>
      <c r="G2810" t="s">
        <v>4294</v>
      </c>
      <c r="H2810">
        <v>0</v>
      </c>
      <c r="I2810">
        <v>1.35</v>
      </c>
      <c r="J2810">
        <v>0.31</v>
      </c>
      <c r="K2810" t="s">
        <v>12559</v>
      </c>
      <c r="L2810">
        <v>2.8</v>
      </c>
      <c r="M2810" t="s">
        <v>12560</v>
      </c>
      <c r="N2810" t="s">
        <v>12561</v>
      </c>
      <c r="O2810" t="s">
        <v>10454</v>
      </c>
      <c r="P2810" t="s">
        <v>11672</v>
      </c>
      <c r="Q2810">
        <v>164.95</v>
      </c>
      <c r="R2810" t="s">
        <v>11855</v>
      </c>
      <c r="S2810">
        <v>-0.4</v>
      </c>
      <c r="T2810">
        <v>11.19</v>
      </c>
      <c r="U2810" t="s">
        <v>1213</v>
      </c>
      <c r="V2810" t="s">
        <v>261</v>
      </c>
      <c r="W2810" t="s">
        <v>10919</v>
      </c>
      <c r="X2810">
        <v>0.31</v>
      </c>
      <c r="Y2810" t="s">
        <v>48</v>
      </c>
      <c r="Z2810" t="s">
        <v>267</v>
      </c>
      <c r="AA2810" t="s">
        <v>9780</v>
      </c>
      <c r="AB2810">
        <v>1.1399999999999999</v>
      </c>
      <c r="AC2810" t="s">
        <v>691</v>
      </c>
      <c r="AD2810">
        <v>82.43</v>
      </c>
      <c r="AE2810" t="s">
        <v>2329</v>
      </c>
      <c r="AF2810">
        <v>0.68</v>
      </c>
      <c r="AG2810">
        <v>0</v>
      </c>
      <c r="AH2810">
        <v>0</v>
      </c>
      <c r="AI2810" s="4">
        <v>35324</v>
      </c>
    </row>
    <row r="2811" spans="1:35">
      <c r="A2811">
        <v>2810</v>
      </c>
      <c r="B2811" t="str">
        <f>"002760"</f>
        <v>002760</v>
      </c>
      <c r="C2811" t="s">
        <v>12562</v>
      </c>
      <c r="D2811" s="4">
        <v>43190</v>
      </c>
      <c r="E2811" t="s">
        <v>4121</v>
      </c>
      <c r="F2811" t="s">
        <v>9922</v>
      </c>
      <c r="G2811">
        <v>3161</v>
      </c>
      <c r="H2811">
        <v>0.02</v>
      </c>
      <c r="I2811">
        <v>5.5</v>
      </c>
      <c r="J2811">
        <v>0.31</v>
      </c>
      <c r="K2811" t="s">
        <v>1119</v>
      </c>
      <c r="L2811">
        <v>9.7899999999999991</v>
      </c>
      <c r="M2811" t="s">
        <v>5353</v>
      </c>
      <c r="N2811" t="s">
        <v>3836</v>
      </c>
      <c r="O2811" t="s">
        <v>4977</v>
      </c>
      <c r="P2811" t="s">
        <v>3524</v>
      </c>
      <c r="Q2811">
        <v>137.77000000000001</v>
      </c>
      <c r="R2811" t="s">
        <v>1038</v>
      </c>
      <c r="S2811">
        <v>1.46</v>
      </c>
      <c r="T2811">
        <v>16.61</v>
      </c>
      <c r="U2811" t="s">
        <v>1709</v>
      </c>
      <c r="V2811" t="s">
        <v>3027</v>
      </c>
      <c r="W2811" t="s">
        <v>1035</v>
      </c>
      <c r="X2811">
        <v>0.31</v>
      </c>
      <c r="Y2811" t="s">
        <v>104</v>
      </c>
      <c r="Z2811" t="s">
        <v>603</v>
      </c>
      <c r="AA2811" t="s">
        <v>94</v>
      </c>
      <c r="AB2811">
        <v>2.79</v>
      </c>
      <c r="AC2811" t="s">
        <v>616</v>
      </c>
      <c r="AD2811">
        <v>53.78</v>
      </c>
      <c r="AE2811" t="s">
        <v>669</v>
      </c>
      <c r="AF2811">
        <v>2.69</v>
      </c>
      <c r="AG2811">
        <v>0</v>
      </c>
      <c r="AH2811">
        <v>0</v>
      </c>
      <c r="AI2811" s="4">
        <v>42166</v>
      </c>
    </row>
    <row r="2812" spans="1:35">
      <c r="A2812">
        <v>2811</v>
      </c>
      <c r="B2812" t="str">
        <f>"600072"</f>
        <v>600072</v>
      </c>
      <c r="C2812" t="s">
        <v>12563</v>
      </c>
      <c r="D2812" s="4">
        <v>43190</v>
      </c>
      <c r="E2812" t="s">
        <v>2194</v>
      </c>
      <c r="F2812" t="s">
        <v>3368</v>
      </c>
      <c r="G2812">
        <v>6942</v>
      </c>
      <c r="H2812">
        <v>0.02</v>
      </c>
      <c r="I2812">
        <v>4.9800000000000004</v>
      </c>
      <c r="J2812">
        <v>0.3</v>
      </c>
      <c r="K2812" t="s">
        <v>1502</v>
      </c>
      <c r="L2812">
        <v>-11.38</v>
      </c>
      <c r="M2812" t="s">
        <v>12154</v>
      </c>
      <c r="N2812" t="s">
        <v>4221</v>
      </c>
      <c r="O2812" t="s">
        <v>12126</v>
      </c>
      <c r="P2812" t="s">
        <v>11511</v>
      </c>
      <c r="Q2812">
        <v>245.58</v>
      </c>
      <c r="R2812" t="s">
        <v>91</v>
      </c>
      <c r="S2812">
        <v>0.38</v>
      </c>
      <c r="T2812">
        <v>11.74</v>
      </c>
      <c r="U2812" t="s">
        <v>2066</v>
      </c>
      <c r="V2812" t="s">
        <v>2300</v>
      </c>
      <c r="W2812" t="s">
        <v>2468</v>
      </c>
      <c r="X2812">
        <v>0.3</v>
      </c>
      <c r="Y2812" t="s">
        <v>2795</v>
      </c>
      <c r="Z2812" t="s">
        <v>3016</v>
      </c>
      <c r="AA2812" t="s">
        <v>1294</v>
      </c>
      <c r="AB2812">
        <v>1.82</v>
      </c>
      <c r="AC2812" t="s">
        <v>1314</v>
      </c>
      <c r="AD2812">
        <v>33.380000000000003</v>
      </c>
      <c r="AE2812" t="s">
        <v>352</v>
      </c>
      <c r="AF2812">
        <v>3.31</v>
      </c>
      <c r="AG2812">
        <v>0</v>
      </c>
      <c r="AH2812">
        <v>0</v>
      </c>
      <c r="AI2812" s="4">
        <v>35584</v>
      </c>
    </row>
    <row r="2813" spans="1:35">
      <c r="A2813">
        <v>2812</v>
      </c>
      <c r="B2813" t="str">
        <f>"600058"</f>
        <v>600058</v>
      </c>
      <c r="C2813" t="s">
        <v>12564</v>
      </c>
      <c r="D2813" s="4">
        <v>43190</v>
      </c>
      <c r="E2813" t="s">
        <v>295</v>
      </c>
      <c r="F2813" t="s">
        <v>295</v>
      </c>
      <c r="G2813" t="s">
        <v>606</v>
      </c>
      <c r="H2813">
        <v>0.02</v>
      </c>
      <c r="I2813">
        <v>4.72</v>
      </c>
      <c r="J2813">
        <v>0.3</v>
      </c>
      <c r="K2813" t="s">
        <v>525</v>
      </c>
      <c r="L2813">
        <v>-6.2</v>
      </c>
      <c r="M2813" t="s">
        <v>7057</v>
      </c>
      <c r="N2813" t="s">
        <v>12565</v>
      </c>
      <c r="O2813" t="s">
        <v>7975</v>
      </c>
      <c r="P2813" t="s">
        <v>11592</v>
      </c>
      <c r="Q2813">
        <v>144.72999999999999</v>
      </c>
      <c r="R2813" t="s">
        <v>172</v>
      </c>
      <c r="S2813">
        <v>-1.0900000000000001</v>
      </c>
      <c r="T2813">
        <v>3.56</v>
      </c>
      <c r="U2813" t="s">
        <v>3748</v>
      </c>
      <c r="V2813" t="s">
        <v>2599</v>
      </c>
      <c r="W2813" t="s">
        <v>1025</v>
      </c>
      <c r="X2813">
        <v>0.3</v>
      </c>
      <c r="Y2813" t="s">
        <v>1251</v>
      </c>
      <c r="Z2813" t="s">
        <v>814</v>
      </c>
      <c r="AA2813" t="s">
        <v>1035</v>
      </c>
      <c r="AB2813">
        <v>1.76</v>
      </c>
      <c r="AC2813" t="s">
        <v>1172</v>
      </c>
      <c r="AD2813">
        <v>30.87</v>
      </c>
      <c r="AE2813" t="s">
        <v>1583</v>
      </c>
      <c r="AF2813">
        <v>3.9</v>
      </c>
      <c r="AG2813">
        <v>0</v>
      </c>
      <c r="AH2813">
        <v>0</v>
      </c>
      <c r="AI2813" s="4">
        <v>35578</v>
      </c>
    </row>
    <row r="2814" spans="1:35">
      <c r="A2814">
        <v>2813</v>
      </c>
      <c r="B2814" t="str">
        <f>"603313"</f>
        <v>603313</v>
      </c>
      <c r="C2814" t="s">
        <v>12566</v>
      </c>
      <c r="D2814" s="4">
        <v>43190</v>
      </c>
      <c r="E2814" t="s">
        <v>94</v>
      </c>
      <c r="F2814" t="s">
        <v>12567</v>
      </c>
      <c r="G2814">
        <v>3633</v>
      </c>
      <c r="H2814">
        <v>0.02</v>
      </c>
      <c r="I2814">
        <v>6.39</v>
      </c>
      <c r="J2814">
        <v>0.3</v>
      </c>
      <c r="K2814" t="s">
        <v>2674</v>
      </c>
      <c r="L2814">
        <v>26.95</v>
      </c>
      <c r="M2814" t="s">
        <v>7743</v>
      </c>
      <c r="N2814" t="s">
        <v>7681</v>
      </c>
      <c r="O2814" t="s">
        <v>3855</v>
      </c>
      <c r="P2814" t="s">
        <v>11252</v>
      </c>
      <c r="Q2814">
        <v>-93.21</v>
      </c>
      <c r="R2814" t="s">
        <v>144</v>
      </c>
      <c r="S2814">
        <v>1.35</v>
      </c>
      <c r="T2814">
        <v>24.9</v>
      </c>
      <c r="U2814" t="s">
        <v>1449</v>
      </c>
      <c r="V2814" t="s">
        <v>1307</v>
      </c>
      <c r="W2814" t="s">
        <v>944</v>
      </c>
      <c r="X2814">
        <v>0.3</v>
      </c>
      <c r="Y2814" t="s">
        <v>3196</v>
      </c>
      <c r="Z2814" t="s">
        <v>5203</v>
      </c>
      <c r="AA2814" t="s">
        <v>12568</v>
      </c>
      <c r="AB2814">
        <v>3.01</v>
      </c>
      <c r="AC2814" t="s">
        <v>391</v>
      </c>
      <c r="AD2814">
        <v>67.78</v>
      </c>
      <c r="AE2814" t="s">
        <v>1589</v>
      </c>
      <c r="AF2814">
        <v>3.71</v>
      </c>
      <c r="AG2814">
        <v>0</v>
      </c>
      <c r="AH2814">
        <v>0</v>
      </c>
      <c r="AI2814" s="4">
        <v>42656</v>
      </c>
    </row>
    <row r="2815" spans="1:35">
      <c r="A2815">
        <v>2814</v>
      </c>
      <c r="B2815" t="str">
        <f>"603089"</f>
        <v>603089</v>
      </c>
      <c r="C2815" t="s">
        <v>12569</v>
      </c>
      <c r="D2815" s="4">
        <v>43190</v>
      </c>
      <c r="E2815" t="s">
        <v>1459</v>
      </c>
      <c r="F2815" t="s">
        <v>3943</v>
      </c>
      <c r="G2815">
        <v>2833</v>
      </c>
      <c r="H2815">
        <v>0.02</v>
      </c>
      <c r="I2815">
        <v>6.38</v>
      </c>
      <c r="J2815">
        <v>0.3</v>
      </c>
      <c r="K2815" t="s">
        <v>293</v>
      </c>
      <c r="L2815">
        <v>7.25</v>
      </c>
      <c r="M2815" t="s">
        <v>4710</v>
      </c>
      <c r="N2815" t="s">
        <v>12570</v>
      </c>
      <c r="O2815" t="s">
        <v>8170</v>
      </c>
      <c r="P2815" t="s">
        <v>596</v>
      </c>
      <c r="Q2815">
        <v>-90.87</v>
      </c>
      <c r="R2815" t="s">
        <v>1435</v>
      </c>
      <c r="S2815">
        <v>1.79</v>
      </c>
      <c r="T2815">
        <v>19.600000000000001</v>
      </c>
      <c r="U2815" t="s">
        <v>895</v>
      </c>
      <c r="V2815" t="s">
        <v>3196</v>
      </c>
      <c r="W2815" t="s">
        <v>505</v>
      </c>
      <c r="X2815">
        <v>0.3</v>
      </c>
      <c r="Y2815" t="s">
        <v>286</v>
      </c>
      <c r="Z2815" t="s">
        <v>1664</v>
      </c>
      <c r="AA2815" t="s">
        <v>4644</v>
      </c>
      <c r="AB2815">
        <v>3.46</v>
      </c>
      <c r="AC2815" t="s">
        <v>2454</v>
      </c>
      <c r="AD2815">
        <v>71.08</v>
      </c>
      <c r="AE2815" t="s">
        <v>2041</v>
      </c>
      <c r="AF2815">
        <v>3.23</v>
      </c>
      <c r="AG2815">
        <v>0</v>
      </c>
      <c r="AH2815">
        <v>0</v>
      </c>
      <c r="AI2815" s="4">
        <v>42761</v>
      </c>
    </row>
    <row r="2816" spans="1:35">
      <c r="A2816">
        <v>2815</v>
      </c>
      <c r="B2816" t="str">
        <f>"600894"</f>
        <v>600894</v>
      </c>
      <c r="C2816" t="s">
        <v>12571</v>
      </c>
      <c r="D2816" s="4">
        <v>43190</v>
      </c>
      <c r="E2816" t="s">
        <v>2683</v>
      </c>
      <c r="F2816" t="s">
        <v>2683</v>
      </c>
      <c r="G2816" t="s">
        <v>9012</v>
      </c>
      <c r="H2816">
        <v>0.02</v>
      </c>
      <c r="I2816">
        <v>7.82</v>
      </c>
      <c r="J2816">
        <v>0.3</v>
      </c>
      <c r="K2816" t="s">
        <v>978</v>
      </c>
      <c r="L2816">
        <v>15.3</v>
      </c>
      <c r="M2816" t="s">
        <v>12572</v>
      </c>
      <c r="N2816" t="s">
        <v>12573</v>
      </c>
      <c r="O2816" t="s">
        <v>9204</v>
      </c>
      <c r="P2816" t="s">
        <v>2820</v>
      </c>
      <c r="Q2816">
        <v>-78.92</v>
      </c>
      <c r="R2816" t="s">
        <v>733</v>
      </c>
      <c r="S2816">
        <v>3.57</v>
      </c>
      <c r="T2816">
        <v>13.17</v>
      </c>
      <c r="U2816" t="s">
        <v>2668</v>
      </c>
      <c r="V2816" t="s">
        <v>3571</v>
      </c>
      <c r="W2816" t="s">
        <v>405</v>
      </c>
      <c r="X2816">
        <v>0.3</v>
      </c>
      <c r="Y2816" t="s">
        <v>516</v>
      </c>
      <c r="Z2816" t="s">
        <v>980</v>
      </c>
      <c r="AA2816" t="s">
        <v>11924</v>
      </c>
      <c r="AB2816">
        <v>0.76</v>
      </c>
      <c r="AC2816" t="s">
        <v>4239</v>
      </c>
      <c r="AD2816">
        <v>76.72</v>
      </c>
      <c r="AE2816" t="s">
        <v>352</v>
      </c>
      <c r="AF2816">
        <v>2.84</v>
      </c>
      <c r="AG2816">
        <v>0</v>
      </c>
      <c r="AH2816">
        <v>0</v>
      </c>
      <c r="AI2816" s="4">
        <v>35152</v>
      </c>
    </row>
    <row r="2817" spans="1:35">
      <c r="A2817">
        <v>2816</v>
      </c>
      <c r="B2817" t="str">
        <f>"600844"</f>
        <v>600844</v>
      </c>
      <c r="C2817" t="s">
        <v>12574</v>
      </c>
      <c r="D2817" s="4">
        <v>43190</v>
      </c>
      <c r="E2817" t="s">
        <v>1496</v>
      </c>
      <c r="F2817" t="s">
        <v>6799</v>
      </c>
      <c r="G2817">
        <v>0</v>
      </c>
      <c r="H2817">
        <v>0.01</v>
      </c>
      <c r="I2817">
        <v>2.09</v>
      </c>
      <c r="J2817">
        <v>0.3</v>
      </c>
      <c r="K2817" t="s">
        <v>265</v>
      </c>
      <c r="L2817">
        <v>16.010000000000002</v>
      </c>
      <c r="M2817" t="s">
        <v>6934</v>
      </c>
      <c r="N2817" t="s">
        <v>12575</v>
      </c>
      <c r="O2817" t="s">
        <v>2928</v>
      </c>
      <c r="P2817" t="s">
        <v>10194</v>
      </c>
      <c r="Q2817">
        <v>-85.42</v>
      </c>
      <c r="R2817" t="s">
        <v>12576</v>
      </c>
      <c r="S2817">
        <v>-0.69</v>
      </c>
      <c r="T2817">
        <v>19.079999999999998</v>
      </c>
      <c r="U2817" t="s">
        <v>1225</v>
      </c>
      <c r="V2817" t="s">
        <v>1212</v>
      </c>
      <c r="W2817" t="s">
        <v>244</v>
      </c>
      <c r="X2817">
        <v>0.3</v>
      </c>
      <c r="Y2817" t="s">
        <v>2648</v>
      </c>
      <c r="Z2817" t="s">
        <v>889</v>
      </c>
      <c r="AA2817" t="s">
        <v>12577</v>
      </c>
      <c r="AB2817">
        <v>2.56</v>
      </c>
      <c r="AC2817" t="s">
        <v>514</v>
      </c>
      <c r="AD2817">
        <v>60.56</v>
      </c>
      <c r="AE2817" t="s">
        <v>775</v>
      </c>
      <c r="AF2817">
        <v>1.73</v>
      </c>
      <c r="AG2817" t="s">
        <v>3332</v>
      </c>
      <c r="AH2817">
        <v>0</v>
      </c>
      <c r="AI2817" s="4">
        <v>34404</v>
      </c>
    </row>
    <row r="2818" spans="1:35">
      <c r="A2818">
        <v>2817</v>
      </c>
      <c r="B2818" t="str">
        <f>"300703"</f>
        <v>300703</v>
      </c>
      <c r="C2818" t="s">
        <v>12578</v>
      </c>
      <c r="D2818" s="4">
        <v>43190</v>
      </c>
      <c r="E2818" t="s">
        <v>280</v>
      </c>
      <c r="F2818" t="s">
        <v>482</v>
      </c>
      <c r="G2818">
        <v>1344</v>
      </c>
      <c r="H2818">
        <v>0.01</v>
      </c>
      <c r="I2818">
        <v>4.6399999999999997</v>
      </c>
      <c r="J2818">
        <v>0.3</v>
      </c>
      <c r="K2818" t="s">
        <v>326</v>
      </c>
      <c r="L2818">
        <v>-2.37</v>
      </c>
      <c r="M2818" t="s">
        <v>4029</v>
      </c>
      <c r="N2818" t="s">
        <v>5558</v>
      </c>
      <c r="O2818" t="s">
        <v>12579</v>
      </c>
      <c r="P2818" t="s">
        <v>7443</v>
      </c>
      <c r="Q2818">
        <v>-89.87</v>
      </c>
      <c r="R2818" t="s">
        <v>443</v>
      </c>
      <c r="S2818">
        <v>0.69</v>
      </c>
      <c r="T2818">
        <v>28.85</v>
      </c>
      <c r="U2818" t="s">
        <v>515</v>
      </c>
      <c r="V2818" t="s">
        <v>2490</v>
      </c>
      <c r="W2818" t="s">
        <v>290</v>
      </c>
      <c r="X2818">
        <v>0.3</v>
      </c>
      <c r="Y2818" t="s">
        <v>255</v>
      </c>
      <c r="Z2818" t="s">
        <v>1366</v>
      </c>
      <c r="AA2818" t="s">
        <v>8088</v>
      </c>
      <c r="AB2818">
        <v>4.2</v>
      </c>
      <c r="AC2818" t="s">
        <v>6809</v>
      </c>
      <c r="AD2818">
        <v>75.180000000000007</v>
      </c>
      <c r="AE2818" t="s">
        <v>137</v>
      </c>
      <c r="AF2818">
        <v>2.81</v>
      </c>
      <c r="AG2818">
        <v>0</v>
      </c>
      <c r="AH2818">
        <v>0</v>
      </c>
      <c r="AI2818" s="4">
        <v>42997</v>
      </c>
    </row>
    <row r="2819" spans="1:35">
      <c r="A2819">
        <v>2818</v>
      </c>
      <c r="B2819" t="str">
        <f>"002683"</f>
        <v>002683</v>
      </c>
      <c r="C2819" t="s">
        <v>12580</v>
      </c>
      <c r="D2819" s="4">
        <v>43190</v>
      </c>
      <c r="E2819" t="s">
        <v>5415</v>
      </c>
      <c r="F2819" t="s">
        <v>1056</v>
      </c>
      <c r="G2819" t="s">
        <v>2511</v>
      </c>
      <c r="H2819">
        <v>0.01</v>
      </c>
      <c r="I2819">
        <v>4.18</v>
      </c>
      <c r="J2819">
        <v>0.3</v>
      </c>
      <c r="K2819" t="s">
        <v>3894</v>
      </c>
      <c r="L2819">
        <v>19.100000000000001</v>
      </c>
      <c r="M2819" t="s">
        <v>5582</v>
      </c>
      <c r="N2819" t="s">
        <v>2793</v>
      </c>
      <c r="O2819" t="s">
        <v>11525</v>
      </c>
      <c r="P2819" t="s">
        <v>12581</v>
      </c>
      <c r="Q2819">
        <v>-4.21</v>
      </c>
      <c r="R2819" t="s">
        <v>1849</v>
      </c>
      <c r="S2819">
        <v>0.81</v>
      </c>
      <c r="T2819">
        <v>17.25</v>
      </c>
      <c r="U2819" t="s">
        <v>1878</v>
      </c>
      <c r="V2819" t="s">
        <v>2283</v>
      </c>
      <c r="W2819" t="s">
        <v>295</v>
      </c>
      <c r="X2819">
        <v>0.3</v>
      </c>
      <c r="Y2819" t="s">
        <v>1313</v>
      </c>
      <c r="Z2819" t="s">
        <v>789</v>
      </c>
      <c r="AA2819" t="s">
        <v>1869</v>
      </c>
      <c r="AB2819">
        <v>2.16</v>
      </c>
      <c r="AC2819" t="s">
        <v>1051</v>
      </c>
      <c r="AD2819">
        <v>49.29</v>
      </c>
      <c r="AE2819" t="s">
        <v>983</v>
      </c>
      <c r="AF2819">
        <v>2.27</v>
      </c>
      <c r="AG2819">
        <v>0</v>
      </c>
      <c r="AH2819">
        <v>0</v>
      </c>
      <c r="AI2819" s="4">
        <v>41072</v>
      </c>
    </row>
    <row r="2820" spans="1:35">
      <c r="A2820">
        <v>2819</v>
      </c>
      <c r="B2820" t="str">
        <f>"002592"</f>
        <v>002592</v>
      </c>
      <c r="C2820" t="s">
        <v>12582</v>
      </c>
      <c r="D2820" s="4">
        <v>43190</v>
      </c>
      <c r="E2820" t="s">
        <v>1067</v>
      </c>
      <c r="F2820" t="s">
        <v>193</v>
      </c>
      <c r="G2820" t="s">
        <v>1639</v>
      </c>
      <c r="H2820">
        <v>0.02</v>
      </c>
      <c r="I2820">
        <v>7.31</v>
      </c>
      <c r="J2820">
        <v>0.3</v>
      </c>
      <c r="K2820" t="s">
        <v>1597</v>
      </c>
      <c r="L2820">
        <v>-26.11</v>
      </c>
      <c r="M2820" t="s">
        <v>7082</v>
      </c>
      <c r="N2820" t="s">
        <v>10285</v>
      </c>
      <c r="O2820" t="s">
        <v>8126</v>
      </c>
      <c r="P2820" t="s">
        <v>12583</v>
      </c>
      <c r="Q2820">
        <v>-83.64</v>
      </c>
      <c r="R2820" t="s">
        <v>4427</v>
      </c>
      <c r="S2820">
        <v>1.59</v>
      </c>
      <c r="T2820">
        <v>11.02</v>
      </c>
      <c r="U2820" t="s">
        <v>1504</v>
      </c>
      <c r="V2820" t="s">
        <v>1496</v>
      </c>
      <c r="W2820" t="s">
        <v>1567</v>
      </c>
      <c r="X2820">
        <v>0.3</v>
      </c>
      <c r="Y2820" t="s">
        <v>3044</v>
      </c>
      <c r="Z2820" t="s">
        <v>1235</v>
      </c>
      <c r="AA2820" t="s">
        <v>8809</v>
      </c>
      <c r="AB2820">
        <v>1.66</v>
      </c>
      <c r="AC2820" t="s">
        <v>420</v>
      </c>
      <c r="AD2820">
        <v>83.02</v>
      </c>
      <c r="AE2820" t="s">
        <v>625</v>
      </c>
      <c r="AF2820">
        <v>4.22</v>
      </c>
      <c r="AG2820">
        <v>0</v>
      </c>
      <c r="AH2820">
        <v>0</v>
      </c>
      <c r="AI2820" s="4">
        <v>40858</v>
      </c>
    </row>
    <row r="2821" spans="1:35">
      <c r="A2821">
        <v>2820</v>
      </c>
      <c r="B2821" t="str">
        <f>"002386"</f>
        <v>002386</v>
      </c>
      <c r="C2821" t="s">
        <v>12584</v>
      </c>
      <c r="D2821" s="4">
        <v>43190</v>
      </c>
      <c r="E2821" t="s">
        <v>675</v>
      </c>
      <c r="F2821" t="s">
        <v>675</v>
      </c>
      <c r="G2821" t="s">
        <v>4389</v>
      </c>
      <c r="H2821">
        <v>7.0000000000000007E-2</v>
      </c>
      <c r="I2821">
        <v>6.25</v>
      </c>
      <c r="J2821">
        <v>0.3</v>
      </c>
      <c r="K2821" t="s">
        <v>1350</v>
      </c>
      <c r="L2821">
        <v>35.17</v>
      </c>
      <c r="M2821" t="s">
        <v>7255</v>
      </c>
      <c r="N2821" t="s">
        <v>12585</v>
      </c>
      <c r="O2821" t="s">
        <v>12586</v>
      </c>
      <c r="P2821" t="s">
        <v>12476</v>
      </c>
      <c r="Q2821">
        <v>326.89999999999998</v>
      </c>
      <c r="R2821" t="s">
        <v>1384</v>
      </c>
      <c r="S2821">
        <v>2.1</v>
      </c>
      <c r="T2821">
        <v>9.41</v>
      </c>
      <c r="U2821" t="s">
        <v>412</v>
      </c>
      <c r="V2821" t="s">
        <v>2694</v>
      </c>
      <c r="W2821" t="s">
        <v>3755</v>
      </c>
      <c r="X2821">
        <v>0.3</v>
      </c>
      <c r="Y2821" t="s">
        <v>1526</v>
      </c>
      <c r="Z2821" t="s">
        <v>2591</v>
      </c>
      <c r="AA2821" t="s">
        <v>907</v>
      </c>
      <c r="AB2821">
        <v>1.04</v>
      </c>
      <c r="AC2821" t="s">
        <v>1412</v>
      </c>
      <c r="AD2821">
        <v>29.31</v>
      </c>
      <c r="AE2821" t="s">
        <v>510</v>
      </c>
      <c r="AF2821">
        <v>2.76</v>
      </c>
      <c r="AG2821">
        <v>0</v>
      </c>
      <c r="AH2821">
        <v>0</v>
      </c>
      <c r="AI2821" s="4">
        <v>40277</v>
      </c>
    </row>
    <row r="2822" spans="1:35">
      <c r="A2822">
        <v>2821</v>
      </c>
      <c r="B2822" t="str">
        <f>"002063"</f>
        <v>002063</v>
      </c>
      <c r="C2822" t="s">
        <v>12587</v>
      </c>
      <c r="D2822" s="4">
        <v>43190</v>
      </c>
      <c r="E2822" t="s">
        <v>2445</v>
      </c>
      <c r="F2822" t="s">
        <v>2111</v>
      </c>
      <c r="G2822">
        <v>8957</v>
      </c>
      <c r="H2822">
        <v>0.01</v>
      </c>
      <c r="I2822">
        <v>3.39</v>
      </c>
      <c r="J2822">
        <v>0.3</v>
      </c>
      <c r="K2822" t="s">
        <v>217</v>
      </c>
      <c r="L2822">
        <v>15.04</v>
      </c>
      <c r="M2822" t="s">
        <v>2720</v>
      </c>
      <c r="N2822" t="s">
        <v>12588</v>
      </c>
      <c r="O2822" t="s">
        <v>12415</v>
      </c>
      <c r="P2822" t="s">
        <v>6593</v>
      </c>
      <c r="Q2822">
        <v>2.52</v>
      </c>
      <c r="R2822" t="s">
        <v>919</v>
      </c>
      <c r="S2822">
        <v>1.71</v>
      </c>
      <c r="T2822">
        <v>61.51</v>
      </c>
      <c r="U2822" t="s">
        <v>1516</v>
      </c>
      <c r="V2822" t="s">
        <v>867</v>
      </c>
      <c r="W2822" t="s">
        <v>1457</v>
      </c>
      <c r="X2822">
        <v>0.3</v>
      </c>
      <c r="Y2822" t="s">
        <v>342</v>
      </c>
      <c r="Z2822" t="s">
        <v>1905</v>
      </c>
      <c r="AA2822" t="s">
        <v>12589</v>
      </c>
      <c r="AB2822">
        <v>2.36</v>
      </c>
      <c r="AC2822" t="s">
        <v>251</v>
      </c>
      <c r="AD2822">
        <v>83.6</v>
      </c>
      <c r="AE2822" t="s">
        <v>798</v>
      </c>
      <c r="AF2822">
        <v>0.45</v>
      </c>
      <c r="AG2822">
        <v>0</v>
      </c>
      <c r="AH2822">
        <v>0</v>
      </c>
      <c r="AI2822" s="4">
        <v>38952</v>
      </c>
    </row>
    <row r="2823" spans="1:35">
      <c r="A2823">
        <v>2822</v>
      </c>
      <c r="B2823" t="str">
        <f>"002046"</f>
        <v>002046</v>
      </c>
      <c r="C2823" t="s">
        <v>12590</v>
      </c>
      <c r="D2823" s="4">
        <v>43190</v>
      </c>
      <c r="E2823" t="s">
        <v>1037</v>
      </c>
      <c r="F2823" t="s">
        <v>1074</v>
      </c>
      <c r="G2823" t="s">
        <v>4360</v>
      </c>
      <c r="H2823">
        <v>0.01</v>
      </c>
      <c r="I2823">
        <v>5.04</v>
      </c>
      <c r="J2823">
        <v>0.3</v>
      </c>
      <c r="K2823" t="s">
        <v>218</v>
      </c>
      <c r="L2823">
        <v>22.64</v>
      </c>
      <c r="M2823" t="s">
        <v>10591</v>
      </c>
      <c r="N2823" t="s">
        <v>12591</v>
      </c>
      <c r="O2823" t="s">
        <v>12592</v>
      </c>
      <c r="P2823" t="s">
        <v>6209</v>
      </c>
      <c r="Q2823">
        <v>213.31</v>
      </c>
      <c r="R2823" t="s">
        <v>2310</v>
      </c>
      <c r="S2823">
        <v>1.1000000000000001</v>
      </c>
      <c r="T2823">
        <v>25.63</v>
      </c>
      <c r="U2823" t="s">
        <v>737</v>
      </c>
      <c r="V2823" t="s">
        <v>514</v>
      </c>
      <c r="W2823" t="s">
        <v>5598</v>
      </c>
      <c r="X2823">
        <v>0.3</v>
      </c>
      <c r="Y2823" t="s">
        <v>162</v>
      </c>
      <c r="Z2823" t="s">
        <v>613</v>
      </c>
      <c r="AA2823" t="s">
        <v>2774</v>
      </c>
      <c r="AB2823">
        <v>1.4</v>
      </c>
      <c r="AC2823" t="s">
        <v>1785</v>
      </c>
      <c r="AD2823">
        <v>62.81</v>
      </c>
      <c r="AE2823" t="s">
        <v>855</v>
      </c>
      <c r="AF2823">
        <v>2.86</v>
      </c>
      <c r="AG2823">
        <v>0</v>
      </c>
      <c r="AH2823">
        <v>0</v>
      </c>
      <c r="AI2823" s="4">
        <v>38498</v>
      </c>
    </row>
    <row r="2824" spans="1:35">
      <c r="A2824">
        <v>2823</v>
      </c>
      <c r="B2824" t="str">
        <f>"600883"</f>
        <v>600883</v>
      </c>
      <c r="C2824" t="s">
        <v>12593</v>
      </c>
      <c r="D2824" s="4">
        <v>43190</v>
      </c>
      <c r="E2824" t="s">
        <v>916</v>
      </c>
      <c r="F2824" t="s">
        <v>916</v>
      </c>
      <c r="G2824" t="s">
        <v>5991</v>
      </c>
      <c r="H2824">
        <v>0.01</v>
      </c>
      <c r="I2824">
        <v>2.77</v>
      </c>
      <c r="J2824">
        <v>0.3</v>
      </c>
      <c r="K2824" t="s">
        <v>12594</v>
      </c>
      <c r="L2824">
        <v>119.56</v>
      </c>
      <c r="M2824" t="s">
        <v>12595</v>
      </c>
      <c r="N2824" t="s">
        <v>11311</v>
      </c>
      <c r="O2824" t="s">
        <v>2128</v>
      </c>
      <c r="P2824" t="s">
        <v>2128</v>
      </c>
      <c r="Q2824">
        <v>-94.94</v>
      </c>
      <c r="R2824" t="s">
        <v>1511</v>
      </c>
      <c r="S2824">
        <v>1.1100000000000001</v>
      </c>
      <c r="T2824">
        <v>-2.25</v>
      </c>
      <c r="U2824" t="s">
        <v>2177</v>
      </c>
      <c r="V2824" t="s">
        <v>184</v>
      </c>
      <c r="W2824" t="s">
        <v>10877</v>
      </c>
      <c r="X2824">
        <v>0.3</v>
      </c>
      <c r="Y2824" t="s">
        <v>3918</v>
      </c>
      <c r="Z2824" t="s">
        <v>11358</v>
      </c>
      <c r="AA2824" t="s">
        <v>7738</v>
      </c>
      <c r="AB2824">
        <v>2.56</v>
      </c>
      <c r="AC2824" t="s">
        <v>1847</v>
      </c>
      <c r="AD2824">
        <v>93.48</v>
      </c>
      <c r="AE2824" t="s">
        <v>9517</v>
      </c>
      <c r="AF2824">
        <v>0.05</v>
      </c>
      <c r="AG2824">
        <v>0</v>
      </c>
      <c r="AH2824">
        <v>0</v>
      </c>
      <c r="AI2824" s="4">
        <v>35041</v>
      </c>
    </row>
    <row r="2825" spans="1:35">
      <c r="A2825">
        <v>2824</v>
      </c>
      <c r="B2825" t="str">
        <f>"601208"</f>
        <v>601208</v>
      </c>
      <c r="C2825" t="s">
        <v>12596</v>
      </c>
      <c r="D2825" s="4">
        <v>43190</v>
      </c>
      <c r="E2825" t="s">
        <v>3490</v>
      </c>
      <c r="F2825" t="s">
        <v>3490</v>
      </c>
      <c r="G2825" t="s">
        <v>2506</v>
      </c>
      <c r="H2825">
        <v>0.01</v>
      </c>
      <c r="I2825">
        <v>3.67</v>
      </c>
      <c r="J2825">
        <v>0.28999999999999998</v>
      </c>
      <c r="K2825" t="s">
        <v>750</v>
      </c>
      <c r="L2825">
        <v>-9.2200000000000006</v>
      </c>
      <c r="M2825" t="s">
        <v>6204</v>
      </c>
      <c r="N2825" t="s">
        <v>11760</v>
      </c>
      <c r="O2825" t="s">
        <v>7723</v>
      </c>
      <c r="P2825" t="s">
        <v>6076</v>
      </c>
      <c r="Q2825">
        <v>-85.29</v>
      </c>
      <c r="R2825" t="s">
        <v>150</v>
      </c>
      <c r="S2825">
        <v>0.59</v>
      </c>
      <c r="T2825">
        <v>15.96</v>
      </c>
      <c r="U2825" t="s">
        <v>1051</v>
      </c>
      <c r="V2825" t="s">
        <v>147</v>
      </c>
      <c r="W2825" t="s">
        <v>141</v>
      </c>
      <c r="X2825">
        <v>0.28999999999999998</v>
      </c>
      <c r="Y2825" t="s">
        <v>690</v>
      </c>
      <c r="Z2825" t="s">
        <v>860</v>
      </c>
      <c r="AA2825" t="s">
        <v>505</v>
      </c>
      <c r="AB2825">
        <v>1.06</v>
      </c>
      <c r="AC2825" t="s">
        <v>1039</v>
      </c>
      <c r="AD2825">
        <v>77.709999999999994</v>
      </c>
      <c r="AE2825" t="s">
        <v>982</v>
      </c>
      <c r="AF2825">
        <v>1.95</v>
      </c>
      <c r="AG2825">
        <v>0</v>
      </c>
      <c r="AH2825">
        <v>0</v>
      </c>
      <c r="AI2825" s="4">
        <v>40683</v>
      </c>
    </row>
    <row r="2826" spans="1:35">
      <c r="A2826">
        <v>2825</v>
      </c>
      <c r="B2826" t="str">
        <f>"600880"</f>
        <v>600880</v>
      </c>
      <c r="C2826" t="s">
        <v>12597</v>
      </c>
      <c r="D2826" s="4">
        <v>43190</v>
      </c>
      <c r="E2826" t="s">
        <v>1223</v>
      </c>
      <c r="F2826" t="s">
        <v>4863</v>
      </c>
      <c r="G2826" t="s">
        <v>2349</v>
      </c>
      <c r="H2826">
        <v>0.01</v>
      </c>
      <c r="I2826">
        <v>3.34</v>
      </c>
      <c r="J2826">
        <v>0.28999999999999998</v>
      </c>
      <c r="K2826" t="s">
        <v>1597</v>
      </c>
      <c r="L2826">
        <v>-8.73</v>
      </c>
      <c r="M2826" t="s">
        <v>12362</v>
      </c>
      <c r="N2826" t="s">
        <v>12598</v>
      </c>
      <c r="O2826" t="s">
        <v>6724</v>
      </c>
      <c r="P2826" t="s">
        <v>9122</v>
      </c>
      <c r="Q2826">
        <v>173.15</v>
      </c>
      <c r="R2826" t="s">
        <v>176</v>
      </c>
      <c r="S2826">
        <v>1.26</v>
      </c>
      <c r="T2826">
        <v>23.73</v>
      </c>
      <c r="U2826" t="s">
        <v>2239</v>
      </c>
      <c r="V2826" t="s">
        <v>407</v>
      </c>
      <c r="W2826" t="s">
        <v>3441</v>
      </c>
      <c r="X2826">
        <v>0.28999999999999998</v>
      </c>
      <c r="Y2826" t="s">
        <v>2029</v>
      </c>
      <c r="Z2826" t="s">
        <v>1732</v>
      </c>
      <c r="AA2826" t="s">
        <v>10772</v>
      </c>
      <c r="AB2826">
        <v>1.42</v>
      </c>
      <c r="AC2826" t="s">
        <v>4558</v>
      </c>
      <c r="AD2826">
        <v>87.92</v>
      </c>
      <c r="AE2826" t="s">
        <v>782</v>
      </c>
      <c r="AF2826">
        <v>0.75</v>
      </c>
      <c r="AG2826">
        <v>0</v>
      </c>
      <c r="AH2826">
        <v>0</v>
      </c>
      <c r="AI2826" s="4">
        <v>35018</v>
      </c>
    </row>
    <row r="2827" spans="1:35">
      <c r="A2827">
        <v>2826</v>
      </c>
      <c r="B2827" t="str">
        <f>"603315"</f>
        <v>603315</v>
      </c>
      <c r="C2827" t="s">
        <v>12599</v>
      </c>
      <c r="D2827" s="4">
        <v>43190</v>
      </c>
      <c r="E2827" t="s">
        <v>1004</v>
      </c>
      <c r="F2827" t="s">
        <v>293</v>
      </c>
      <c r="G2827">
        <v>4981</v>
      </c>
      <c r="H2827">
        <v>0.01</v>
      </c>
      <c r="I2827">
        <v>4.47</v>
      </c>
      <c r="J2827">
        <v>0.28000000000000003</v>
      </c>
      <c r="K2827" t="s">
        <v>12600</v>
      </c>
      <c r="L2827">
        <v>65.319999999999993</v>
      </c>
      <c r="M2827" t="s">
        <v>11451</v>
      </c>
      <c r="N2827">
        <v>0</v>
      </c>
      <c r="O2827" t="s">
        <v>11451</v>
      </c>
      <c r="P2827" t="s">
        <v>2508</v>
      </c>
      <c r="Q2827">
        <v>16.329999999999998</v>
      </c>
      <c r="R2827" t="s">
        <v>711</v>
      </c>
      <c r="S2827">
        <v>0.63</v>
      </c>
      <c r="T2827">
        <v>16.91</v>
      </c>
      <c r="U2827" t="s">
        <v>176</v>
      </c>
      <c r="V2827" t="s">
        <v>3557</v>
      </c>
      <c r="W2827" t="s">
        <v>3482</v>
      </c>
      <c r="X2827">
        <v>0.28000000000000003</v>
      </c>
      <c r="Y2827" t="s">
        <v>241</v>
      </c>
      <c r="Z2827" t="s">
        <v>1918</v>
      </c>
      <c r="AA2827" t="s">
        <v>12601</v>
      </c>
      <c r="AB2827">
        <v>2.78</v>
      </c>
      <c r="AC2827" t="s">
        <v>6610</v>
      </c>
      <c r="AD2827">
        <v>71.08</v>
      </c>
      <c r="AE2827" t="s">
        <v>494</v>
      </c>
      <c r="AF2827">
        <v>2.73</v>
      </c>
      <c r="AG2827">
        <v>0</v>
      </c>
      <c r="AH2827">
        <v>0</v>
      </c>
      <c r="AI2827" s="4">
        <v>42118</v>
      </c>
    </row>
    <row r="2828" spans="1:35">
      <c r="A2828">
        <v>2827</v>
      </c>
      <c r="B2828" t="str">
        <f>"603232"</f>
        <v>603232</v>
      </c>
      <c r="C2828" t="s">
        <v>12602</v>
      </c>
      <c r="D2828" s="4">
        <v>43190</v>
      </c>
      <c r="E2828" t="s">
        <v>1989</v>
      </c>
      <c r="F2828" t="s">
        <v>12603</v>
      </c>
      <c r="G2828">
        <v>2107</v>
      </c>
      <c r="H2828">
        <v>0.02</v>
      </c>
      <c r="I2828">
        <v>6.46</v>
      </c>
      <c r="J2828">
        <v>0.28000000000000003</v>
      </c>
      <c r="K2828" t="s">
        <v>376</v>
      </c>
      <c r="L2828">
        <v>19.09</v>
      </c>
      <c r="M2828" t="s">
        <v>12149</v>
      </c>
      <c r="N2828" t="s">
        <v>11450</v>
      </c>
      <c r="O2828" t="s">
        <v>1746</v>
      </c>
      <c r="P2828" t="s">
        <v>2748</v>
      </c>
      <c r="Q2828">
        <v>-62.89</v>
      </c>
      <c r="R2828" t="s">
        <v>916</v>
      </c>
      <c r="S2828">
        <v>2.48</v>
      </c>
      <c r="T2828">
        <v>61.03</v>
      </c>
      <c r="U2828" t="s">
        <v>4760</v>
      </c>
      <c r="V2828" t="s">
        <v>944</v>
      </c>
      <c r="W2828" t="s">
        <v>12604</v>
      </c>
      <c r="X2828">
        <v>0.28000000000000003</v>
      </c>
      <c r="Y2828" t="s">
        <v>12605</v>
      </c>
      <c r="Z2828" t="s">
        <v>12606</v>
      </c>
      <c r="AA2828" t="s">
        <v>12607</v>
      </c>
      <c r="AB2828">
        <v>3.96</v>
      </c>
      <c r="AC2828" t="s">
        <v>2310</v>
      </c>
      <c r="AD2828">
        <v>89.24</v>
      </c>
      <c r="AE2828" t="s">
        <v>126</v>
      </c>
      <c r="AF2828">
        <v>2.65</v>
      </c>
      <c r="AG2828">
        <v>0</v>
      </c>
      <c r="AH2828">
        <v>0</v>
      </c>
      <c r="AI2828" s="4">
        <v>42846</v>
      </c>
    </row>
    <row r="2829" spans="1:35">
      <c r="A2829">
        <v>2828</v>
      </c>
      <c r="B2829" t="str">
        <f>"601555"</f>
        <v>601555</v>
      </c>
      <c r="C2829" t="s">
        <v>12608</v>
      </c>
      <c r="D2829" s="4">
        <v>43190</v>
      </c>
      <c r="E2829" t="s">
        <v>1051</v>
      </c>
      <c r="F2829" t="s">
        <v>2499</v>
      </c>
      <c r="G2829" t="s">
        <v>4721</v>
      </c>
      <c r="H2829">
        <v>0.02</v>
      </c>
      <c r="I2829">
        <v>6.79</v>
      </c>
      <c r="J2829">
        <v>0.28000000000000003</v>
      </c>
      <c r="K2829" t="s">
        <v>909</v>
      </c>
      <c r="L2829">
        <v>-15.71</v>
      </c>
      <c r="M2829" t="s">
        <v>12609</v>
      </c>
      <c r="N2829" t="s">
        <v>137</v>
      </c>
      <c r="O2829" t="s">
        <v>12318</v>
      </c>
      <c r="P2829" t="s">
        <v>3529</v>
      </c>
      <c r="Q2829">
        <v>-81.05</v>
      </c>
      <c r="R2829" t="s">
        <v>461</v>
      </c>
      <c r="S2829">
        <v>0.95</v>
      </c>
      <c r="T2829">
        <v>0</v>
      </c>
      <c r="U2829" t="s">
        <v>12610</v>
      </c>
      <c r="V2829">
        <v>0</v>
      </c>
      <c r="W2829" t="s">
        <v>1872</v>
      </c>
      <c r="X2829">
        <v>0.28000000000000003</v>
      </c>
      <c r="Y2829" t="s">
        <v>12611</v>
      </c>
      <c r="Z2829">
        <v>0</v>
      </c>
      <c r="AA2829">
        <v>0</v>
      </c>
      <c r="AB2829">
        <v>0.97</v>
      </c>
      <c r="AC2829" t="s">
        <v>2599</v>
      </c>
      <c r="AD2829">
        <v>21.56</v>
      </c>
      <c r="AE2829" t="s">
        <v>815</v>
      </c>
      <c r="AF2829">
        <v>3.92</v>
      </c>
      <c r="AG2829">
        <v>0</v>
      </c>
      <c r="AH2829">
        <v>0</v>
      </c>
      <c r="AI2829" s="4">
        <v>40889</v>
      </c>
    </row>
    <row r="2830" spans="1:35">
      <c r="A2830">
        <v>2829</v>
      </c>
      <c r="B2830" t="str">
        <f>"600526"</f>
        <v>600526</v>
      </c>
      <c r="C2830" t="s">
        <v>12612</v>
      </c>
      <c r="D2830" s="4">
        <v>43190</v>
      </c>
      <c r="E2830" t="s">
        <v>592</v>
      </c>
      <c r="F2830" t="s">
        <v>592</v>
      </c>
      <c r="G2830">
        <v>5857</v>
      </c>
      <c r="H2830">
        <v>0.01</v>
      </c>
      <c r="I2830">
        <v>4.29</v>
      </c>
      <c r="J2830">
        <v>0.28000000000000003</v>
      </c>
      <c r="K2830" t="s">
        <v>1756</v>
      </c>
      <c r="L2830">
        <v>8.2200000000000006</v>
      </c>
      <c r="M2830" t="s">
        <v>12594</v>
      </c>
      <c r="N2830">
        <v>6040</v>
      </c>
      <c r="O2830" t="s">
        <v>10876</v>
      </c>
      <c r="P2830" t="s">
        <v>11419</v>
      </c>
      <c r="Q2830">
        <v>-58.73</v>
      </c>
      <c r="R2830" t="s">
        <v>12613</v>
      </c>
      <c r="S2830">
        <v>0.12</v>
      </c>
      <c r="T2830">
        <v>18.52</v>
      </c>
      <c r="U2830" t="s">
        <v>6720</v>
      </c>
      <c r="V2830" t="s">
        <v>1878</v>
      </c>
      <c r="W2830" t="s">
        <v>274</v>
      </c>
      <c r="X2830">
        <v>0.28000000000000003</v>
      </c>
      <c r="Y2830" t="s">
        <v>6837</v>
      </c>
      <c r="Z2830" t="s">
        <v>1776</v>
      </c>
      <c r="AA2830" t="s">
        <v>381</v>
      </c>
      <c r="AB2830">
        <v>1.38</v>
      </c>
      <c r="AC2830" t="s">
        <v>244</v>
      </c>
      <c r="AD2830">
        <v>28.21</v>
      </c>
      <c r="AE2830" t="s">
        <v>820</v>
      </c>
      <c r="AF2830">
        <v>3.11</v>
      </c>
      <c r="AG2830">
        <v>0</v>
      </c>
      <c r="AH2830">
        <v>0</v>
      </c>
      <c r="AI2830" s="4">
        <v>37459</v>
      </c>
    </row>
    <row r="2831" spans="1:35">
      <c r="A2831">
        <v>2830</v>
      </c>
      <c r="B2831" t="str">
        <f>"300359"</f>
        <v>300359</v>
      </c>
      <c r="C2831" t="s">
        <v>12614</v>
      </c>
      <c r="D2831" s="4">
        <v>43190</v>
      </c>
      <c r="E2831" t="s">
        <v>852</v>
      </c>
      <c r="F2831" t="s">
        <v>3119</v>
      </c>
      <c r="G2831">
        <v>7943</v>
      </c>
      <c r="H2831">
        <v>0.01</v>
      </c>
      <c r="I2831">
        <v>3.27</v>
      </c>
      <c r="J2831">
        <v>0.28000000000000003</v>
      </c>
      <c r="K2831" t="s">
        <v>321</v>
      </c>
      <c r="L2831">
        <v>-24.58</v>
      </c>
      <c r="M2831" t="s">
        <v>8012</v>
      </c>
      <c r="N2831" t="s">
        <v>12615</v>
      </c>
      <c r="O2831" t="s">
        <v>9841</v>
      </c>
      <c r="P2831" t="s">
        <v>6715</v>
      </c>
      <c r="Q2831">
        <v>191.82</v>
      </c>
      <c r="R2831" t="s">
        <v>314</v>
      </c>
      <c r="S2831">
        <v>0.56000000000000005</v>
      </c>
      <c r="T2831">
        <v>36.56</v>
      </c>
      <c r="U2831" t="s">
        <v>1661</v>
      </c>
      <c r="V2831" t="s">
        <v>1957</v>
      </c>
      <c r="W2831" t="s">
        <v>12616</v>
      </c>
      <c r="X2831">
        <v>0.28000000000000003</v>
      </c>
      <c r="Y2831" t="s">
        <v>2581</v>
      </c>
      <c r="Z2831" t="s">
        <v>145</v>
      </c>
      <c r="AA2831" t="s">
        <v>1627</v>
      </c>
      <c r="AB2831">
        <v>2.12</v>
      </c>
      <c r="AC2831" t="s">
        <v>877</v>
      </c>
      <c r="AD2831">
        <v>78.19</v>
      </c>
      <c r="AE2831" t="s">
        <v>521</v>
      </c>
      <c r="AF2831">
        <v>1.67</v>
      </c>
      <c r="AG2831">
        <v>0</v>
      </c>
      <c r="AH2831">
        <v>0</v>
      </c>
      <c r="AI2831" s="4">
        <v>41660</v>
      </c>
    </row>
    <row r="2832" spans="1:35">
      <c r="A2832">
        <v>2831</v>
      </c>
      <c r="B2832" t="str">
        <f>"002641"</f>
        <v>002641</v>
      </c>
      <c r="C2832" t="s">
        <v>12617</v>
      </c>
      <c r="D2832" s="4">
        <v>43190</v>
      </c>
      <c r="E2832" t="s">
        <v>147</v>
      </c>
      <c r="F2832" t="s">
        <v>2593</v>
      </c>
      <c r="G2832" t="s">
        <v>2550</v>
      </c>
      <c r="H2832">
        <v>0.01</v>
      </c>
      <c r="I2832">
        <v>2.4</v>
      </c>
      <c r="J2832">
        <v>0.28000000000000003</v>
      </c>
      <c r="K2832" t="s">
        <v>4568</v>
      </c>
      <c r="L2832">
        <v>11.91</v>
      </c>
      <c r="M2832" t="s">
        <v>12618</v>
      </c>
      <c r="N2832" t="s">
        <v>12619</v>
      </c>
      <c r="O2832" t="s">
        <v>5321</v>
      </c>
      <c r="P2832" t="s">
        <v>11935</v>
      </c>
      <c r="Q2832">
        <v>23.87</v>
      </c>
      <c r="R2832" t="s">
        <v>201</v>
      </c>
      <c r="S2832">
        <v>0.64</v>
      </c>
      <c r="T2832">
        <v>22.84</v>
      </c>
      <c r="U2832" t="s">
        <v>762</v>
      </c>
      <c r="V2832" t="s">
        <v>1308</v>
      </c>
      <c r="W2832" t="s">
        <v>303</v>
      </c>
      <c r="X2832">
        <v>0.28000000000000003</v>
      </c>
      <c r="Y2832" t="s">
        <v>2568</v>
      </c>
      <c r="Z2832" t="s">
        <v>1843</v>
      </c>
      <c r="AA2832" t="s">
        <v>920</v>
      </c>
      <c r="AB2832">
        <v>1.48</v>
      </c>
      <c r="AC2832" t="s">
        <v>158</v>
      </c>
      <c r="AD2832">
        <v>55.23</v>
      </c>
      <c r="AE2832" t="s">
        <v>448</v>
      </c>
      <c r="AF2832">
        <v>0.56999999999999995</v>
      </c>
      <c r="AG2832">
        <v>0</v>
      </c>
      <c r="AH2832">
        <v>0</v>
      </c>
      <c r="AI2832" s="4">
        <v>40885</v>
      </c>
    </row>
    <row r="2833" spans="1:35">
      <c r="A2833">
        <v>2832</v>
      </c>
      <c r="B2833" t="str">
        <f>"002279"</f>
        <v>002279</v>
      </c>
      <c r="C2833" t="s">
        <v>12620</v>
      </c>
      <c r="D2833" s="4">
        <v>43190</v>
      </c>
      <c r="E2833" t="s">
        <v>523</v>
      </c>
      <c r="F2833" t="s">
        <v>1502</v>
      </c>
      <c r="G2833" t="s">
        <v>268</v>
      </c>
      <c r="H2833">
        <v>0.01</v>
      </c>
      <c r="I2833">
        <v>3.47</v>
      </c>
      <c r="J2833">
        <v>0.28000000000000003</v>
      </c>
      <c r="K2833" t="s">
        <v>1794</v>
      </c>
      <c r="L2833">
        <v>106.44</v>
      </c>
      <c r="M2833" t="s">
        <v>10226</v>
      </c>
      <c r="N2833" t="s">
        <v>5250</v>
      </c>
      <c r="O2833" t="s">
        <v>5861</v>
      </c>
      <c r="P2833" t="s">
        <v>6129</v>
      </c>
      <c r="Q2833">
        <v>26.85</v>
      </c>
      <c r="R2833" t="s">
        <v>2443</v>
      </c>
      <c r="S2833">
        <v>1.18</v>
      </c>
      <c r="T2833">
        <v>40.22</v>
      </c>
      <c r="U2833" t="s">
        <v>3926</v>
      </c>
      <c r="V2833" t="s">
        <v>2273</v>
      </c>
      <c r="W2833" t="s">
        <v>1245</v>
      </c>
      <c r="X2833">
        <v>0.28000000000000003</v>
      </c>
      <c r="Y2833" t="s">
        <v>510</v>
      </c>
      <c r="Z2833" t="s">
        <v>625</v>
      </c>
      <c r="AA2833" t="s">
        <v>1518</v>
      </c>
      <c r="AB2833">
        <v>2.67</v>
      </c>
      <c r="AC2833" t="s">
        <v>451</v>
      </c>
      <c r="AD2833">
        <v>56.58</v>
      </c>
      <c r="AE2833" t="s">
        <v>299</v>
      </c>
      <c r="AF2833">
        <v>1.26</v>
      </c>
      <c r="AG2833">
        <v>0</v>
      </c>
      <c r="AH2833">
        <v>0</v>
      </c>
      <c r="AI2833" s="4">
        <v>40036</v>
      </c>
    </row>
    <row r="2834" spans="1:35">
      <c r="A2834">
        <v>2833</v>
      </c>
      <c r="B2834" t="str">
        <f>"002220"</f>
        <v>002220</v>
      </c>
      <c r="C2834" t="s">
        <v>12621</v>
      </c>
      <c r="D2834" s="4">
        <v>43190</v>
      </c>
      <c r="E2834" t="s">
        <v>871</v>
      </c>
      <c r="F2834" t="s">
        <v>1166</v>
      </c>
      <c r="G2834" t="s">
        <v>2312</v>
      </c>
      <c r="H2834">
        <v>0.01</v>
      </c>
      <c r="I2834">
        <v>3.59</v>
      </c>
      <c r="J2834">
        <v>0.28000000000000003</v>
      </c>
      <c r="K2834" t="s">
        <v>669</v>
      </c>
      <c r="L2834">
        <v>-9.06</v>
      </c>
      <c r="M2834" t="s">
        <v>7795</v>
      </c>
      <c r="N2834" t="s">
        <v>1673</v>
      </c>
      <c r="O2834" t="s">
        <v>10669</v>
      </c>
      <c r="P2834" t="s">
        <v>6945</v>
      </c>
      <c r="Q2834">
        <v>-66.33</v>
      </c>
      <c r="R2834" t="s">
        <v>699</v>
      </c>
      <c r="S2834">
        <v>1.39</v>
      </c>
      <c r="T2834">
        <v>18.14</v>
      </c>
      <c r="U2834" t="s">
        <v>111</v>
      </c>
      <c r="V2834" t="s">
        <v>1386</v>
      </c>
      <c r="W2834" t="s">
        <v>578</v>
      </c>
      <c r="X2834">
        <v>0.28000000000000003</v>
      </c>
      <c r="Y2834" t="s">
        <v>826</v>
      </c>
      <c r="Z2834" t="s">
        <v>453</v>
      </c>
      <c r="AA2834" t="s">
        <v>1569</v>
      </c>
      <c r="AB2834">
        <v>1.27</v>
      </c>
      <c r="AC2834" t="s">
        <v>2523</v>
      </c>
      <c r="AD2834">
        <v>53.96</v>
      </c>
      <c r="AE2834" t="s">
        <v>1094</v>
      </c>
      <c r="AF2834">
        <v>1.03</v>
      </c>
      <c r="AG2834">
        <v>0</v>
      </c>
      <c r="AH2834">
        <v>0</v>
      </c>
      <c r="AI2834" s="4">
        <v>39506</v>
      </c>
    </row>
    <row r="2835" spans="1:35">
      <c r="A2835">
        <v>2834</v>
      </c>
      <c r="B2835" t="str">
        <f>"002031"</f>
        <v>002031</v>
      </c>
      <c r="C2835" t="s">
        <v>12622</v>
      </c>
      <c r="D2835" s="4">
        <v>43190</v>
      </c>
      <c r="E2835" t="s">
        <v>1875</v>
      </c>
      <c r="F2835" t="s">
        <v>308</v>
      </c>
      <c r="G2835" t="s">
        <v>630</v>
      </c>
      <c r="H2835">
        <v>0</v>
      </c>
      <c r="I2835">
        <v>1.37</v>
      </c>
      <c r="J2835">
        <v>0.28000000000000003</v>
      </c>
      <c r="K2835" t="s">
        <v>2387</v>
      </c>
      <c r="L2835">
        <v>49.91</v>
      </c>
      <c r="M2835" t="s">
        <v>7112</v>
      </c>
      <c r="N2835" t="s">
        <v>4563</v>
      </c>
      <c r="O2835" t="s">
        <v>12623</v>
      </c>
      <c r="P2835" t="s">
        <v>6329</v>
      </c>
      <c r="Q2835">
        <v>-29.28</v>
      </c>
      <c r="R2835" t="s">
        <v>1491</v>
      </c>
      <c r="S2835">
        <v>0.28999999999999998</v>
      </c>
      <c r="T2835">
        <v>40.28</v>
      </c>
      <c r="U2835" t="s">
        <v>2492</v>
      </c>
      <c r="V2835" t="s">
        <v>3571</v>
      </c>
      <c r="W2835" t="s">
        <v>926</v>
      </c>
      <c r="X2835">
        <v>0.28000000000000003</v>
      </c>
      <c r="Y2835" t="s">
        <v>235</v>
      </c>
      <c r="Z2835" t="s">
        <v>578</v>
      </c>
      <c r="AA2835" t="s">
        <v>1792</v>
      </c>
      <c r="AB2835">
        <v>1.54</v>
      </c>
      <c r="AC2835" t="s">
        <v>1625</v>
      </c>
      <c r="AD2835">
        <v>41.49</v>
      </c>
      <c r="AE2835" t="s">
        <v>12624</v>
      </c>
      <c r="AF2835">
        <v>0.02</v>
      </c>
      <c r="AG2835">
        <v>0</v>
      </c>
      <c r="AH2835">
        <v>0</v>
      </c>
      <c r="AI2835" s="4">
        <v>38215</v>
      </c>
    </row>
    <row r="2836" spans="1:35">
      <c r="A2836">
        <v>2835</v>
      </c>
      <c r="B2836" t="str">
        <f>"000936"</f>
        <v>000936</v>
      </c>
      <c r="C2836" t="s">
        <v>12625</v>
      </c>
      <c r="D2836" s="4">
        <v>43190</v>
      </c>
      <c r="E2836" t="s">
        <v>2955</v>
      </c>
      <c r="F2836" t="s">
        <v>598</v>
      </c>
      <c r="G2836" t="s">
        <v>2349</v>
      </c>
      <c r="H2836">
        <v>0.01</v>
      </c>
      <c r="I2836">
        <v>5.12</v>
      </c>
      <c r="J2836">
        <v>0.28000000000000003</v>
      </c>
      <c r="K2836" t="s">
        <v>2398</v>
      </c>
      <c r="L2836">
        <v>-23.91</v>
      </c>
      <c r="M2836" t="s">
        <v>6743</v>
      </c>
      <c r="N2836" t="s">
        <v>3047</v>
      </c>
      <c r="O2836" t="s">
        <v>12626</v>
      </c>
      <c r="P2836" t="s">
        <v>5321</v>
      </c>
      <c r="Q2836">
        <v>-32.270000000000003</v>
      </c>
      <c r="R2836" t="s">
        <v>538</v>
      </c>
      <c r="S2836">
        <v>1.58</v>
      </c>
      <c r="T2836">
        <v>15.1</v>
      </c>
      <c r="U2836" t="s">
        <v>689</v>
      </c>
      <c r="V2836" t="s">
        <v>1348</v>
      </c>
      <c r="W2836" t="s">
        <v>1320</v>
      </c>
      <c r="X2836">
        <v>0.28000000000000003</v>
      </c>
      <c r="Y2836" t="s">
        <v>467</v>
      </c>
      <c r="Z2836" t="s">
        <v>76</v>
      </c>
      <c r="AA2836" t="s">
        <v>3217</v>
      </c>
      <c r="AB2836">
        <v>1.18</v>
      </c>
      <c r="AC2836" t="s">
        <v>4889</v>
      </c>
      <c r="AD2836">
        <v>39.56</v>
      </c>
      <c r="AE2836" t="s">
        <v>44</v>
      </c>
      <c r="AF2836">
        <v>0.56999999999999995</v>
      </c>
      <c r="AG2836">
        <v>0</v>
      </c>
      <c r="AH2836">
        <v>0</v>
      </c>
      <c r="AI2836" s="4">
        <v>36382</v>
      </c>
    </row>
    <row r="2837" spans="1:35">
      <c r="A2837">
        <v>2836</v>
      </c>
      <c r="B2837" t="str">
        <f>"000856"</f>
        <v>000856</v>
      </c>
      <c r="C2837" t="s">
        <v>12627</v>
      </c>
      <c r="D2837" s="4">
        <v>43190</v>
      </c>
      <c r="E2837" t="s">
        <v>935</v>
      </c>
      <c r="F2837" t="s">
        <v>935</v>
      </c>
      <c r="G2837">
        <v>3602</v>
      </c>
      <c r="H2837">
        <v>0</v>
      </c>
      <c r="I2837">
        <v>1.3</v>
      </c>
      <c r="J2837">
        <v>0.28000000000000003</v>
      </c>
      <c r="K2837" t="s">
        <v>1712</v>
      </c>
      <c r="L2837">
        <v>-14.44</v>
      </c>
      <c r="M2837" t="s">
        <v>12628</v>
      </c>
      <c r="N2837">
        <v>0</v>
      </c>
      <c r="O2837" t="s">
        <v>12629</v>
      </c>
      <c r="P2837" t="s">
        <v>9322</v>
      </c>
      <c r="Q2837">
        <v>-66.900000000000006</v>
      </c>
      <c r="R2837" t="s">
        <v>12630</v>
      </c>
      <c r="S2837">
        <v>-1.57</v>
      </c>
      <c r="T2837">
        <v>8.92</v>
      </c>
      <c r="U2837" t="s">
        <v>775</v>
      </c>
      <c r="V2837" t="s">
        <v>1025</v>
      </c>
      <c r="W2837" t="s">
        <v>1621</v>
      </c>
      <c r="X2837">
        <v>0.28000000000000003</v>
      </c>
      <c r="Y2837" t="s">
        <v>1384</v>
      </c>
      <c r="Z2837" t="s">
        <v>538</v>
      </c>
      <c r="AA2837" t="s">
        <v>12242</v>
      </c>
      <c r="AB2837">
        <v>9.75</v>
      </c>
      <c r="AC2837" t="s">
        <v>535</v>
      </c>
      <c r="AD2837">
        <v>16.77</v>
      </c>
      <c r="AE2837" t="s">
        <v>1934</v>
      </c>
      <c r="AF2837">
        <v>1.71</v>
      </c>
      <c r="AG2837">
        <v>0</v>
      </c>
      <c r="AH2837">
        <v>0</v>
      </c>
      <c r="AI2837" s="4">
        <v>36020</v>
      </c>
    </row>
    <row r="2838" spans="1:35">
      <c r="A2838">
        <v>2837</v>
      </c>
      <c r="B2838" t="str">
        <f>"000027"</f>
        <v>000027</v>
      </c>
      <c r="C2838" t="s">
        <v>12631</v>
      </c>
      <c r="D2838" s="4">
        <v>43190</v>
      </c>
      <c r="E2838" t="s">
        <v>588</v>
      </c>
      <c r="F2838" t="s">
        <v>588</v>
      </c>
      <c r="G2838" t="s">
        <v>10275</v>
      </c>
      <c r="H2838">
        <v>0.02</v>
      </c>
      <c r="I2838">
        <v>5.32</v>
      </c>
      <c r="J2838">
        <v>0.28000000000000003</v>
      </c>
      <c r="K2838" t="s">
        <v>4558</v>
      </c>
      <c r="L2838">
        <v>42.22</v>
      </c>
      <c r="M2838" t="s">
        <v>3141</v>
      </c>
      <c r="N2838" t="s">
        <v>7616</v>
      </c>
      <c r="O2838" t="s">
        <v>197</v>
      </c>
      <c r="P2838" t="s">
        <v>12632</v>
      </c>
      <c r="Q2838">
        <v>-45.87</v>
      </c>
      <c r="R2838" t="s">
        <v>6938</v>
      </c>
      <c r="S2838">
        <v>2.09</v>
      </c>
      <c r="T2838">
        <v>19.059999999999999</v>
      </c>
      <c r="U2838" t="s">
        <v>12633</v>
      </c>
      <c r="V2838" t="s">
        <v>5633</v>
      </c>
      <c r="W2838" t="s">
        <v>4161</v>
      </c>
      <c r="X2838">
        <v>0.28000000000000003</v>
      </c>
      <c r="Y2838" t="s">
        <v>2079</v>
      </c>
      <c r="Z2838" t="s">
        <v>3088</v>
      </c>
      <c r="AA2838" t="s">
        <v>968</v>
      </c>
      <c r="AB2838">
        <v>0.92</v>
      </c>
      <c r="AC2838" t="s">
        <v>2179</v>
      </c>
      <c r="AD2838">
        <v>27.02</v>
      </c>
      <c r="AE2838" t="s">
        <v>511</v>
      </c>
      <c r="AF2838">
        <v>1.01</v>
      </c>
      <c r="AG2838">
        <v>0</v>
      </c>
      <c r="AH2838">
        <v>0</v>
      </c>
      <c r="AI2838" s="4">
        <v>34215</v>
      </c>
    </row>
    <row r="2839" spans="1:35">
      <c r="A2839">
        <v>2838</v>
      </c>
      <c r="B2839" t="str">
        <f>"600962"</f>
        <v>600962</v>
      </c>
      <c r="C2839" t="s">
        <v>12634</v>
      </c>
      <c r="D2839" s="4">
        <v>43190</v>
      </c>
      <c r="E2839" t="s">
        <v>1995</v>
      </c>
      <c r="F2839" t="s">
        <v>1180</v>
      </c>
      <c r="G2839">
        <v>9902</v>
      </c>
      <c r="H2839">
        <v>0.01</v>
      </c>
      <c r="I2839">
        <v>3.15</v>
      </c>
      <c r="J2839">
        <v>0.27</v>
      </c>
      <c r="K2839" t="s">
        <v>148</v>
      </c>
      <c r="L2839">
        <v>-6.35</v>
      </c>
      <c r="M2839" t="s">
        <v>8216</v>
      </c>
      <c r="N2839">
        <v>0</v>
      </c>
      <c r="O2839" t="s">
        <v>6750</v>
      </c>
      <c r="P2839" t="s">
        <v>4492</v>
      </c>
      <c r="Q2839">
        <v>1.31</v>
      </c>
      <c r="R2839" t="s">
        <v>10914</v>
      </c>
      <c r="S2839">
        <v>0</v>
      </c>
      <c r="T2839">
        <v>22.81</v>
      </c>
      <c r="U2839" t="s">
        <v>747</v>
      </c>
      <c r="V2839" t="s">
        <v>649</v>
      </c>
      <c r="W2839" t="s">
        <v>483</v>
      </c>
      <c r="X2839">
        <v>0.27</v>
      </c>
      <c r="Y2839" t="s">
        <v>1502</v>
      </c>
      <c r="Z2839" t="s">
        <v>2398</v>
      </c>
      <c r="AA2839" t="s">
        <v>2459</v>
      </c>
      <c r="AB2839">
        <v>2.65</v>
      </c>
      <c r="AC2839" t="s">
        <v>2139</v>
      </c>
      <c r="AD2839">
        <v>53.22</v>
      </c>
      <c r="AE2839" t="s">
        <v>1382</v>
      </c>
      <c r="AF2839">
        <v>2.0099999999999998</v>
      </c>
      <c r="AG2839">
        <v>0</v>
      </c>
      <c r="AH2839">
        <v>0</v>
      </c>
      <c r="AI2839" s="4">
        <v>38160</v>
      </c>
    </row>
    <row r="2840" spans="1:35">
      <c r="A2840">
        <v>2839</v>
      </c>
      <c r="B2840" t="str">
        <f>"600764"</f>
        <v>600764</v>
      </c>
      <c r="C2840" t="s">
        <v>12635</v>
      </c>
      <c r="D2840" s="4">
        <v>43190</v>
      </c>
      <c r="E2840" t="s">
        <v>2953</v>
      </c>
      <c r="F2840" t="s">
        <v>47</v>
      </c>
      <c r="G2840" t="s">
        <v>1092</v>
      </c>
      <c r="H2840">
        <v>0.01</v>
      </c>
      <c r="I2840">
        <v>2.79</v>
      </c>
      <c r="J2840">
        <v>0.27</v>
      </c>
      <c r="K2840" t="s">
        <v>5986</v>
      </c>
      <c r="L2840">
        <v>25.81</v>
      </c>
      <c r="M2840" t="s">
        <v>3460</v>
      </c>
      <c r="N2840">
        <v>0</v>
      </c>
      <c r="O2840" t="s">
        <v>6573</v>
      </c>
      <c r="P2840" t="s">
        <v>6863</v>
      </c>
      <c r="Q2840">
        <v>28.92</v>
      </c>
      <c r="R2840" t="s">
        <v>200</v>
      </c>
      <c r="S2840">
        <v>0.49</v>
      </c>
      <c r="T2840">
        <v>36.85</v>
      </c>
      <c r="U2840" t="s">
        <v>848</v>
      </c>
      <c r="V2840" t="s">
        <v>625</v>
      </c>
      <c r="W2840" t="s">
        <v>3441</v>
      </c>
      <c r="X2840">
        <v>0.27</v>
      </c>
      <c r="Y2840" t="s">
        <v>3119</v>
      </c>
      <c r="Z2840" t="s">
        <v>165</v>
      </c>
      <c r="AA2840" t="s">
        <v>12636</v>
      </c>
      <c r="AB2840">
        <v>11.4</v>
      </c>
      <c r="AC2840" t="s">
        <v>602</v>
      </c>
      <c r="AD2840">
        <v>70.3</v>
      </c>
      <c r="AE2840" t="s">
        <v>1615</v>
      </c>
      <c r="AF2840">
        <v>1.24</v>
      </c>
      <c r="AG2840">
        <v>0</v>
      </c>
      <c r="AH2840">
        <v>0</v>
      </c>
      <c r="AI2840" s="4">
        <v>35373</v>
      </c>
    </row>
    <row r="2841" spans="1:35">
      <c r="A2841">
        <v>2840</v>
      </c>
      <c r="B2841" t="str">
        <f>"600561"</f>
        <v>600561</v>
      </c>
      <c r="C2841" t="s">
        <v>12637</v>
      </c>
      <c r="D2841" s="4">
        <v>43190</v>
      </c>
      <c r="E2841" t="s">
        <v>669</v>
      </c>
      <c r="F2841" t="s">
        <v>669</v>
      </c>
      <c r="G2841" t="s">
        <v>1763</v>
      </c>
      <c r="H2841">
        <v>0.02</v>
      </c>
      <c r="I2841">
        <v>5.96</v>
      </c>
      <c r="J2841">
        <v>0.27</v>
      </c>
      <c r="K2841" t="s">
        <v>3281</v>
      </c>
      <c r="L2841">
        <v>-2.25</v>
      </c>
      <c r="M2841" t="s">
        <v>10427</v>
      </c>
      <c r="N2841" t="s">
        <v>12638</v>
      </c>
      <c r="O2841" t="s">
        <v>12639</v>
      </c>
      <c r="P2841" t="s">
        <v>12640</v>
      </c>
      <c r="Q2841">
        <v>163.28</v>
      </c>
      <c r="R2841" t="s">
        <v>5842</v>
      </c>
      <c r="S2841">
        <v>2.23</v>
      </c>
      <c r="T2841">
        <v>11.37</v>
      </c>
      <c r="U2841" t="s">
        <v>930</v>
      </c>
      <c r="V2841" t="s">
        <v>576</v>
      </c>
      <c r="W2841" t="s">
        <v>2280</v>
      </c>
      <c r="X2841">
        <v>0.27</v>
      </c>
      <c r="Y2841" t="s">
        <v>2562</v>
      </c>
      <c r="Z2841" t="s">
        <v>612</v>
      </c>
      <c r="AA2841" t="s">
        <v>76</v>
      </c>
      <c r="AB2841">
        <v>1</v>
      </c>
      <c r="AC2841" t="s">
        <v>1384</v>
      </c>
      <c r="AD2841">
        <v>20.46</v>
      </c>
      <c r="AE2841" t="s">
        <v>362</v>
      </c>
      <c r="AF2841">
        <v>2.02</v>
      </c>
      <c r="AG2841">
        <v>0</v>
      </c>
      <c r="AH2841">
        <v>0</v>
      </c>
      <c r="AI2841" s="4">
        <v>37453</v>
      </c>
    </row>
    <row r="2842" spans="1:35">
      <c r="A2842">
        <v>2841</v>
      </c>
      <c r="B2842" t="str">
        <f>"600503"</f>
        <v>600503</v>
      </c>
      <c r="C2842" t="s">
        <v>12641</v>
      </c>
      <c r="D2842" s="4">
        <v>43190</v>
      </c>
      <c r="E2842" t="s">
        <v>847</v>
      </c>
      <c r="F2842" t="s">
        <v>847</v>
      </c>
      <c r="G2842">
        <v>7947</v>
      </c>
      <c r="H2842">
        <v>0.01</v>
      </c>
      <c r="I2842">
        <v>2.25</v>
      </c>
      <c r="J2842">
        <v>0.27</v>
      </c>
      <c r="K2842" t="s">
        <v>1016</v>
      </c>
      <c r="L2842">
        <v>-78.900000000000006</v>
      </c>
      <c r="M2842" t="s">
        <v>5554</v>
      </c>
      <c r="N2842" t="s">
        <v>6990</v>
      </c>
      <c r="O2842" t="s">
        <v>12642</v>
      </c>
      <c r="P2842" t="s">
        <v>12643</v>
      </c>
      <c r="Q2842">
        <v>-88.9</v>
      </c>
      <c r="R2842" t="s">
        <v>3312</v>
      </c>
      <c r="S2842">
        <v>0.52</v>
      </c>
      <c r="T2842">
        <v>34.409999999999997</v>
      </c>
      <c r="U2842" t="s">
        <v>4053</v>
      </c>
      <c r="V2842" t="s">
        <v>1158</v>
      </c>
      <c r="W2842" t="s">
        <v>804</v>
      </c>
      <c r="X2842">
        <v>0.27</v>
      </c>
      <c r="Y2842" t="s">
        <v>440</v>
      </c>
      <c r="Z2842" t="s">
        <v>835</v>
      </c>
      <c r="AA2842" t="s">
        <v>164</v>
      </c>
      <c r="AB2842">
        <v>1.64</v>
      </c>
      <c r="AC2842" t="s">
        <v>464</v>
      </c>
      <c r="AD2842">
        <v>59.14</v>
      </c>
      <c r="AE2842" t="s">
        <v>5620</v>
      </c>
      <c r="AF2842">
        <v>0.59</v>
      </c>
      <c r="AG2842">
        <v>0</v>
      </c>
      <c r="AH2842">
        <v>0</v>
      </c>
      <c r="AI2842" s="4">
        <v>37446</v>
      </c>
    </row>
    <row r="2843" spans="1:35">
      <c r="A2843">
        <v>2842</v>
      </c>
      <c r="B2843" t="str">
        <f>"300442"</f>
        <v>300442</v>
      </c>
      <c r="C2843" t="s">
        <v>12644</v>
      </c>
      <c r="D2843" s="4">
        <v>43190</v>
      </c>
      <c r="E2843" t="s">
        <v>2307</v>
      </c>
      <c r="F2843" t="s">
        <v>12645</v>
      </c>
      <c r="G2843">
        <v>5610</v>
      </c>
      <c r="H2843">
        <v>0.03</v>
      </c>
      <c r="I2843">
        <v>9.7799999999999994</v>
      </c>
      <c r="J2843">
        <v>0.27</v>
      </c>
      <c r="K2843" t="s">
        <v>608</v>
      </c>
      <c r="L2843">
        <v>48.74</v>
      </c>
      <c r="M2843" t="s">
        <v>3890</v>
      </c>
      <c r="N2843">
        <v>0</v>
      </c>
      <c r="O2843" t="s">
        <v>12646</v>
      </c>
      <c r="P2843" t="s">
        <v>12117</v>
      </c>
      <c r="Q2843">
        <v>24.92</v>
      </c>
      <c r="R2843" t="s">
        <v>52</v>
      </c>
      <c r="S2843">
        <v>3.36</v>
      </c>
      <c r="T2843">
        <v>23.93</v>
      </c>
      <c r="U2843" t="s">
        <v>1569</v>
      </c>
      <c r="V2843" t="s">
        <v>6610</v>
      </c>
      <c r="W2843" t="s">
        <v>165</v>
      </c>
      <c r="X2843">
        <v>0.27</v>
      </c>
      <c r="Y2843" t="s">
        <v>4435</v>
      </c>
      <c r="Z2843" t="s">
        <v>2110</v>
      </c>
      <c r="AA2843" t="s">
        <v>12647</v>
      </c>
      <c r="AB2843">
        <v>1.58</v>
      </c>
      <c r="AC2843" t="s">
        <v>722</v>
      </c>
      <c r="AD2843">
        <v>58.32</v>
      </c>
      <c r="AE2843" t="s">
        <v>1611</v>
      </c>
      <c r="AF2843">
        <v>5.21</v>
      </c>
      <c r="AG2843">
        <v>0</v>
      </c>
      <c r="AH2843">
        <v>0</v>
      </c>
      <c r="AI2843" s="4">
        <v>42118</v>
      </c>
    </row>
    <row r="2844" spans="1:35">
      <c r="A2844">
        <v>2843</v>
      </c>
      <c r="B2844" t="str">
        <f>"300362"</f>
        <v>300362</v>
      </c>
      <c r="C2844" t="s">
        <v>12648</v>
      </c>
      <c r="D2844" s="4">
        <v>43190</v>
      </c>
      <c r="E2844" t="s">
        <v>4794</v>
      </c>
      <c r="F2844" t="s">
        <v>255</v>
      </c>
      <c r="G2844" t="s">
        <v>2221</v>
      </c>
      <c r="H2844">
        <v>0.01</v>
      </c>
      <c r="I2844">
        <v>4.1500000000000004</v>
      </c>
      <c r="J2844">
        <v>0.27</v>
      </c>
      <c r="K2844" t="s">
        <v>2769</v>
      </c>
      <c r="L2844">
        <v>-4.6900000000000004</v>
      </c>
      <c r="M2844" t="s">
        <v>9801</v>
      </c>
      <c r="N2844" t="s">
        <v>631</v>
      </c>
      <c r="O2844" t="s">
        <v>10894</v>
      </c>
      <c r="P2844" t="s">
        <v>12649</v>
      </c>
      <c r="Q2844">
        <v>28.07</v>
      </c>
      <c r="R2844" t="s">
        <v>121</v>
      </c>
      <c r="S2844">
        <v>0.72</v>
      </c>
      <c r="T2844">
        <v>41.28</v>
      </c>
      <c r="U2844" t="s">
        <v>1085</v>
      </c>
      <c r="V2844" t="s">
        <v>756</v>
      </c>
      <c r="W2844" t="s">
        <v>3250</v>
      </c>
      <c r="X2844">
        <v>0.27</v>
      </c>
      <c r="Y2844" t="s">
        <v>2212</v>
      </c>
      <c r="Z2844" t="s">
        <v>1390</v>
      </c>
      <c r="AA2844" t="s">
        <v>926</v>
      </c>
      <c r="AB2844">
        <v>2.33</v>
      </c>
      <c r="AC2844" t="s">
        <v>754</v>
      </c>
      <c r="AD2844">
        <v>33.799999999999997</v>
      </c>
      <c r="AE2844" t="s">
        <v>982</v>
      </c>
      <c r="AF2844">
        <v>2.8</v>
      </c>
      <c r="AG2844">
        <v>0</v>
      </c>
      <c r="AH2844">
        <v>0</v>
      </c>
      <c r="AI2844" s="4">
        <v>41660</v>
      </c>
    </row>
    <row r="2845" spans="1:35">
      <c r="A2845">
        <v>2844</v>
      </c>
      <c r="B2845" t="str">
        <f>"300048"</f>
        <v>300048</v>
      </c>
      <c r="C2845" t="s">
        <v>12650</v>
      </c>
      <c r="D2845" s="4">
        <v>43190</v>
      </c>
      <c r="E2845" t="s">
        <v>835</v>
      </c>
      <c r="F2845" t="s">
        <v>4514</v>
      </c>
      <c r="G2845" t="s">
        <v>5021</v>
      </c>
      <c r="H2845">
        <v>0.01</v>
      </c>
      <c r="I2845">
        <v>2.21</v>
      </c>
      <c r="J2845">
        <v>0.27</v>
      </c>
      <c r="K2845" t="s">
        <v>1511</v>
      </c>
      <c r="L2845">
        <v>18.22</v>
      </c>
      <c r="M2845" t="s">
        <v>9334</v>
      </c>
      <c r="N2845" t="s">
        <v>12651</v>
      </c>
      <c r="O2845" t="s">
        <v>10562</v>
      </c>
      <c r="P2845" t="s">
        <v>9280</v>
      </c>
      <c r="Q2845">
        <v>-40.81</v>
      </c>
      <c r="R2845" t="s">
        <v>1615</v>
      </c>
      <c r="S2845">
        <v>0.44</v>
      </c>
      <c r="T2845">
        <v>26.64</v>
      </c>
      <c r="U2845" t="s">
        <v>3653</v>
      </c>
      <c r="V2845" t="s">
        <v>306</v>
      </c>
      <c r="W2845" t="s">
        <v>840</v>
      </c>
      <c r="X2845">
        <v>0.27</v>
      </c>
      <c r="Y2845" t="s">
        <v>2328</v>
      </c>
      <c r="Z2845" t="s">
        <v>141</v>
      </c>
      <c r="AA2845" t="s">
        <v>157</v>
      </c>
      <c r="AB2845">
        <v>1.0900000000000001</v>
      </c>
      <c r="AC2845" t="s">
        <v>1294</v>
      </c>
      <c r="AD2845">
        <v>54.2</v>
      </c>
      <c r="AE2845" t="s">
        <v>1341</v>
      </c>
      <c r="AF2845">
        <v>0.77</v>
      </c>
      <c r="AG2845">
        <v>0</v>
      </c>
      <c r="AH2845">
        <v>0</v>
      </c>
      <c r="AI2845" s="4">
        <v>40198</v>
      </c>
    </row>
    <row r="2846" spans="1:35">
      <c r="A2846">
        <v>2845</v>
      </c>
      <c r="B2846" t="str">
        <f>"002578"</f>
        <v>002578</v>
      </c>
      <c r="C2846" t="s">
        <v>12652</v>
      </c>
      <c r="D2846" s="4">
        <v>43190</v>
      </c>
      <c r="E2846" t="s">
        <v>1368</v>
      </c>
      <c r="F2846" t="s">
        <v>1438</v>
      </c>
      <c r="G2846" t="s">
        <v>4665</v>
      </c>
      <c r="H2846">
        <v>0</v>
      </c>
      <c r="I2846">
        <v>1.49</v>
      </c>
      <c r="J2846">
        <v>0.27</v>
      </c>
      <c r="K2846" t="s">
        <v>676</v>
      </c>
      <c r="L2846">
        <v>9.51</v>
      </c>
      <c r="M2846" t="s">
        <v>5489</v>
      </c>
      <c r="N2846" t="s">
        <v>9593</v>
      </c>
      <c r="O2846" t="s">
        <v>3421</v>
      </c>
      <c r="P2846" t="s">
        <v>2469</v>
      </c>
      <c r="Q2846">
        <v>-40.22</v>
      </c>
      <c r="R2846" t="s">
        <v>531</v>
      </c>
      <c r="S2846">
        <v>0.22</v>
      </c>
      <c r="T2846">
        <v>6.86</v>
      </c>
      <c r="U2846" t="s">
        <v>115</v>
      </c>
      <c r="V2846" t="s">
        <v>539</v>
      </c>
      <c r="W2846" t="s">
        <v>5084</v>
      </c>
      <c r="X2846">
        <v>0.27</v>
      </c>
      <c r="Y2846" t="s">
        <v>1624</v>
      </c>
      <c r="Z2846" t="s">
        <v>609</v>
      </c>
      <c r="AA2846" t="s">
        <v>2082</v>
      </c>
      <c r="AB2846">
        <v>2.56</v>
      </c>
      <c r="AC2846" t="s">
        <v>759</v>
      </c>
      <c r="AD2846">
        <v>87.97</v>
      </c>
      <c r="AE2846" t="s">
        <v>682</v>
      </c>
      <c r="AF2846">
        <v>0.22</v>
      </c>
      <c r="AG2846">
        <v>0</v>
      </c>
      <c r="AH2846">
        <v>0</v>
      </c>
      <c r="AI2846" s="4">
        <v>40661</v>
      </c>
    </row>
    <row r="2847" spans="1:35">
      <c r="A2847">
        <v>2846</v>
      </c>
      <c r="B2847" t="str">
        <f>"002395"</f>
        <v>002395</v>
      </c>
      <c r="C2847" t="s">
        <v>12653</v>
      </c>
      <c r="D2847" s="4">
        <v>43190</v>
      </c>
      <c r="E2847" t="s">
        <v>345</v>
      </c>
      <c r="F2847" t="s">
        <v>345</v>
      </c>
      <c r="G2847" t="s">
        <v>2125</v>
      </c>
      <c r="H2847">
        <v>0.01</v>
      </c>
      <c r="I2847">
        <v>4.6900000000000004</v>
      </c>
      <c r="J2847">
        <v>0.27</v>
      </c>
      <c r="K2847" t="s">
        <v>2729</v>
      </c>
      <c r="L2847">
        <v>14.52</v>
      </c>
      <c r="M2847" t="s">
        <v>12452</v>
      </c>
      <c r="N2847">
        <v>0</v>
      </c>
      <c r="O2847" t="s">
        <v>8351</v>
      </c>
      <c r="P2847" t="s">
        <v>9999</v>
      </c>
      <c r="Q2847">
        <v>-42.34</v>
      </c>
      <c r="R2847" t="s">
        <v>3768</v>
      </c>
      <c r="S2847">
        <v>1.1299999999999999</v>
      </c>
      <c r="T2847">
        <v>13.28</v>
      </c>
      <c r="U2847" t="s">
        <v>350</v>
      </c>
      <c r="V2847" t="s">
        <v>4790</v>
      </c>
      <c r="W2847" t="s">
        <v>3011</v>
      </c>
      <c r="X2847">
        <v>0.27</v>
      </c>
      <c r="Y2847" t="s">
        <v>2915</v>
      </c>
      <c r="Z2847" t="s">
        <v>750</v>
      </c>
      <c r="AA2847" t="s">
        <v>8628</v>
      </c>
      <c r="AB2847">
        <v>2.85</v>
      </c>
      <c r="AC2847" t="s">
        <v>1047</v>
      </c>
      <c r="AD2847">
        <v>61.44</v>
      </c>
      <c r="AE2847" t="s">
        <v>1317</v>
      </c>
      <c r="AF2847">
        <v>2.39</v>
      </c>
      <c r="AG2847">
        <v>0</v>
      </c>
      <c r="AH2847">
        <v>0</v>
      </c>
      <c r="AI2847" s="4">
        <v>40297</v>
      </c>
    </row>
    <row r="2848" spans="1:35">
      <c r="A2848">
        <v>2847</v>
      </c>
      <c r="B2848" t="str">
        <f>"002201"</f>
        <v>002201</v>
      </c>
      <c r="C2848" t="s">
        <v>12654</v>
      </c>
      <c r="D2848" s="4">
        <v>43190</v>
      </c>
      <c r="E2848" t="s">
        <v>1672</v>
      </c>
      <c r="F2848" t="s">
        <v>2551</v>
      </c>
      <c r="G2848" t="s">
        <v>3438</v>
      </c>
      <c r="H2848">
        <v>0.01</v>
      </c>
      <c r="I2848">
        <v>2.66</v>
      </c>
      <c r="J2848">
        <v>0.27</v>
      </c>
      <c r="K2848" t="s">
        <v>1435</v>
      </c>
      <c r="L2848">
        <v>19.45</v>
      </c>
      <c r="M2848" t="s">
        <v>12655</v>
      </c>
      <c r="N2848" t="s">
        <v>12656</v>
      </c>
      <c r="O2848" t="s">
        <v>6573</v>
      </c>
      <c r="P2848" t="s">
        <v>8170</v>
      </c>
      <c r="Q2848">
        <v>20.77</v>
      </c>
      <c r="R2848" t="s">
        <v>609</v>
      </c>
      <c r="S2848">
        <v>0.45</v>
      </c>
      <c r="T2848">
        <v>23.38</v>
      </c>
      <c r="U2848" t="s">
        <v>774</v>
      </c>
      <c r="V2848" t="s">
        <v>1249</v>
      </c>
      <c r="W2848" t="s">
        <v>924</v>
      </c>
      <c r="X2848">
        <v>0.27</v>
      </c>
      <c r="Y2848" t="s">
        <v>298</v>
      </c>
      <c r="Z2848" t="s">
        <v>978</v>
      </c>
      <c r="AA2848" t="s">
        <v>569</v>
      </c>
      <c r="AB2848">
        <v>2.46</v>
      </c>
      <c r="AC2848" t="s">
        <v>1780</v>
      </c>
      <c r="AD2848">
        <v>34.69</v>
      </c>
      <c r="AE2848" t="s">
        <v>3726</v>
      </c>
      <c r="AF2848">
        <v>1.1100000000000001</v>
      </c>
      <c r="AG2848">
        <v>0</v>
      </c>
      <c r="AH2848">
        <v>0</v>
      </c>
      <c r="AI2848" s="4">
        <v>39442</v>
      </c>
    </row>
    <row r="2849" spans="1:35">
      <c r="A2849">
        <v>2848</v>
      </c>
      <c r="B2849" t="str">
        <f>"002098"</f>
        <v>002098</v>
      </c>
      <c r="C2849" t="s">
        <v>12657</v>
      </c>
      <c r="D2849" s="4">
        <v>43190</v>
      </c>
      <c r="E2849" t="s">
        <v>1028</v>
      </c>
      <c r="F2849" t="s">
        <v>1048</v>
      </c>
      <c r="G2849" t="s">
        <v>5991</v>
      </c>
      <c r="H2849">
        <v>0.01</v>
      </c>
      <c r="I2849">
        <v>3.42</v>
      </c>
      <c r="J2849">
        <v>0.27</v>
      </c>
      <c r="K2849" t="s">
        <v>289</v>
      </c>
      <c r="L2849">
        <v>119.83</v>
      </c>
      <c r="M2849" t="s">
        <v>1598</v>
      </c>
      <c r="N2849" t="s">
        <v>7401</v>
      </c>
      <c r="O2849" t="s">
        <v>5483</v>
      </c>
      <c r="P2849" t="s">
        <v>2476</v>
      </c>
      <c r="Q2849">
        <v>-57.12</v>
      </c>
      <c r="R2849" t="s">
        <v>1436</v>
      </c>
      <c r="S2849">
        <v>1.36</v>
      </c>
      <c r="T2849">
        <v>39.64</v>
      </c>
      <c r="U2849" t="s">
        <v>461</v>
      </c>
      <c r="V2849" t="s">
        <v>833</v>
      </c>
      <c r="W2849" t="s">
        <v>2532</v>
      </c>
      <c r="X2849">
        <v>0.27</v>
      </c>
      <c r="Y2849" t="s">
        <v>183</v>
      </c>
      <c r="Z2849" t="s">
        <v>1307</v>
      </c>
      <c r="AA2849" t="s">
        <v>5084</v>
      </c>
      <c r="AB2849">
        <v>4.78</v>
      </c>
      <c r="AC2849" t="s">
        <v>982</v>
      </c>
      <c r="AD2849">
        <v>37.1</v>
      </c>
      <c r="AE2849" t="s">
        <v>1048</v>
      </c>
      <c r="AF2849">
        <v>0.87</v>
      </c>
      <c r="AG2849">
        <v>0</v>
      </c>
      <c r="AH2849">
        <v>0</v>
      </c>
      <c r="AI2849" s="4">
        <v>39073</v>
      </c>
    </row>
    <row r="2850" spans="1:35">
      <c r="A2850">
        <v>2849</v>
      </c>
      <c r="B2850" t="str">
        <f>"000892"</f>
        <v>000892</v>
      </c>
      <c r="C2850" t="s">
        <v>12658</v>
      </c>
      <c r="D2850" s="4">
        <v>43190</v>
      </c>
      <c r="E2850" t="s">
        <v>6611</v>
      </c>
      <c r="F2850" t="s">
        <v>1243</v>
      </c>
      <c r="G2850" t="s">
        <v>5074</v>
      </c>
      <c r="H2850">
        <v>0.01</v>
      </c>
      <c r="I2850">
        <v>3.19</v>
      </c>
      <c r="J2850">
        <v>0.27</v>
      </c>
      <c r="K2850" t="s">
        <v>12659</v>
      </c>
      <c r="L2850">
        <v>153.06</v>
      </c>
      <c r="M2850" t="s">
        <v>10911</v>
      </c>
      <c r="N2850" t="s">
        <v>11062</v>
      </c>
      <c r="O2850" t="s">
        <v>8337</v>
      </c>
      <c r="P2850" t="s">
        <v>12660</v>
      </c>
      <c r="Q2850">
        <v>129.05000000000001</v>
      </c>
      <c r="R2850" t="s">
        <v>3154</v>
      </c>
      <c r="S2850">
        <v>1.01</v>
      </c>
      <c r="T2850">
        <v>40</v>
      </c>
      <c r="U2850" t="s">
        <v>2513</v>
      </c>
      <c r="V2850" t="s">
        <v>1581</v>
      </c>
      <c r="W2850" t="s">
        <v>7922</v>
      </c>
      <c r="X2850">
        <v>0.27</v>
      </c>
      <c r="Y2850" t="s">
        <v>2537</v>
      </c>
      <c r="Z2850" t="s">
        <v>2537</v>
      </c>
      <c r="AA2850">
        <v>0</v>
      </c>
      <c r="AB2850">
        <v>1.42</v>
      </c>
      <c r="AC2850" t="s">
        <v>1285</v>
      </c>
      <c r="AD2850">
        <v>77.02</v>
      </c>
      <c r="AE2850" t="s">
        <v>835</v>
      </c>
      <c r="AF2850">
        <v>1.1499999999999999</v>
      </c>
      <c r="AG2850">
        <v>0</v>
      </c>
      <c r="AH2850">
        <v>0</v>
      </c>
      <c r="AI2850" s="4">
        <v>36175</v>
      </c>
    </row>
    <row r="2851" spans="1:35">
      <c r="A2851">
        <v>2850</v>
      </c>
      <c r="B2851" t="str">
        <f>"000823"</f>
        <v>000823</v>
      </c>
      <c r="C2851" t="s">
        <v>12661</v>
      </c>
      <c r="D2851" s="4">
        <v>43190</v>
      </c>
      <c r="E2851" t="s">
        <v>128</v>
      </c>
      <c r="F2851" t="s">
        <v>128</v>
      </c>
      <c r="G2851" t="s">
        <v>2589</v>
      </c>
      <c r="H2851">
        <v>0</v>
      </c>
      <c r="I2851">
        <v>5.81</v>
      </c>
      <c r="J2851">
        <v>0.27</v>
      </c>
      <c r="K2851" t="s">
        <v>699</v>
      </c>
      <c r="L2851">
        <v>14.13</v>
      </c>
      <c r="M2851" t="s">
        <v>1230</v>
      </c>
      <c r="N2851" t="s">
        <v>12662</v>
      </c>
      <c r="O2851" t="s">
        <v>12543</v>
      </c>
      <c r="P2851" t="s">
        <v>8167</v>
      </c>
      <c r="Q2851">
        <v>-96.21</v>
      </c>
      <c r="R2851" t="s">
        <v>2383</v>
      </c>
      <c r="S2851">
        <v>1.72</v>
      </c>
      <c r="T2851">
        <v>18.86</v>
      </c>
      <c r="U2851" t="s">
        <v>111</v>
      </c>
      <c r="V2851" t="s">
        <v>2071</v>
      </c>
      <c r="W2851" t="s">
        <v>50</v>
      </c>
      <c r="X2851">
        <v>0.27</v>
      </c>
      <c r="Y2851" t="s">
        <v>1062</v>
      </c>
      <c r="Z2851" t="s">
        <v>547</v>
      </c>
      <c r="AA2851" t="s">
        <v>1459</v>
      </c>
      <c r="AB2851">
        <v>1.1299999999999999</v>
      </c>
      <c r="AC2851" t="s">
        <v>313</v>
      </c>
      <c r="AD2851">
        <v>60.92</v>
      </c>
      <c r="AE2851" t="s">
        <v>173</v>
      </c>
      <c r="AF2851">
        <v>2.65</v>
      </c>
      <c r="AG2851">
        <v>0</v>
      </c>
      <c r="AH2851">
        <v>0</v>
      </c>
      <c r="AI2851" s="4">
        <v>35711</v>
      </c>
    </row>
    <row r="2852" spans="1:35">
      <c r="A2852">
        <v>2851</v>
      </c>
      <c r="B2852" t="str">
        <f>"000802"</f>
        <v>000802</v>
      </c>
      <c r="C2852" t="s">
        <v>12663</v>
      </c>
      <c r="D2852" s="4">
        <v>43190</v>
      </c>
      <c r="E2852" t="s">
        <v>1487</v>
      </c>
      <c r="F2852" t="s">
        <v>479</v>
      </c>
      <c r="G2852">
        <v>7848</v>
      </c>
      <c r="H2852">
        <v>0.02</v>
      </c>
      <c r="I2852">
        <v>6.56</v>
      </c>
      <c r="J2852">
        <v>0.27</v>
      </c>
      <c r="K2852" t="s">
        <v>609</v>
      </c>
      <c r="L2852">
        <v>178.47</v>
      </c>
      <c r="M2852" t="s">
        <v>7134</v>
      </c>
      <c r="N2852" t="s">
        <v>12664</v>
      </c>
      <c r="O2852" t="s">
        <v>4444</v>
      </c>
      <c r="P2852" t="s">
        <v>8739</v>
      </c>
      <c r="Q2852">
        <v>154.55000000000001</v>
      </c>
      <c r="R2852" t="s">
        <v>5703</v>
      </c>
      <c r="S2852">
        <v>1.1499999999999999</v>
      </c>
      <c r="T2852">
        <v>36.24</v>
      </c>
      <c r="U2852" t="s">
        <v>1344</v>
      </c>
      <c r="V2852" t="s">
        <v>1225</v>
      </c>
      <c r="W2852" t="s">
        <v>11616</v>
      </c>
      <c r="X2852">
        <v>0.27</v>
      </c>
      <c r="Y2852" t="s">
        <v>4404</v>
      </c>
      <c r="Z2852" t="s">
        <v>607</v>
      </c>
      <c r="AA2852" t="s">
        <v>642</v>
      </c>
      <c r="AB2852">
        <v>1.44</v>
      </c>
      <c r="AC2852" t="s">
        <v>732</v>
      </c>
      <c r="AD2852">
        <v>86.54</v>
      </c>
      <c r="AE2852" t="s">
        <v>1396</v>
      </c>
      <c r="AF2852">
        <v>4.49</v>
      </c>
      <c r="AG2852">
        <v>0</v>
      </c>
      <c r="AH2852">
        <v>0</v>
      </c>
      <c r="AI2852" s="4">
        <v>35803</v>
      </c>
    </row>
    <row r="2853" spans="1:35">
      <c r="A2853">
        <v>2852</v>
      </c>
      <c r="B2853" t="str">
        <f>"603778"</f>
        <v>603778</v>
      </c>
      <c r="C2853" t="s">
        <v>12665</v>
      </c>
      <c r="D2853" s="4">
        <v>43190</v>
      </c>
      <c r="E2853" t="s">
        <v>999</v>
      </c>
      <c r="F2853" t="s">
        <v>2733</v>
      </c>
      <c r="G2853">
        <v>5492</v>
      </c>
      <c r="H2853">
        <v>0.01</v>
      </c>
      <c r="I2853">
        <v>2.02</v>
      </c>
      <c r="J2853">
        <v>0.26</v>
      </c>
      <c r="K2853" t="s">
        <v>12666</v>
      </c>
      <c r="L2853">
        <v>-24.71</v>
      </c>
      <c r="M2853" t="s">
        <v>3460</v>
      </c>
      <c r="N2853">
        <v>0</v>
      </c>
      <c r="O2853" t="s">
        <v>3460</v>
      </c>
      <c r="P2853" t="s">
        <v>11057</v>
      </c>
      <c r="Q2853">
        <v>-62.83</v>
      </c>
      <c r="R2853" t="s">
        <v>3321</v>
      </c>
      <c r="S2853">
        <v>0.88</v>
      </c>
      <c r="T2853">
        <v>23.74</v>
      </c>
      <c r="U2853" t="s">
        <v>79</v>
      </c>
      <c r="V2853" t="s">
        <v>1062</v>
      </c>
      <c r="W2853" t="s">
        <v>10930</v>
      </c>
      <c r="X2853">
        <v>0.26</v>
      </c>
      <c r="Y2853" t="s">
        <v>918</v>
      </c>
      <c r="Z2853" t="s">
        <v>918</v>
      </c>
      <c r="AA2853">
        <v>0</v>
      </c>
      <c r="AB2853">
        <v>2.42</v>
      </c>
      <c r="AC2853" t="s">
        <v>1496</v>
      </c>
      <c r="AD2853">
        <v>59.12</v>
      </c>
      <c r="AE2853" t="s">
        <v>9450</v>
      </c>
      <c r="AF2853">
        <v>0.05</v>
      </c>
      <c r="AG2853">
        <v>0</v>
      </c>
      <c r="AH2853">
        <v>0</v>
      </c>
      <c r="AI2853" s="4">
        <v>42369</v>
      </c>
    </row>
    <row r="2854" spans="1:35">
      <c r="A2854">
        <v>2853</v>
      </c>
      <c r="B2854" t="str">
        <f>"600571"</f>
        <v>600571</v>
      </c>
      <c r="C2854" t="s">
        <v>12667</v>
      </c>
      <c r="D2854" s="4">
        <v>43190</v>
      </c>
      <c r="E2854" t="s">
        <v>1768</v>
      </c>
      <c r="F2854" t="s">
        <v>806</v>
      </c>
      <c r="G2854">
        <v>6691</v>
      </c>
      <c r="H2854">
        <v>0.01</v>
      </c>
      <c r="I2854">
        <v>3.18</v>
      </c>
      <c r="J2854">
        <v>0.26</v>
      </c>
      <c r="K2854" t="s">
        <v>1402</v>
      </c>
      <c r="L2854">
        <v>11.58</v>
      </c>
      <c r="M2854" t="s">
        <v>12668</v>
      </c>
      <c r="N2854" t="s">
        <v>12669</v>
      </c>
      <c r="O2854" t="s">
        <v>12670</v>
      </c>
      <c r="P2854" t="s">
        <v>9140</v>
      </c>
      <c r="Q2854">
        <v>-73.55</v>
      </c>
      <c r="R2854" t="s">
        <v>916</v>
      </c>
      <c r="S2854">
        <v>0.54</v>
      </c>
      <c r="T2854">
        <v>50.83</v>
      </c>
      <c r="U2854" t="s">
        <v>1284</v>
      </c>
      <c r="V2854" t="s">
        <v>978</v>
      </c>
      <c r="W2854" t="s">
        <v>12671</v>
      </c>
      <c r="X2854">
        <v>0.26</v>
      </c>
      <c r="Y2854" t="s">
        <v>2686</v>
      </c>
      <c r="Z2854" t="s">
        <v>479</v>
      </c>
      <c r="AA2854" t="s">
        <v>12672</v>
      </c>
      <c r="AB2854">
        <v>2.37</v>
      </c>
      <c r="AC2854" t="s">
        <v>538</v>
      </c>
      <c r="AD2854">
        <v>70.69</v>
      </c>
      <c r="AE2854" t="s">
        <v>3332</v>
      </c>
      <c r="AF2854">
        <v>0.44</v>
      </c>
      <c r="AG2854">
        <v>0</v>
      </c>
      <c r="AH2854">
        <v>0</v>
      </c>
      <c r="AI2854" s="4">
        <v>37561</v>
      </c>
    </row>
    <row r="2855" spans="1:35">
      <c r="A2855">
        <v>2854</v>
      </c>
      <c r="B2855" t="str">
        <f>"600358"</f>
        <v>600358</v>
      </c>
      <c r="C2855" t="s">
        <v>12673</v>
      </c>
      <c r="D2855" s="4">
        <v>43190</v>
      </c>
      <c r="E2855" t="s">
        <v>1128</v>
      </c>
      <c r="F2855" t="s">
        <v>1295</v>
      </c>
      <c r="G2855">
        <v>8995</v>
      </c>
      <c r="H2855">
        <v>0</v>
      </c>
      <c r="I2855">
        <v>1.04</v>
      </c>
      <c r="J2855">
        <v>0.26</v>
      </c>
      <c r="K2855" t="s">
        <v>12674</v>
      </c>
      <c r="L2855">
        <v>179.27</v>
      </c>
      <c r="M2855" t="s">
        <v>12378</v>
      </c>
      <c r="N2855">
        <v>0</v>
      </c>
      <c r="O2855" t="s">
        <v>10547</v>
      </c>
      <c r="P2855" t="s">
        <v>2689</v>
      </c>
      <c r="Q2855">
        <v>123.4</v>
      </c>
      <c r="R2855" t="s">
        <v>12675</v>
      </c>
      <c r="S2855">
        <v>-0.65</v>
      </c>
      <c r="T2855">
        <v>22.23</v>
      </c>
      <c r="U2855" t="s">
        <v>277</v>
      </c>
      <c r="V2855" t="s">
        <v>269</v>
      </c>
      <c r="W2855" t="s">
        <v>12676</v>
      </c>
      <c r="X2855">
        <v>0.26</v>
      </c>
      <c r="Y2855" t="s">
        <v>286</v>
      </c>
      <c r="Z2855" t="s">
        <v>286</v>
      </c>
      <c r="AA2855">
        <v>0</v>
      </c>
      <c r="AB2855">
        <v>6.52</v>
      </c>
      <c r="AC2855" t="s">
        <v>1565</v>
      </c>
      <c r="AD2855">
        <v>57.62</v>
      </c>
      <c r="AE2855" t="s">
        <v>139</v>
      </c>
      <c r="AF2855">
        <v>0.7</v>
      </c>
      <c r="AG2855">
        <v>0</v>
      </c>
      <c r="AH2855">
        <v>0</v>
      </c>
      <c r="AI2855" s="4">
        <v>36791</v>
      </c>
    </row>
    <row r="2856" spans="1:35">
      <c r="A2856">
        <v>2855</v>
      </c>
      <c r="B2856" t="str">
        <f>"300477"</f>
        <v>300477</v>
      </c>
      <c r="C2856" t="s">
        <v>12677</v>
      </c>
      <c r="D2856" s="4">
        <v>43190</v>
      </c>
      <c r="E2856" t="s">
        <v>1797</v>
      </c>
      <c r="F2856" t="s">
        <v>382</v>
      </c>
      <c r="G2856">
        <v>5845</v>
      </c>
      <c r="H2856">
        <v>0.02</v>
      </c>
      <c r="I2856">
        <v>5.96</v>
      </c>
      <c r="J2856">
        <v>0.26</v>
      </c>
      <c r="K2856" t="s">
        <v>160</v>
      </c>
      <c r="L2856">
        <v>110.21</v>
      </c>
      <c r="M2856" t="s">
        <v>5927</v>
      </c>
      <c r="N2856">
        <v>-8738</v>
      </c>
      <c r="O2856" t="s">
        <v>8604</v>
      </c>
      <c r="P2856" t="s">
        <v>11652</v>
      </c>
      <c r="Q2856">
        <v>140.27000000000001</v>
      </c>
      <c r="R2856" t="s">
        <v>860</v>
      </c>
      <c r="S2856">
        <v>1.51</v>
      </c>
      <c r="T2856">
        <v>20.92</v>
      </c>
      <c r="U2856" t="s">
        <v>2348</v>
      </c>
      <c r="V2856" t="s">
        <v>1908</v>
      </c>
      <c r="W2856" t="s">
        <v>2532</v>
      </c>
      <c r="X2856">
        <v>0.26</v>
      </c>
      <c r="Y2856" t="s">
        <v>1449</v>
      </c>
      <c r="Z2856" t="s">
        <v>2753</v>
      </c>
      <c r="AA2856" t="s">
        <v>12678</v>
      </c>
      <c r="AB2856">
        <v>3</v>
      </c>
      <c r="AC2856" t="s">
        <v>1752</v>
      </c>
      <c r="AD2856">
        <v>46.04</v>
      </c>
      <c r="AE2856" t="s">
        <v>699</v>
      </c>
      <c r="AF2856">
        <v>3.34</v>
      </c>
      <c r="AG2856">
        <v>0</v>
      </c>
      <c r="AH2856">
        <v>0</v>
      </c>
      <c r="AI2856" s="4">
        <v>42165</v>
      </c>
    </row>
    <row r="2857" spans="1:35">
      <c r="A2857">
        <v>2856</v>
      </c>
      <c r="B2857" t="str">
        <f>"300368"</f>
        <v>300368</v>
      </c>
      <c r="C2857" t="s">
        <v>12679</v>
      </c>
      <c r="D2857" s="4">
        <v>43190</v>
      </c>
      <c r="E2857" t="s">
        <v>701</v>
      </c>
      <c r="F2857" t="s">
        <v>1995</v>
      </c>
      <c r="G2857">
        <v>7579</v>
      </c>
      <c r="H2857">
        <v>0</v>
      </c>
      <c r="I2857">
        <v>1.66</v>
      </c>
      <c r="J2857">
        <v>0.26</v>
      </c>
      <c r="K2857" t="s">
        <v>319</v>
      </c>
      <c r="L2857">
        <v>105.94</v>
      </c>
      <c r="M2857" t="s">
        <v>7176</v>
      </c>
      <c r="N2857" t="s">
        <v>12680</v>
      </c>
      <c r="O2857" t="s">
        <v>10889</v>
      </c>
      <c r="P2857" t="s">
        <v>6395</v>
      </c>
      <c r="Q2857">
        <v>118.67</v>
      </c>
      <c r="R2857" t="s">
        <v>12681</v>
      </c>
      <c r="S2857">
        <v>0.16</v>
      </c>
      <c r="T2857">
        <v>35.130000000000003</v>
      </c>
      <c r="U2857" t="s">
        <v>1284</v>
      </c>
      <c r="V2857" t="s">
        <v>1094</v>
      </c>
      <c r="W2857" t="s">
        <v>807</v>
      </c>
      <c r="X2857">
        <v>0.26</v>
      </c>
      <c r="Y2857" t="s">
        <v>4194</v>
      </c>
      <c r="Z2857" t="s">
        <v>1013</v>
      </c>
      <c r="AA2857" t="s">
        <v>6714</v>
      </c>
      <c r="AB2857">
        <v>3.56</v>
      </c>
      <c r="AC2857" t="s">
        <v>3290</v>
      </c>
      <c r="AD2857">
        <v>46.52</v>
      </c>
      <c r="AE2857" t="s">
        <v>36</v>
      </c>
      <c r="AF2857">
        <v>0.54</v>
      </c>
      <c r="AG2857">
        <v>0</v>
      </c>
      <c r="AH2857">
        <v>0</v>
      </c>
      <c r="AI2857" s="4">
        <v>41662</v>
      </c>
    </row>
    <row r="2858" spans="1:35">
      <c r="A2858">
        <v>2857</v>
      </c>
      <c r="B2858" t="str">
        <f>"300265"</f>
        <v>300265</v>
      </c>
      <c r="C2858" t="s">
        <v>12682</v>
      </c>
      <c r="D2858" s="4">
        <v>43190</v>
      </c>
      <c r="E2858" t="s">
        <v>499</v>
      </c>
      <c r="F2858" t="s">
        <v>678</v>
      </c>
      <c r="G2858" t="s">
        <v>3438</v>
      </c>
      <c r="H2858">
        <v>0.01</v>
      </c>
      <c r="I2858">
        <v>2.86</v>
      </c>
      <c r="J2858">
        <v>0.26</v>
      </c>
      <c r="K2858" t="s">
        <v>138</v>
      </c>
      <c r="L2858">
        <v>8.19</v>
      </c>
      <c r="M2858" t="s">
        <v>8415</v>
      </c>
      <c r="N2858" t="s">
        <v>621</v>
      </c>
      <c r="O2858" t="s">
        <v>5478</v>
      </c>
      <c r="P2858" t="s">
        <v>12683</v>
      </c>
      <c r="Q2858">
        <v>-79.34</v>
      </c>
      <c r="R2858" t="s">
        <v>1939</v>
      </c>
      <c r="S2858">
        <v>1.17</v>
      </c>
      <c r="T2858">
        <v>17.079999999999998</v>
      </c>
      <c r="U2858" t="s">
        <v>159</v>
      </c>
      <c r="V2858" t="s">
        <v>1384</v>
      </c>
      <c r="W2858" t="s">
        <v>90</v>
      </c>
      <c r="X2858">
        <v>0.26</v>
      </c>
      <c r="Y2858" t="s">
        <v>602</v>
      </c>
      <c r="Z2858" t="s">
        <v>4073</v>
      </c>
      <c r="AA2858" t="s">
        <v>7971</v>
      </c>
      <c r="AB2858">
        <v>1.89</v>
      </c>
      <c r="AC2858" t="s">
        <v>2032</v>
      </c>
      <c r="AD2858">
        <v>46.06</v>
      </c>
      <c r="AE2858" t="s">
        <v>200</v>
      </c>
      <c r="AF2858">
        <v>0.57999999999999996</v>
      </c>
      <c r="AG2858">
        <v>0</v>
      </c>
      <c r="AH2858">
        <v>0</v>
      </c>
      <c r="AI2858" s="4">
        <v>40802</v>
      </c>
    </row>
    <row r="2859" spans="1:35">
      <c r="A2859">
        <v>2858</v>
      </c>
      <c r="B2859" t="str">
        <f>"300223"</f>
        <v>300223</v>
      </c>
      <c r="C2859" t="s">
        <v>12684</v>
      </c>
      <c r="D2859" s="4">
        <v>43190</v>
      </c>
      <c r="E2859" t="s">
        <v>3768</v>
      </c>
      <c r="F2859" t="s">
        <v>280</v>
      </c>
      <c r="G2859">
        <v>4412</v>
      </c>
      <c r="H2859">
        <v>0.01</v>
      </c>
      <c r="I2859">
        <v>5.63</v>
      </c>
      <c r="J2859">
        <v>0.26</v>
      </c>
      <c r="K2859" t="s">
        <v>12685</v>
      </c>
      <c r="L2859">
        <v>7.78</v>
      </c>
      <c r="M2859" t="s">
        <v>7901</v>
      </c>
      <c r="N2859" t="s">
        <v>4830</v>
      </c>
      <c r="O2859" t="s">
        <v>11991</v>
      </c>
      <c r="P2859" t="s">
        <v>1765</v>
      </c>
      <c r="Q2859">
        <v>44.69</v>
      </c>
      <c r="R2859" t="s">
        <v>337</v>
      </c>
      <c r="S2859">
        <v>0.82</v>
      </c>
      <c r="T2859">
        <v>39.08</v>
      </c>
      <c r="U2859" t="s">
        <v>192</v>
      </c>
      <c r="V2859" t="s">
        <v>649</v>
      </c>
      <c r="W2859" t="s">
        <v>3223</v>
      </c>
      <c r="X2859">
        <v>0.26</v>
      </c>
      <c r="Y2859" t="s">
        <v>12686</v>
      </c>
      <c r="Z2859" t="s">
        <v>5436</v>
      </c>
      <c r="AA2859" t="s">
        <v>9763</v>
      </c>
      <c r="AB2859">
        <v>3.79</v>
      </c>
      <c r="AC2859" t="s">
        <v>835</v>
      </c>
      <c r="AD2859">
        <v>96.75</v>
      </c>
      <c r="AE2859" t="s">
        <v>1903</v>
      </c>
      <c r="AF2859">
        <v>3.64</v>
      </c>
      <c r="AG2859">
        <v>0</v>
      </c>
      <c r="AH2859">
        <v>0</v>
      </c>
      <c r="AI2859" s="4">
        <v>40694</v>
      </c>
    </row>
    <row r="2860" spans="1:35">
      <c r="A2860">
        <v>2859</v>
      </c>
      <c r="B2860" t="str">
        <f>"002912"</f>
        <v>002912</v>
      </c>
      <c r="C2860" t="s">
        <v>12687</v>
      </c>
      <c r="D2860" s="4">
        <v>43190</v>
      </c>
      <c r="E2860" t="s">
        <v>1459</v>
      </c>
      <c r="F2860" t="s">
        <v>10226</v>
      </c>
      <c r="G2860">
        <v>1300</v>
      </c>
      <c r="H2860">
        <v>0.03</v>
      </c>
      <c r="I2860">
        <v>10.23</v>
      </c>
      <c r="J2860">
        <v>0.26</v>
      </c>
      <c r="K2860" t="s">
        <v>12688</v>
      </c>
      <c r="L2860">
        <v>145.02000000000001</v>
      </c>
      <c r="M2860" t="s">
        <v>2877</v>
      </c>
      <c r="N2860">
        <v>0</v>
      </c>
      <c r="O2860" t="s">
        <v>12498</v>
      </c>
      <c r="P2860" t="s">
        <v>4381</v>
      </c>
      <c r="Q2860">
        <v>137.94999999999999</v>
      </c>
      <c r="R2860" t="s">
        <v>2685</v>
      </c>
      <c r="S2860">
        <v>4</v>
      </c>
      <c r="T2860">
        <v>72.77</v>
      </c>
      <c r="U2860" t="s">
        <v>1367</v>
      </c>
      <c r="V2860" t="s">
        <v>176</v>
      </c>
      <c r="W2860" t="s">
        <v>6299</v>
      </c>
      <c r="X2860">
        <v>0.26</v>
      </c>
      <c r="Y2860" t="s">
        <v>1768</v>
      </c>
      <c r="Z2860" t="s">
        <v>1706</v>
      </c>
      <c r="AA2860" t="s">
        <v>7487</v>
      </c>
      <c r="AB2860">
        <v>7.85</v>
      </c>
      <c r="AC2860" t="s">
        <v>354</v>
      </c>
      <c r="AD2860">
        <v>72.209999999999994</v>
      </c>
      <c r="AE2860" t="s">
        <v>2571</v>
      </c>
      <c r="AF2860">
        <v>5.05</v>
      </c>
      <c r="AG2860">
        <v>0</v>
      </c>
      <c r="AH2860">
        <v>0</v>
      </c>
      <c r="AI2860" s="4">
        <v>43060</v>
      </c>
    </row>
    <row r="2861" spans="1:35">
      <c r="A2861">
        <v>2860</v>
      </c>
      <c r="B2861" t="str">
        <f>"002759"</f>
        <v>002759</v>
      </c>
      <c r="C2861" t="s">
        <v>12689</v>
      </c>
      <c r="D2861" s="4">
        <v>43190</v>
      </c>
      <c r="E2861" t="s">
        <v>153</v>
      </c>
      <c r="F2861" t="s">
        <v>322</v>
      </c>
      <c r="G2861">
        <v>6318</v>
      </c>
      <c r="H2861">
        <v>0.02</v>
      </c>
      <c r="I2861">
        <v>7.37</v>
      </c>
      <c r="J2861">
        <v>0.26</v>
      </c>
      <c r="K2861" t="s">
        <v>284</v>
      </c>
      <c r="L2861">
        <v>-31.15</v>
      </c>
      <c r="M2861" t="s">
        <v>4490</v>
      </c>
      <c r="N2861" t="s">
        <v>1639</v>
      </c>
      <c r="O2861" t="s">
        <v>10710</v>
      </c>
      <c r="P2861" t="s">
        <v>8321</v>
      </c>
      <c r="Q2861">
        <v>-89.4</v>
      </c>
      <c r="R2861" t="s">
        <v>258</v>
      </c>
      <c r="S2861">
        <v>0.51</v>
      </c>
      <c r="T2861">
        <v>28.07</v>
      </c>
      <c r="U2861" t="s">
        <v>1211</v>
      </c>
      <c r="V2861" t="s">
        <v>605</v>
      </c>
      <c r="W2861" t="s">
        <v>3238</v>
      </c>
      <c r="X2861">
        <v>0.26</v>
      </c>
      <c r="Y2861" t="s">
        <v>662</v>
      </c>
      <c r="Z2861" t="s">
        <v>150</v>
      </c>
      <c r="AA2861" t="s">
        <v>4740</v>
      </c>
      <c r="AB2861">
        <v>1.21</v>
      </c>
      <c r="AC2861" t="s">
        <v>4697</v>
      </c>
      <c r="AD2861">
        <v>88.84</v>
      </c>
      <c r="AE2861" t="s">
        <v>1832</v>
      </c>
      <c r="AF2861">
        <v>5.78</v>
      </c>
      <c r="AG2861">
        <v>0</v>
      </c>
      <c r="AH2861">
        <v>0</v>
      </c>
      <c r="AI2861" s="4">
        <v>42152</v>
      </c>
    </row>
    <row r="2862" spans="1:35">
      <c r="A2862">
        <v>2861</v>
      </c>
      <c r="B2862" t="str">
        <f>"002209"</f>
        <v>002209</v>
      </c>
      <c r="C2862" t="s">
        <v>12690</v>
      </c>
      <c r="D2862" s="4">
        <v>43190</v>
      </c>
      <c r="E2862" t="s">
        <v>200</v>
      </c>
      <c r="F2862" t="s">
        <v>608</v>
      </c>
      <c r="G2862" t="s">
        <v>268</v>
      </c>
      <c r="H2862">
        <v>0.01</v>
      </c>
      <c r="I2862">
        <v>3.26</v>
      </c>
      <c r="J2862">
        <v>0.26</v>
      </c>
      <c r="K2862" t="s">
        <v>258</v>
      </c>
      <c r="L2862">
        <v>21.92</v>
      </c>
      <c r="M2862" t="s">
        <v>6309</v>
      </c>
      <c r="N2862" t="s">
        <v>5898</v>
      </c>
      <c r="O2862" t="s">
        <v>3811</v>
      </c>
      <c r="P2862" t="s">
        <v>2075</v>
      </c>
      <c r="Q2862">
        <v>-40.770000000000003</v>
      </c>
      <c r="R2862" t="s">
        <v>748</v>
      </c>
      <c r="S2862">
        <v>0.95</v>
      </c>
      <c r="T2862">
        <v>24.47</v>
      </c>
      <c r="U2862" t="s">
        <v>50</v>
      </c>
      <c r="V2862" t="s">
        <v>147</v>
      </c>
      <c r="W2862" t="s">
        <v>165</v>
      </c>
      <c r="X2862">
        <v>0.26</v>
      </c>
      <c r="Y2862" t="s">
        <v>3651</v>
      </c>
      <c r="Z2862" t="s">
        <v>6052</v>
      </c>
      <c r="AA2862" t="s">
        <v>12691</v>
      </c>
      <c r="AB2862">
        <v>2.16</v>
      </c>
      <c r="AC2862" t="s">
        <v>2295</v>
      </c>
      <c r="AD2862">
        <v>39.630000000000003</v>
      </c>
      <c r="AE2862" t="s">
        <v>1435</v>
      </c>
      <c r="AF2862">
        <v>1.1399999999999999</v>
      </c>
      <c r="AG2862">
        <v>0</v>
      </c>
      <c r="AH2862">
        <v>0</v>
      </c>
      <c r="AI2862" s="4">
        <v>39477</v>
      </c>
    </row>
    <row r="2863" spans="1:35">
      <c r="A2863">
        <v>2862</v>
      </c>
      <c r="B2863" t="str">
        <f>"600699"</f>
        <v>600699</v>
      </c>
      <c r="C2863" t="s">
        <v>12692</v>
      </c>
      <c r="D2863" s="4">
        <v>43190</v>
      </c>
      <c r="E2863" t="s">
        <v>513</v>
      </c>
      <c r="F2863" t="s">
        <v>513</v>
      </c>
      <c r="G2863" t="s">
        <v>2572</v>
      </c>
      <c r="H2863">
        <v>0.03</v>
      </c>
      <c r="I2863">
        <v>13.01</v>
      </c>
      <c r="J2863">
        <v>0.25</v>
      </c>
      <c r="K2863" t="s">
        <v>3015</v>
      </c>
      <c r="L2863">
        <v>7.03</v>
      </c>
      <c r="M2863" t="s">
        <v>84</v>
      </c>
      <c r="N2863" t="s">
        <v>5099</v>
      </c>
      <c r="O2863" t="s">
        <v>45</v>
      </c>
      <c r="P2863" t="s">
        <v>3009</v>
      </c>
      <c r="Q2863">
        <v>-85.04</v>
      </c>
      <c r="R2863" t="s">
        <v>389</v>
      </c>
      <c r="S2863">
        <v>1.91</v>
      </c>
      <c r="T2863">
        <v>17.14</v>
      </c>
      <c r="U2863" t="s">
        <v>3593</v>
      </c>
      <c r="V2863" t="s">
        <v>2050</v>
      </c>
      <c r="W2863" t="s">
        <v>2534</v>
      </c>
      <c r="X2863">
        <v>0.25</v>
      </c>
      <c r="Y2863" t="s">
        <v>2863</v>
      </c>
      <c r="Z2863" t="s">
        <v>229</v>
      </c>
      <c r="AA2863" t="s">
        <v>12693</v>
      </c>
      <c r="AB2863">
        <v>1.96</v>
      </c>
      <c r="AC2863" t="s">
        <v>410</v>
      </c>
      <c r="AD2863">
        <v>33.79</v>
      </c>
      <c r="AE2863" t="s">
        <v>7628</v>
      </c>
      <c r="AF2863">
        <v>10.53</v>
      </c>
      <c r="AG2863">
        <v>0</v>
      </c>
      <c r="AH2863">
        <v>0</v>
      </c>
      <c r="AI2863" s="4">
        <v>34309</v>
      </c>
    </row>
    <row r="2864" spans="1:35">
      <c r="A2864">
        <v>2863</v>
      </c>
      <c r="B2864" t="str">
        <f>"300062"</f>
        <v>300062</v>
      </c>
      <c r="C2864" t="s">
        <v>12694</v>
      </c>
      <c r="D2864" s="4">
        <v>43190</v>
      </c>
      <c r="E2864" t="s">
        <v>325</v>
      </c>
      <c r="F2864" t="s">
        <v>905</v>
      </c>
      <c r="G2864" t="s">
        <v>3219</v>
      </c>
      <c r="H2864">
        <v>0.01</v>
      </c>
      <c r="I2864">
        <v>2.6</v>
      </c>
      <c r="J2864">
        <v>0.25</v>
      </c>
      <c r="K2864" t="s">
        <v>319</v>
      </c>
      <c r="L2864">
        <v>22.46</v>
      </c>
      <c r="M2864" t="s">
        <v>7186</v>
      </c>
      <c r="N2864" t="s">
        <v>12695</v>
      </c>
      <c r="O2864" t="s">
        <v>3003</v>
      </c>
      <c r="P2864" t="s">
        <v>2128</v>
      </c>
      <c r="Q2864">
        <v>-51.12</v>
      </c>
      <c r="R2864" t="s">
        <v>1435</v>
      </c>
      <c r="S2864">
        <v>0.72</v>
      </c>
      <c r="T2864">
        <v>34.07</v>
      </c>
      <c r="U2864" t="s">
        <v>2753</v>
      </c>
      <c r="V2864" t="s">
        <v>624</v>
      </c>
      <c r="W2864" t="s">
        <v>1959</v>
      </c>
      <c r="X2864">
        <v>0.25</v>
      </c>
      <c r="Y2864" t="s">
        <v>926</v>
      </c>
      <c r="Z2864" t="s">
        <v>5537</v>
      </c>
      <c r="AA2864" t="s">
        <v>2029</v>
      </c>
      <c r="AB2864">
        <v>1.98</v>
      </c>
      <c r="AC2864" t="s">
        <v>539</v>
      </c>
      <c r="AD2864">
        <v>36.81</v>
      </c>
      <c r="AE2864" t="s">
        <v>3674</v>
      </c>
      <c r="AF2864">
        <v>0.79</v>
      </c>
      <c r="AG2864">
        <v>0</v>
      </c>
      <c r="AH2864">
        <v>0</v>
      </c>
      <c r="AI2864" s="4">
        <v>40256</v>
      </c>
    </row>
    <row r="2865" spans="1:35">
      <c r="A2865">
        <v>2864</v>
      </c>
      <c r="B2865" t="str">
        <f>"300008"</f>
        <v>300008</v>
      </c>
      <c r="C2865" t="s">
        <v>12696</v>
      </c>
      <c r="D2865" s="4">
        <v>43190</v>
      </c>
      <c r="E2865" t="s">
        <v>4539</v>
      </c>
      <c r="F2865" t="s">
        <v>1618</v>
      </c>
      <c r="G2865" t="s">
        <v>2125</v>
      </c>
      <c r="H2865">
        <v>0.01</v>
      </c>
      <c r="I2865">
        <v>2.75</v>
      </c>
      <c r="J2865">
        <v>0.25</v>
      </c>
      <c r="K2865" t="s">
        <v>1476</v>
      </c>
      <c r="L2865">
        <v>46.93</v>
      </c>
      <c r="M2865" t="s">
        <v>5333</v>
      </c>
      <c r="N2865" t="s">
        <v>4467</v>
      </c>
      <c r="O2865" t="s">
        <v>10180</v>
      </c>
      <c r="P2865" t="s">
        <v>12697</v>
      </c>
      <c r="Q2865">
        <v>-72.66</v>
      </c>
      <c r="R2865" t="s">
        <v>860</v>
      </c>
      <c r="S2865">
        <v>0.49</v>
      </c>
      <c r="T2865">
        <v>10.79</v>
      </c>
      <c r="U2865" t="s">
        <v>1032</v>
      </c>
      <c r="V2865" t="s">
        <v>877</v>
      </c>
      <c r="W2865" t="s">
        <v>704</v>
      </c>
      <c r="X2865">
        <v>0.25</v>
      </c>
      <c r="Y2865" t="s">
        <v>76</v>
      </c>
      <c r="Z2865" t="s">
        <v>1367</v>
      </c>
      <c r="AA2865" t="s">
        <v>12698</v>
      </c>
      <c r="AB2865">
        <v>1.75</v>
      </c>
      <c r="AC2865" t="s">
        <v>1661</v>
      </c>
      <c r="AD2865">
        <v>61.68</v>
      </c>
      <c r="AE2865" t="s">
        <v>613</v>
      </c>
      <c r="AF2865">
        <v>1.21</v>
      </c>
      <c r="AG2865">
        <v>0</v>
      </c>
      <c r="AH2865">
        <v>0</v>
      </c>
      <c r="AI2865" s="4">
        <v>40116</v>
      </c>
    </row>
    <row r="2866" spans="1:35">
      <c r="A2866">
        <v>2865</v>
      </c>
      <c r="B2866" t="str">
        <f>"002618"</f>
        <v>002618</v>
      </c>
      <c r="C2866" t="s">
        <v>12699</v>
      </c>
      <c r="D2866" s="4">
        <v>43190</v>
      </c>
      <c r="E2866" t="s">
        <v>1438</v>
      </c>
      <c r="F2866" t="s">
        <v>1438</v>
      </c>
      <c r="G2866" t="s">
        <v>1261</v>
      </c>
      <c r="H2866">
        <v>0.01</v>
      </c>
      <c r="I2866">
        <v>3.07</v>
      </c>
      <c r="J2866">
        <v>0.25</v>
      </c>
      <c r="K2866" t="s">
        <v>2875</v>
      </c>
      <c r="L2866">
        <v>-4.26</v>
      </c>
      <c r="M2866" t="s">
        <v>10834</v>
      </c>
      <c r="N2866">
        <v>0</v>
      </c>
      <c r="O2866" t="s">
        <v>10834</v>
      </c>
      <c r="P2866" t="s">
        <v>11043</v>
      </c>
      <c r="Q2866">
        <v>-45.57</v>
      </c>
      <c r="R2866" t="s">
        <v>133</v>
      </c>
      <c r="S2866">
        <v>0.73</v>
      </c>
      <c r="T2866">
        <v>38.31</v>
      </c>
      <c r="U2866" t="s">
        <v>2280</v>
      </c>
      <c r="V2866" t="s">
        <v>2468</v>
      </c>
      <c r="W2866" t="s">
        <v>1214</v>
      </c>
      <c r="X2866">
        <v>0.25</v>
      </c>
      <c r="Y2866" t="s">
        <v>1415</v>
      </c>
      <c r="Z2866" t="s">
        <v>1002</v>
      </c>
      <c r="AA2866" t="s">
        <v>1977</v>
      </c>
      <c r="AB2866">
        <v>3.75</v>
      </c>
      <c r="AC2866" t="s">
        <v>1569</v>
      </c>
      <c r="AD2866">
        <v>66.94</v>
      </c>
      <c r="AE2866" t="s">
        <v>3196</v>
      </c>
      <c r="AF2866">
        <v>1.3</v>
      </c>
      <c r="AG2866">
        <v>0</v>
      </c>
      <c r="AH2866">
        <v>0</v>
      </c>
      <c r="AI2866" s="4">
        <v>40806</v>
      </c>
    </row>
    <row r="2867" spans="1:35">
      <c r="A2867">
        <v>2866</v>
      </c>
      <c r="B2867" t="str">
        <f>"002610"</f>
        <v>002610</v>
      </c>
      <c r="C2867" t="s">
        <v>12700</v>
      </c>
      <c r="D2867" s="4">
        <v>43190</v>
      </c>
      <c r="E2867" t="s">
        <v>830</v>
      </c>
      <c r="F2867" t="s">
        <v>2694</v>
      </c>
      <c r="G2867" t="s">
        <v>2209</v>
      </c>
      <c r="H2867">
        <v>0</v>
      </c>
      <c r="I2867">
        <v>1.28</v>
      </c>
      <c r="J2867">
        <v>0.25</v>
      </c>
      <c r="K2867" t="s">
        <v>895</v>
      </c>
      <c r="L2867">
        <v>34.35</v>
      </c>
      <c r="M2867" t="s">
        <v>5972</v>
      </c>
      <c r="N2867" t="s">
        <v>6295</v>
      </c>
      <c r="O2867" t="s">
        <v>12701</v>
      </c>
      <c r="P2867" t="s">
        <v>12702</v>
      </c>
      <c r="Q2867">
        <v>52.04</v>
      </c>
      <c r="R2867" t="s">
        <v>3259</v>
      </c>
      <c r="S2867">
        <v>0.08</v>
      </c>
      <c r="T2867">
        <v>17.03</v>
      </c>
      <c r="U2867" t="s">
        <v>2634</v>
      </c>
      <c r="V2867" t="s">
        <v>1064</v>
      </c>
      <c r="W2867" t="s">
        <v>4997</v>
      </c>
      <c r="X2867">
        <v>0.25</v>
      </c>
      <c r="Y2867" t="s">
        <v>3472</v>
      </c>
      <c r="Z2867" t="s">
        <v>1592</v>
      </c>
      <c r="AA2867" t="s">
        <v>763</v>
      </c>
      <c r="AB2867">
        <v>1.64</v>
      </c>
      <c r="AC2867" t="s">
        <v>5126</v>
      </c>
      <c r="AD2867">
        <v>34.729999999999997</v>
      </c>
      <c r="AE2867" t="s">
        <v>2035</v>
      </c>
      <c r="AF2867">
        <v>0.19</v>
      </c>
      <c r="AG2867">
        <v>0</v>
      </c>
      <c r="AH2867">
        <v>0</v>
      </c>
      <c r="AI2867" s="4">
        <v>40770</v>
      </c>
    </row>
    <row r="2868" spans="1:35">
      <c r="A2868">
        <v>2867</v>
      </c>
      <c r="B2868" t="str">
        <f>"002459"</f>
        <v>002459</v>
      </c>
      <c r="C2868" t="s">
        <v>12703</v>
      </c>
      <c r="D2868" s="4">
        <v>43190</v>
      </c>
      <c r="E2868" t="s">
        <v>1934</v>
      </c>
      <c r="F2868" t="s">
        <v>185</v>
      </c>
      <c r="G2868" t="s">
        <v>3809</v>
      </c>
      <c r="H2868">
        <v>0.01</v>
      </c>
      <c r="I2868">
        <v>3.25</v>
      </c>
      <c r="J2868">
        <v>0.25</v>
      </c>
      <c r="K2868" t="s">
        <v>12704</v>
      </c>
      <c r="L2868">
        <v>77.959999999999994</v>
      </c>
      <c r="M2868" t="s">
        <v>12705</v>
      </c>
      <c r="N2868" t="s">
        <v>7095</v>
      </c>
      <c r="O2868" t="s">
        <v>1765</v>
      </c>
      <c r="P2868" t="s">
        <v>3453</v>
      </c>
      <c r="Q2868">
        <v>31.94</v>
      </c>
      <c r="R2868" t="s">
        <v>12706</v>
      </c>
      <c r="S2868">
        <v>-2.15</v>
      </c>
      <c r="T2868">
        <v>19.43</v>
      </c>
      <c r="U2868" t="s">
        <v>161</v>
      </c>
      <c r="V2868" t="s">
        <v>1094</v>
      </c>
      <c r="W2868" t="s">
        <v>1789</v>
      </c>
      <c r="X2868">
        <v>0.25</v>
      </c>
      <c r="Y2868" t="s">
        <v>1597</v>
      </c>
      <c r="Z2868" t="s">
        <v>284</v>
      </c>
      <c r="AA2868" t="s">
        <v>3991</v>
      </c>
      <c r="AB2868">
        <v>3.78</v>
      </c>
      <c r="AC2868" t="s">
        <v>164</v>
      </c>
      <c r="AD2868">
        <v>87.73</v>
      </c>
      <c r="AE2868" t="s">
        <v>1190</v>
      </c>
      <c r="AF2868">
        <v>4.3099999999999996</v>
      </c>
      <c r="AG2868">
        <v>0</v>
      </c>
      <c r="AH2868">
        <v>0</v>
      </c>
      <c r="AI2868" s="4">
        <v>40400</v>
      </c>
    </row>
    <row r="2869" spans="1:35">
      <c r="A2869">
        <v>2868</v>
      </c>
      <c r="B2869" t="str">
        <f>"600730"</f>
        <v>600730</v>
      </c>
      <c r="C2869" t="s">
        <v>12707</v>
      </c>
      <c r="D2869" s="4">
        <v>43190</v>
      </c>
      <c r="E2869" t="s">
        <v>2647</v>
      </c>
      <c r="F2869" t="s">
        <v>2647</v>
      </c>
      <c r="G2869">
        <v>8905</v>
      </c>
      <c r="H2869">
        <v>0.01</v>
      </c>
      <c r="I2869">
        <v>3.45</v>
      </c>
      <c r="J2869">
        <v>0.25</v>
      </c>
      <c r="K2869" t="s">
        <v>9974</v>
      </c>
      <c r="L2869">
        <v>122.73</v>
      </c>
      <c r="M2869" t="s">
        <v>4519</v>
      </c>
      <c r="N2869" t="s">
        <v>12708</v>
      </c>
      <c r="O2869" t="s">
        <v>12709</v>
      </c>
      <c r="P2869" t="s">
        <v>8482</v>
      </c>
      <c r="Q2869">
        <v>605.49</v>
      </c>
      <c r="R2869" t="s">
        <v>4384</v>
      </c>
      <c r="S2869">
        <v>1.5</v>
      </c>
      <c r="T2869">
        <v>92.35</v>
      </c>
      <c r="U2869" t="s">
        <v>1419</v>
      </c>
      <c r="V2869" t="s">
        <v>1313</v>
      </c>
      <c r="W2869" t="s">
        <v>8333</v>
      </c>
      <c r="X2869">
        <v>0.25</v>
      </c>
      <c r="Y2869" t="s">
        <v>79</v>
      </c>
      <c r="Z2869" t="s">
        <v>1349</v>
      </c>
      <c r="AA2869" t="s">
        <v>50</v>
      </c>
      <c r="AB2869">
        <v>1.37</v>
      </c>
      <c r="AC2869" t="s">
        <v>418</v>
      </c>
      <c r="AD2869">
        <v>53.15</v>
      </c>
      <c r="AE2869" t="s">
        <v>12710</v>
      </c>
      <c r="AF2869">
        <v>0.09</v>
      </c>
      <c r="AG2869">
        <v>0</v>
      </c>
      <c r="AH2869">
        <v>0</v>
      </c>
      <c r="AI2869" s="4">
        <v>35272</v>
      </c>
    </row>
    <row r="2870" spans="1:35">
      <c r="A2870">
        <v>2869</v>
      </c>
      <c r="B2870" t="str">
        <f>"601106"</f>
        <v>601106</v>
      </c>
      <c r="C2870" t="s">
        <v>12711</v>
      </c>
      <c r="D2870" s="4">
        <v>43190</v>
      </c>
      <c r="E2870" t="s">
        <v>1580</v>
      </c>
      <c r="F2870" t="s">
        <v>2740</v>
      </c>
      <c r="G2870" t="s">
        <v>3215</v>
      </c>
      <c r="H2870">
        <v>0</v>
      </c>
      <c r="I2870">
        <v>1.58</v>
      </c>
      <c r="J2870">
        <v>0.25</v>
      </c>
      <c r="K2870" t="s">
        <v>700</v>
      </c>
      <c r="L2870">
        <v>75.260000000000005</v>
      </c>
      <c r="M2870" t="s">
        <v>12712</v>
      </c>
      <c r="N2870">
        <v>5096</v>
      </c>
      <c r="O2870" t="s">
        <v>4932</v>
      </c>
      <c r="P2870" t="s">
        <v>7080</v>
      </c>
      <c r="Q2870">
        <v>352.16</v>
      </c>
      <c r="R2870" t="s">
        <v>12713</v>
      </c>
      <c r="S2870">
        <v>-0.85</v>
      </c>
      <c r="T2870">
        <v>12.71</v>
      </c>
      <c r="U2870" t="s">
        <v>11730</v>
      </c>
      <c r="V2870" t="s">
        <v>1468</v>
      </c>
      <c r="W2870" t="s">
        <v>8005</v>
      </c>
      <c r="X2870">
        <v>0.25</v>
      </c>
      <c r="Y2870" t="s">
        <v>4816</v>
      </c>
      <c r="Z2870" t="s">
        <v>5633</v>
      </c>
      <c r="AA2870" t="s">
        <v>581</v>
      </c>
      <c r="AB2870">
        <v>1.94</v>
      </c>
      <c r="AC2870" t="s">
        <v>586</v>
      </c>
      <c r="AD2870">
        <v>31.63</v>
      </c>
      <c r="AE2870" t="s">
        <v>3166</v>
      </c>
      <c r="AF2870">
        <v>1.41</v>
      </c>
      <c r="AG2870">
        <v>0</v>
      </c>
      <c r="AH2870">
        <v>0</v>
      </c>
      <c r="AI2870" s="4">
        <v>40218</v>
      </c>
    </row>
    <row r="2871" spans="1:35">
      <c r="A2871">
        <v>2870</v>
      </c>
      <c r="B2871" t="str">
        <f>"603999"</f>
        <v>603999</v>
      </c>
      <c r="C2871" t="s">
        <v>12714</v>
      </c>
      <c r="D2871" s="4">
        <v>43190</v>
      </c>
      <c r="E2871" t="s">
        <v>2310</v>
      </c>
      <c r="F2871" t="s">
        <v>985</v>
      </c>
      <c r="G2871">
        <v>6093</v>
      </c>
      <c r="H2871">
        <v>0.01</v>
      </c>
      <c r="I2871">
        <v>2.94</v>
      </c>
      <c r="J2871">
        <v>0.25</v>
      </c>
      <c r="K2871" t="s">
        <v>711</v>
      </c>
      <c r="L2871">
        <v>33.33</v>
      </c>
      <c r="M2871" t="s">
        <v>3151</v>
      </c>
      <c r="N2871" t="s">
        <v>7719</v>
      </c>
      <c r="O2871" t="s">
        <v>2920</v>
      </c>
      <c r="P2871" t="s">
        <v>11062</v>
      </c>
      <c r="Q2871">
        <v>-71.010000000000005</v>
      </c>
      <c r="R2871" t="s">
        <v>2010</v>
      </c>
      <c r="S2871">
        <v>1.28</v>
      </c>
      <c r="T2871">
        <v>20.05</v>
      </c>
      <c r="U2871" t="s">
        <v>712</v>
      </c>
      <c r="V2871" t="s">
        <v>548</v>
      </c>
      <c r="W2871" t="s">
        <v>3674</v>
      </c>
      <c r="X2871">
        <v>0.25</v>
      </c>
      <c r="Y2871" t="s">
        <v>1067</v>
      </c>
      <c r="Z2871" t="s">
        <v>415</v>
      </c>
      <c r="AA2871" t="s">
        <v>12715</v>
      </c>
      <c r="AB2871">
        <v>2.0499999999999998</v>
      </c>
      <c r="AC2871" t="s">
        <v>115</v>
      </c>
      <c r="AD2871">
        <v>83.5</v>
      </c>
      <c r="AE2871" t="s">
        <v>1664</v>
      </c>
      <c r="AF2871">
        <v>0.49</v>
      </c>
      <c r="AG2871">
        <v>0</v>
      </c>
      <c r="AH2871">
        <v>0</v>
      </c>
      <c r="AI2871" s="4">
        <v>42348</v>
      </c>
    </row>
    <row r="2872" spans="1:35">
      <c r="A2872">
        <v>2871</v>
      </c>
      <c r="B2872" t="str">
        <f>"603966"</f>
        <v>603966</v>
      </c>
      <c r="C2872" t="s">
        <v>12716</v>
      </c>
      <c r="D2872" s="4">
        <v>43190</v>
      </c>
      <c r="E2872" t="s">
        <v>319</v>
      </c>
      <c r="F2872" t="s">
        <v>12717</v>
      </c>
      <c r="G2872">
        <v>4070</v>
      </c>
      <c r="H2872">
        <v>0.01</v>
      </c>
      <c r="I2872">
        <v>5.17</v>
      </c>
      <c r="J2872">
        <v>0.24</v>
      </c>
      <c r="K2872" t="s">
        <v>1626</v>
      </c>
      <c r="L2872">
        <v>25.89</v>
      </c>
      <c r="M2872" t="s">
        <v>12683</v>
      </c>
      <c r="N2872" t="s">
        <v>12718</v>
      </c>
      <c r="O2872" t="s">
        <v>10859</v>
      </c>
      <c r="P2872" t="s">
        <v>5255</v>
      </c>
      <c r="Q2872">
        <v>23.25</v>
      </c>
      <c r="R2872" t="s">
        <v>726</v>
      </c>
      <c r="S2872">
        <v>1.59</v>
      </c>
      <c r="T2872">
        <v>24.13</v>
      </c>
      <c r="U2872" t="s">
        <v>192</v>
      </c>
      <c r="V2872" t="s">
        <v>703</v>
      </c>
      <c r="W2872" t="s">
        <v>1839</v>
      </c>
      <c r="X2872">
        <v>0.24</v>
      </c>
      <c r="Y2872" t="s">
        <v>2041</v>
      </c>
      <c r="Z2872" t="s">
        <v>1206</v>
      </c>
      <c r="AA2872" t="s">
        <v>4497</v>
      </c>
      <c r="AB2872">
        <v>2.2799999999999998</v>
      </c>
      <c r="AC2872" t="s">
        <v>909</v>
      </c>
      <c r="AD2872">
        <v>70.52</v>
      </c>
      <c r="AE2872" t="s">
        <v>2029</v>
      </c>
      <c r="AF2872">
        <v>2.3199999999999998</v>
      </c>
      <c r="AG2872">
        <v>0</v>
      </c>
      <c r="AH2872">
        <v>0</v>
      </c>
      <c r="AI2872" s="4">
        <v>42760</v>
      </c>
    </row>
    <row r="2873" spans="1:35">
      <c r="A2873">
        <v>2872</v>
      </c>
      <c r="B2873" t="str">
        <f>"600069"</f>
        <v>600069</v>
      </c>
      <c r="C2873" t="s">
        <v>12719</v>
      </c>
      <c r="D2873" s="4">
        <v>43190</v>
      </c>
      <c r="E2873" t="s">
        <v>1062</v>
      </c>
      <c r="F2873" t="s">
        <v>295</v>
      </c>
      <c r="G2873" t="s">
        <v>3789</v>
      </c>
      <c r="H2873">
        <v>0</v>
      </c>
      <c r="I2873">
        <v>1.3</v>
      </c>
      <c r="J2873">
        <v>0.24</v>
      </c>
      <c r="K2873" t="s">
        <v>43</v>
      </c>
      <c r="L2873">
        <v>5.58</v>
      </c>
      <c r="M2873" t="s">
        <v>12720</v>
      </c>
      <c r="N2873">
        <v>0</v>
      </c>
      <c r="O2873" t="s">
        <v>2594</v>
      </c>
      <c r="P2873" t="s">
        <v>12721</v>
      </c>
      <c r="Q2873">
        <v>117.84</v>
      </c>
      <c r="R2873" t="s">
        <v>12722</v>
      </c>
      <c r="S2873">
        <v>-0.67</v>
      </c>
      <c r="T2873">
        <v>8.61</v>
      </c>
      <c r="U2873" t="s">
        <v>1925</v>
      </c>
      <c r="V2873" t="s">
        <v>356</v>
      </c>
      <c r="W2873" t="s">
        <v>983</v>
      </c>
      <c r="X2873">
        <v>0.24</v>
      </c>
      <c r="Y2873" t="s">
        <v>1700</v>
      </c>
      <c r="Z2873" t="s">
        <v>981</v>
      </c>
      <c r="AA2873" t="s">
        <v>1067</v>
      </c>
      <c r="AB2873">
        <v>3.06</v>
      </c>
      <c r="AC2873" t="s">
        <v>576</v>
      </c>
      <c r="AD2873">
        <v>44.04</v>
      </c>
      <c r="AE2873" t="s">
        <v>516</v>
      </c>
      <c r="AF2873">
        <v>0.92</v>
      </c>
      <c r="AG2873">
        <v>0</v>
      </c>
      <c r="AH2873">
        <v>0</v>
      </c>
      <c r="AI2873" s="4">
        <v>35550</v>
      </c>
    </row>
    <row r="2874" spans="1:35">
      <c r="A2874">
        <v>2873</v>
      </c>
      <c r="B2874" t="str">
        <f>"300312"</f>
        <v>300312</v>
      </c>
      <c r="C2874" t="s">
        <v>12723</v>
      </c>
      <c r="D2874" s="4">
        <v>43190</v>
      </c>
      <c r="E2874" t="s">
        <v>824</v>
      </c>
      <c r="F2874" t="s">
        <v>37</v>
      </c>
      <c r="G2874" t="s">
        <v>2645</v>
      </c>
      <c r="H2874">
        <v>0</v>
      </c>
      <c r="I2874">
        <v>2.02</v>
      </c>
      <c r="J2874">
        <v>0.24</v>
      </c>
      <c r="K2874" t="s">
        <v>12724</v>
      </c>
      <c r="L2874">
        <v>-20.53</v>
      </c>
      <c r="M2874" t="s">
        <v>10472</v>
      </c>
      <c r="N2874" t="s">
        <v>12725</v>
      </c>
      <c r="O2874" t="s">
        <v>6990</v>
      </c>
      <c r="P2874" t="s">
        <v>6187</v>
      </c>
      <c r="Q2874">
        <v>111.48</v>
      </c>
      <c r="R2874" t="s">
        <v>12726</v>
      </c>
      <c r="S2874">
        <v>-0.1</v>
      </c>
      <c r="T2874">
        <v>53.75</v>
      </c>
      <c r="U2874" t="s">
        <v>147</v>
      </c>
      <c r="V2874" t="s">
        <v>2512</v>
      </c>
      <c r="W2874" t="s">
        <v>12727</v>
      </c>
      <c r="X2874">
        <v>0.24</v>
      </c>
      <c r="Y2874" t="s">
        <v>1059</v>
      </c>
      <c r="Z2874" t="s">
        <v>123</v>
      </c>
      <c r="AA2874" t="s">
        <v>10628</v>
      </c>
      <c r="AB2874">
        <v>2.77</v>
      </c>
      <c r="AC2874" t="s">
        <v>4760</v>
      </c>
      <c r="AD2874">
        <v>57.67</v>
      </c>
      <c r="AE2874" t="s">
        <v>1967</v>
      </c>
      <c r="AF2874">
        <v>1.04</v>
      </c>
      <c r="AG2874">
        <v>0</v>
      </c>
      <c r="AH2874">
        <v>0</v>
      </c>
      <c r="AI2874" s="4">
        <v>41037</v>
      </c>
    </row>
    <row r="2875" spans="1:35">
      <c r="A2875">
        <v>2874</v>
      </c>
      <c r="B2875" t="str">
        <f>"002780"</f>
        <v>002780</v>
      </c>
      <c r="C2875" t="s">
        <v>12728</v>
      </c>
      <c r="D2875" s="4">
        <v>43190</v>
      </c>
      <c r="E2875" t="s">
        <v>355</v>
      </c>
      <c r="F2875" t="s">
        <v>7312</v>
      </c>
      <c r="G2875">
        <v>4388</v>
      </c>
      <c r="H2875">
        <v>0.01</v>
      </c>
      <c r="I2875">
        <v>5.67</v>
      </c>
      <c r="J2875">
        <v>0.24</v>
      </c>
      <c r="K2875" t="s">
        <v>12729</v>
      </c>
      <c r="L2875">
        <v>37.33</v>
      </c>
      <c r="M2875" t="s">
        <v>12683</v>
      </c>
      <c r="N2875">
        <v>0</v>
      </c>
      <c r="O2875" t="s">
        <v>12117</v>
      </c>
      <c r="P2875" t="s">
        <v>5106</v>
      </c>
      <c r="Q2875">
        <v>151.84</v>
      </c>
      <c r="R2875" t="s">
        <v>372</v>
      </c>
      <c r="S2875">
        <v>1.21</v>
      </c>
      <c r="T2875">
        <v>46.78</v>
      </c>
      <c r="U2875" t="s">
        <v>1658</v>
      </c>
      <c r="V2875" t="s">
        <v>3196</v>
      </c>
      <c r="W2875" t="s">
        <v>12730</v>
      </c>
      <c r="X2875">
        <v>0.24</v>
      </c>
      <c r="Y2875" t="s">
        <v>985</v>
      </c>
      <c r="Z2875" t="s">
        <v>1839</v>
      </c>
      <c r="AA2875" t="s">
        <v>12731</v>
      </c>
      <c r="AB2875">
        <v>3.27</v>
      </c>
      <c r="AC2875" t="s">
        <v>1909</v>
      </c>
      <c r="AD2875">
        <v>73.47</v>
      </c>
      <c r="AE2875" t="s">
        <v>375</v>
      </c>
      <c r="AF2875">
        <v>3.4</v>
      </c>
      <c r="AG2875">
        <v>0</v>
      </c>
      <c r="AH2875">
        <v>0</v>
      </c>
      <c r="AI2875" s="4">
        <v>42347</v>
      </c>
    </row>
    <row r="2876" spans="1:35">
      <c r="A2876">
        <v>2875</v>
      </c>
      <c r="B2876" t="str">
        <f>"002628"</f>
        <v>002628</v>
      </c>
      <c r="C2876" t="s">
        <v>12732</v>
      </c>
      <c r="D2876" s="4">
        <v>43190</v>
      </c>
      <c r="E2876" t="s">
        <v>46</v>
      </c>
      <c r="F2876" t="s">
        <v>1073</v>
      </c>
      <c r="G2876" t="s">
        <v>2097</v>
      </c>
      <c r="H2876">
        <v>0.01</v>
      </c>
      <c r="I2876">
        <v>3.63</v>
      </c>
      <c r="J2876">
        <v>0.24</v>
      </c>
      <c r="K2876" t="s">
        <v>1383</v>
      </c>
      <c r="L2876">
        <v>49.78</v>
      </c>
      <c r="M2876" t="s">
        <v>12733</v>
      </c>
      <c r="N2876" t="s">
        <v>12734</v>
      </c>
      <c r="O2876" t="s">
        <v>7850</v>
      </c>
      <c r="P2876" t="s">
        <v>5749</v>
      </c>
      <c r="Q2876">
        <v>-11.29</v>
      </c>
      <c r="R2876" t="s">
        <v>2383</v>
      </c>
      <c r="S2876">
        <v>1.26</v>
      </c>
      <c r="T2876">
        <v>4.1900000000000004</v>
      </c>
      <c r="U2876" t="s">
        <v>1326</v>
      </c>
      <c r="V2876" t="s">
        <v>1890</v>
      </c>
      <c r="W2876" t="s">
        <v>9659</v>
      </c>
      <c r="X2876">
        <v>0.24</v>
      </c>
      <c r="Y2876" t="s">
        <v>1943</v>
      </c>
      <c r="Z2876" t="s">
        <v>826</v>
      </c>
      <c r="AA2876" t="s">
        <v>552</v>
      </c>
      <c r="AB2876">
        <v>1.24</v>
      </c>
      <c r="AC2876" t="s">
        <v>2100</v>
      </c>
      <c r="AD2876">
        <v>51.41</v>
      </c>
      <c r="AE2876" t="s">
        <v>1375</v>
      </c>
      <c r="AF2876">
        <v>1.1399999999999999</v>
      </c>
      <c r="AG2876">
        <v>0</v>
      </c>
      <c r="AH2876">
        <v>0</v>
      </c>
      <c r="AI2876" s="4">
        <v>40850</v>
      </c>
    </row>
    <row r="2877" spans="1:35">
      <c r="A2877">
        <v>2876</v>
      </c>
      <c r="B2877" t="str">
        <f>"002309"</f>
        <v>002309</v>
      </c>
      <c r="C2877" t="s">
        <v>12735</v>
      </c>
      <c r="D2877" s="4">
        <v>43190</v>
      </c>
      <c r="E2877" t="s">
        <v>7960</v>
      </c>
      <c r="F2877" t="s">
        <v>2686</v>
      </c>
      <c r="G2877" t="s">
        <v>3809</v>
      </c>
      <c r="H2877">
        <v>0.03</v>
      </c>
      <c r="I2877">
        <v>10.33</v>
      </c>
      <c r="J2877">
        <v>0.24</v>
      </c>
      <c r="K2877" t="s">
        <v>249</v>
      </c>
      <c r="L2877">
        <v>11.13</v>
      </c>
      <c r="M2877" t="s">
        <v>12736</v>
      </c>
      <c r="N2877" t="s">
        <v>332</v>
      </c>
      <c r="O2877" t="s">
        <v>11288</v>
      </c>
      <c r="P2877" t="s">
        <v>8464</v>
      </c>
      <c r="Q2877">
        <v>108.71</v>
      </c>
      <c r="R2877" t="s">
        <v>980</v>
      </c>
      <c r="S2877">
        <v>2.11</v>
      </c>
      <c r="T2877">
        <v>15.04</v>
      </c>
      <c r="U2877" t="s">
        <v>2798</v>
      </c>
      <c r="V2877" t="s">
        <v>1193</v>
      </c>
      <c r="W2877" t="s">
        <v>1742</v>
      </c>
      <c r="X2877">
        <v>0.24</v>
      </c>
      <c r="Y2877" t="s">
        <v>462</v>
      </c>
      <c r="Z2877" t="s">
        <v>3118</v>
      </c>
      <c r="AA2877" t="s">
        <v>152</v>
      </c>
      <c r="AB2877">
        <v>1.38</v>
      </c>
      <c r="AC2877" t="s">
        <v>12144</v>
      </c>
      <c r="AD2877">
        <v>31.32</v>
      </c>
      <c r="AE2877" t="s">
        <v>3565</v>
      </c>
      <c r="AF2877">
        <v>7.08</v>
      </c>
      <c r="AG2877">
        <v>0</v>
      </c>
      <c r="AH2877">
        <v>0</v>
      </c>
      <c r="AI2877" s="4">
        <v>40144</v>
      </c>
    </row>
    <row r="2878" spans="1:35">
      <c r="A2878">
        <v>2877</v>
      </c>
      <c r="B2878" t="str">
        <f>"002178"</f>
        <v>002178</v>
      </c>
      <c r="C2878" t="s">
        <v>12737</v>
      </c>
      <c r="D2878" s="4">
        <v>43190</v>
      </c>
      <c r="E2878" t="s">
        <v>3196</v>
      </c>
      <c r="F2878" t="s">
        <v>1523</v>
      </c>
      <c r="G2878">
        <v>9705</v>
      </c>
      <c r="H2878">
        <v>0</v>
      </c>
      <c r="I2878">
        <v>1.63</v>
      </c>
      <c r="J2878">
        <v>0.24</v>
      </c>
      <c r="K2878" t="s">
        <v>1048</v>
      </c>
      <c r="L2878">
        <v>9.85</v>
      </c>
      <c r="M2878" t="s">
        <v>8834</v>
      </c>
      <c r="N2878" t="s">
        <v>12738</v>
      </c>
      <c r="O2878" t="s">
        <v>2945</v>
      </c>
      <c r="P2878" t="s">
        <v>6481</v>
      </c>
      <c r="Q2878">
        <v>111.83</v>
      </c>
      <c r="R2878" t="s">
        <v>595</v>
      </c>
      <c r="S2878">
        <v>0.19</v>
      </c>
      <c r="T2878">
        <v>8.74</v>
      </c>
      <c r="U2878" t="s">
        <v>243</v>
      </c>
      <c r="V2878" t="s">
        <v>983</v>
      </c>
      <c r="W2878" t="s">
        <v>10915</v>
      </c>
      <c r="X2878">
        <v>0.24</v>
      </c>
      <c r="Y2878" t="s">
        <v>1976</v>
      </c>
      <c r="Z2878" t="s">
        <v>3161</v>
      </c>
      <c r="AA2878" t="s">
        <v>8414</v>
      </c>
      <c r="AB2878">
        <v>4.13</v>
      </c>
      <c r="AC2878" t="s">
        <v>613</v>
      </c>
      <c r="AD2878">
        <v>51.66</v>
      </c>
      <c r="AE2878" t="s">
        <v>234</v>
      </c>
      <c r="AF2878">
        <v>0.39</v>
      </c>
      <c r="AG2878">
        <v>0</v>
      </c>
      <c r="AH2878">
        <v>0</v>
      </c>
      <c r="AI2878" s="4">
        <v>39387</v>
      </c>
    </row>
    <row r="2879" spans="1:35">
      <c r="A2879">
        <v>2878</v>
      </c>
      <c r="B2879" t="str">
        <f>"002037"</f>
        <v>002037</v>
      </c>
      <c r="C2879" t="s">
        <v>12739</v>
      </c>
      <c r="D2879" s="4">
        <v>43190</v>
      </c>
      <c r="E2879" t="s">
        <v>1400</v>
      </c>
      <c r="F2879" t="s">
        <v>1400</v>
      </c>
      <c r="G2879" t="s">
        <v>6078</v>
      </c>
      <c r="H2879">
        <v>0.02</v>
      </c>
      <c r="I2879">
        <v>6.33</v>
      </c>
      <c r="J2879">
        <v>0.24</v>
      </c>
      <c r="K2879" t="s">
        <v>895</v>
      </c>
      <c r="L2879">
        <v>43.47</v>
      </c>
      <c r="M2879" t="s">
        <v>7287</v>
      </c>
      <c r="N2879" t="s">
        <v>8173</v>
      </c>
      <c r="O2879" t="s">
        <v>2891</v>
      </c>
      <c r="P2879" t="s">
        <v>11311</v>
      </c>
      <c r="Q2879">
        <v>-21.91</v>
      </c>
      <c r="R2879" t="s">
        <v>4097</v>
      </c>
      <c r="S2879">
        <v>2.84</v>
      </c>
      <c r="T2879">
        <v>15.01</v>
      </c>
      <c r="U2879" t="s">
        <v>3824</v>
      </c>
      <c r="V2879" t="s">
        <v>1160</v>
      </c>
      <c r="W2879" t="s">
        <v>250</v>
      </c>
      <c r="X2879">
        <v>0.24</v>
      </c>
      <c r="Y2879" t="s">
        <v>713</v>
      </c>
      <c r="Z2879" t="s">
        <v>893</v>
      </c>
      <c r="AA2879" t="s">
        <v>4877</v>
      </c>
      <c r="AB2879">
        <v>1.42</v>
      </c>
      <c r="AC2879" t="s">
        <v>3356</v>
      </c>
      <c r="AD2879">
        <v>26.8</v>
      </c>
      <c r="AE2879" t="s">
        <v>3587</v>
      </c>
      <c r="AF2879">
        <v>1.89</v>
      </c>
      <c r="AG2879">
        <v>0</v>
      </c>
      <c r="AH2879">
        <v>0</v>
      </c>
      <c r="AI2879" s="4">
        <v>38238</v>
      </c>
    </row>
    <row r="2880" spans="1:35">
      <c r="A2880">
        <v>2879</v>
      </c>
      <c r="B2880" t="str">
        <f>"600237"</f>
        <v>600237</v>
      </c>
      <c r="C2880" t="s">
        <v>12740</v>
      </c>
      <c r="D2880" s="4">
        <v>43190</v>
      </c>
      <c r="E2880" t="s">
        <v>1121</v>
      </c>
      <c r="F2880" t="s">
        <v>1121</v>
      </c>
      <c r="G2880">
        <v>9826</v>
      </c>
      <c r="H2880">
        <v>0.01</v>
      </c>
      <c r="I2880">
        <v>2.19</v>
      </c>
      <c r="J2880">
        <v>0.23</v>
      </c>
      <c r="K2880" t="s">
        <v>844</v>
      </c>
      <c r="L2880">
        <v>7.34</v>
      </c>
      <c r="M2880" t="s">
        <v>2937</v>
      </c>
      <c r="N2880">
        <v>0</v>
      </c>
      <c r="O2880" t="s">
        <v>2363</v>
      </c>
      <c r="P2880" t="s">
        <v>3693</v>
      </c>
      <c r="Q2880">
        <v>-37.68</v>
      </c>
      <c r="R2880" t="s">
        <v>12741</v>
      </c>
      <c r="S2880">
        <v>-0.41</v>
      </c>
      <c r="T2880">
        <v>17.88</v>
      </c>
      <c r="U2880" t="s">
        <v>712</v>
      </c>
      <c r="V2880" t="s">
        <v>1223</v>
      </c>
      <c r="W2880" t="s">
        <v>3757</v>
      </c>
      <c r="X2880">
        <v>0.23</v>
      </c>
      <c r="Y2880" t="s">
        <v>7533</v>
      </c>
      <c r="Z2880" t="s">
        <v>1249</v>
      </c>
      <c r="AA2880" t="s">
        <v>7871</v>
      </c>
      <c r="AB2880">
        <v>1.63</v>
      </c>
      <c r="AC2880" t="s">
        <v>548</v>
      </c>
      <c r="AD2880">
        <v>60.86</v>
      </c>
      <c r="AE2880" t="s">
        <v>1047</v>
      </c>
      <c r="AF2880">
        <v>1.48</v>
      </c>
      <c r="AG2880">
        <v>0</v>
      </c>
      <c r="AH2880">
        <v>0</v>
      </c>
      <c r="AI2880" s="4">
        <v>36686</v>
      </c>
    </row>
    <row r="2881" spans="1:35">
      <c r="A2881">
        <v>2880</v>
      </c>
      <c r="B2881" t="str">
        <f>"300513"</f>
        <v>300513</v>
      </c>
      <c r="C2881" t="s">
        <v>12742</v>
      </c>
      <c r="D2881" s="4">
        <v>43190</v>
      </c>
      <c r="E2881" t="s">
        <v>2069</v>
      </c>
      <c r="F2881" t="s">
        <v>12743</v>
      </c>
      <c r="G2881">
        <v>6580</v>
      </c>
      <c r="H2881">
        <v>0.01</v>
      </c>
      <c r="I2881">
        <v>12.69</v>
      </c>
      <c r="J2881">
        <v>0.23</v>
      </c>
      <c r="K2881" t="s">
        <v>12744</v>
      </c>
      <c r="L2881">
        <v>115.15</v>
      </c>
      <c r="M2881" t="s">
        <v>1854</v>
      </c>
      <c r="N2881" t="s">
        <v>12745</v>
      </c>
      <c r="O2881" t="s">
        <v>2520</v>
      </c>
      <c r="P2881" t="s">
        <v>3666</v>
      </c>
      <c r="Q2881">
        <v>912.47</v>
      </c>
      <c r="R2881" t="s">
        <v>975</v>
      </c>
      <c r="S2881">
        <v>1.2</v>
      </c>
      <c r="T2881">
        <v>36.92</v>
      </c>
      <c r="U2881" t="s">
        <v>1173</v>
      </c>
      <c r="V2881" t="s">
        <v>488</v>
      </c>
      <c r="W2881" t="s">
        <v>8243</v>
      </c>
      <c r="X2881">
        <v>0.23</v>
      </c>
      <c r="Y2881" t="s">
        <v>454</v>
      </c>
      <c r="Z2881" t="s">
        <v>193</v>
      </c>
      <c r="AA2881" t="s">
        <v>11252</v>
      </c>
      <c r="AB2881">
        <v>2.25</v>
      </c>
      <c r="AC2881" t="s">
        <v>2490</v>
      </c>
      <c r="AD2881">
        <v>67.41</v>
      </c>
      <c r="AE2881" t="s">
        <v>1435</v>
      </c>
      <c r="AF2881">
        <v>10.36</v>
      </c>
      <c r="AG2881">
        <v>0</v>
      </c>
      <c r="AH2881">
        <v>0</v>
      </c>
      <c r="AI2881" s="4">
        <v>42520</v>
      </c>
    </row>
    <row r="2882" spans="1:35">
      <c r="A2882">
        <v>2881</v>
      </c>
      <c r="B2882" t="str">
        <f>"300405"</f>
        <v>300405</v>
      </c>
      <c r="C2882" t="s">
        <v>12746</v>
      </c>
      <c r="D2882" s="4">
        <v>43190</v>
      </c>
      <c r="E2882" t="s">
        <v>1936</v>
      </c>
      <c r="F2882" t="s">
        <v>45</v>
      </c>
      <c r="G2882" t="s">
        <v>70</v>
      </c>
      <c r="H2882">
        <v>0.01</v>
      </c>
      <c r="I2882">
        <v>6.22</v>
      </c>
      <c r="J2882">
        <v>0.23</v>
      </c>
      <c r="K2882" t="s">
        <v>292</v>
      </c>
      <c r="L2882">
        <v>35.229999999999997</v>
      </c>
      <c r="M2882" t="s">
        <v>4710</v>
      </c>
      <c r="N2882" t="s">
        <v>12747</v>
      </c>
      <c r="O2882" t="s">
        <v>4710</v>
      </c>
      <c r="P2882" t="s">
        <v>9398</v>
      </c>
      <c r="Q2882">
        <v>3.13</v>
      </c>
      <c r="R2882" t="s">
        <v>474</v>
      </c>
      <c r="S2882">
        <v>1.58</v>
      </c>
      <c r="T2882">
        <v>15.4</v>
      </c>
      <c r="U2882" t="s">
        <v>757</v>
      </c>
      <c r="V2882" t="s">
        <v>625</v>
      </c>
      <c r="W2882" t="s">
        <v>681</v>
      </c>
      <c r="X2882">
        <v>0.23</v>
      </c>
      <c r="Y2882" t="s">
        <v>1274</v>
      </c>
      <c r="Z2882" t="s">
        <v>1756</v>
      </c>
      <c r="AA2882" t="s">
        <v>11518</v>
      </c>
      <c r="AB2882">
        <v>1.38</v>
      </c>
      <c r="AC2882" t="s">
        <v>2959</v>
      </c>
      <c r="AD2882">
        <v>52.81</v>
      </c>
      <c r="AE2882" t="s">
        <v>2156</v>
      </c>
      <c r="AF2882">
        <v>3.47</v>
      </c>
      <c r="AG2882">
        <v>0</v>
      </c>
      <c r="AH2882">
        <v>0</v>
      </c>
      <c r="AI2882" s="4">
        <v>41942</v>
      </c>
    </row>
    <row r="2883" spans="1:35">
      <c r="A2883">
        <v>2882</v>
      </c>
      <c r="B2883" t="str">
        <f>"300379"</f>
        <v>300379</v>
      </c>
      <c r="C2883" t="s">
        <v>12748</v>
      </c>
      <c r="D2883" s="4">
        <v>43190</v>
      </c>
      <c r="E2883" t="s">
        <v>91</v>
      </c>
      <c r="F2883" t="s">
        <v>1264</v>
      </c>
      <c r="G2883">
        <v>8044</v>
      </c>
      <c r="H2883">
        <v>0.01</v>
      </c>
      <c r="I2883">
        <v>5.24</v>
      </c>
      <c r="J2883">
        <v>0.23</v>
      </c>
      <c r="K2883" t="s">
        <v>12749</v>
      </c>
      <c r="L2883">
        <v>14.78</v>
      </c>
      <c r="M2883" t="s">
        <v>758</v>
      </c>
      <c r="N2883">
        <v>0</v>
      </c>
      <c r="O2883" t="s">
        <v>758</v>
      </c>
      <c r="P2883" t="s">
        <v>7901</v>
      </c>
      <c r="Q2883">
        <v>5.79</v>
      </c>
      <c r="R2883" t="s">
        <v>12750</v>
      </c>
      <c r="S2883">
        <v>-0.12</v>
      </c>
      <c r="T2883">
        <v>88.42</v>
      </c>
      <c r="U2883" t="s">
        <v>833</v>
      </c>
      <c r="V2883" t="s">
        <v>361</v>
      </c>
      <c r="W2883" t="s">
        <v>3003</v>
      </c>
      <c r="X2883">
        <v>0.23</v>
      </c>
      <c r="Y2883" t="s">
        <v>4675</v>
      </c>
      <c r="Z2883" t="s">
        <v>10422</v>
      </c>
      <c r="AA2883" t="s">
        <v>10864</v>
      </c>
      <c r="AB2883">
        <v>2.52</v>
      </c>
      <c r="AC2883" t="s">
        <v>263</v>
      </c>
      <c r="AD2883">
        <v>93.98</v>
      </c>
      <c r="AE2883" t="s">
        <v>250</v>
      </c>
      <c r="AF2883">
        <v>4.26</v>
      </c>
      <c r="AG2883">
        <v>0</v>
      </c>
      <c r="AH2883">
        <v>0</v>
      </c>
      <c r="AI2883" s="4">
        <v>41667</v>
      </c>
    </row>
    <row r="2884" spans="1:35">
      <c r="A2884">
        <v>2883</v>
      </c>
      <c r="B2884" t="str">
        <f>"300378"</f>
        <v>300378</v>
      </c>
      <c r="C2884" t="s">
        <v>12751</v>
      </c>
      <c r="D2884" s="4">
        <v>43190</v>
      </c>
      <c r="E2884" t="s">
        <v>81</v>
      </c>
      <c r="F2884" t="s">
        <v>492</v>
      </c>
      <c r="G2884" t="s">
        <v>4747</v>
      </c>
      <c r="H2884">
        <v>0.01</v>
      </c>
      <c r="I2884">
        <v>4.57</v>
      </c>
      <c r="J2884">
        <v>0.23</v>
      </c>
      <c r="K2884" t="s">
        <v>81</v>
      </c>
      <c r="L2884">
        <v>11.55</v>
      </c>
      <c r="M2884" t="s">
        <v>11928</v>
      </c>
      <c r="N2884" t="s">
        <v>1864</v>
      </c>
      <c r="O2884" t="s">
        <v>12539</v>
      </c>
      <c r="P2884" t="s">
        <v>497</v>
      </c>
      <c r="Q2884">
        <v>131.38</v>
      </c>
      <c r="R2884" t="s">
        <v>1594</v>
      </c>
      <c r="S2884">
        <v>1.2</v>
      </c>
      <c r="T2884">
        <v>86.11</v>
      </c>
      <c r="U2884" t="s">
        <v>275</v>
      </c>
      <c r="V2884" t="s">
        <v>4754</v>
      </c>
      <c r="W2884" t="s">
        <v>3741</v>
      </c>
      <c r="X2884">
        <v>0.23</v>
      </c>
      <c r="Y2884" t="s">
        <v>1770</v>
      </c>
      <c r="Z2884" t="s">
        <v>5195</v>
      </c>
      <c r="AA2884" t="s">
        <v>6750</v>
      </c>
      <c r="AB2884">
        <v>2.5099999999999998</v>
      </c>
      <c r="AC2884" t="s">
        <v>405</v>
      </c>
      <c r="AD2884">
        <v>63.17</v>
      </c>
      <c r="AE2884" t="s">
        <v>607</v>
      </c>
      <c r="AF2884">
        <v>2.2799999999999998</v>
      </c>
      <c r="AG2884">
        <v>0</v>
      </c>
      <c r="AH2884">
        <v>0</v>
      </c>
      <c r="AI2884" s="4">
        <v>41666</v>
      </c>
    </row>
    <row r="2885" spans="1:35">
      <c r="A2885">
        <v>2884</v>
      </c>
      <c r="B2885" t="str">
        <f>"300164"</f>
        <v>300164</v>
      </c>
      <c r="C2885" t="s">
        <v>12752</v>
      </c>
      <c r="D2885" s="4">
        <v>43190</v>
      </c>
      <c r="E2885" t="s">
        <v>4185</v>
      </c>
      <c r="F2885" t="s">
        <v>186</v>
      </c>
      <c r="G2885" t="s">
        <v>5074</v>
      </c>
      <c r="H2885">
        <v>0.01</v>
      </c>
      <c r="I2885">
        <v>3.49</v>
      </c>
      <c r="J2885">
        <v>0.23</v>
      </c>
      <c r="K2885" t="s">
        <v>1152</v>
      </c>
      <c r="L2885">
        <v>164.77</v>
      </c>
      <c r="M2885" t="s">
        <v>6480</v>
      </c>
      <c r="N2885" t="s">
        <v>7690</v>
      </c>
      <c r="O2885" t="s">
        <v>7796</v>
      </c>
      <c r="P2885" t="s">
        <v>4321</v>
      </c>
      <c r="Q2885">
        <v>126.19</v>
      </c>
      <c r="R2885" t="s">
        <v>134</v>
      </c>
      <c r="S2885">
        <v>0.55000000000000004</v>
      </c>
      <c r="T2885">
        <v>39.68</v>
      </c>
      <c r="U2885" t="s">
        <v>1661</v>
      </c>
      <c r="V2885" t="s">
        <v>1223</v>
      </c>
      <c r="W2885" t="s">
        <v>2811</v>
      </c>
      <c r="X2885">
        <v>0.23</v>
      </c>
      <c r="Y2885" t="s">
        <v>1898</v>
      </c>
      <c r="Z2885" t="s">
        <v>2112</v>
      </c>
      <c r="AA2885" t="s">
        <v>3768</v>
      </c>
      <c r="AB2885">
        <v>1.79</v>
      </c>
      <c r="AC2885" t="s">
        <v>1367</v>
      </c>
      <c r="AD2885">
        <v>59.58</v>
      </c>
      <c r="AE2885" t="s">
        <v>724</v>
      </c>
      <c r="AF2885">
        <v>2</v>
      </c>
      <c r="AG2885">
        <v>0</v>
      </c>
      <c r="AH2885">
        <v>0</v>
      </c>
      <c r="AI2885" s="4">
        <v>40556</v>
      </c>
    </row>
    <row r="2886" spans="1:35">
      <c r="A2886">
        <v>2885</v>
      </c>
      <c r="B2886" t="str">
        <f>"300022"</f>
        <v>300022</v>
      </c>
      <c r="C2886" t="s">
        <v>12753</v>
      </c>
      <c r="D2886" s="4">
        <v>43190</v>
      </c>
      <c r="E2886" t="s">
        <v>1682</v>
      </c>
      <c r="F2886" t="s">
        <v>559</v>
      </c>
      <c r="G2886">
        <v>8436</v>
      </c>
      <c r="H2886">
        <v>0</v>
      </c>
      <c r="I2886">
        <v>0.54</v>
      </c>
      <c r="J2886">
        <v>0.23</v>
      </c>
      <c r="K2886" t="s">
        <v>545</v>
      </c>
      <c r="L2886">
        <v>-2.52</v>
      </c>
      <c r="M2886" t="s">
        <v>11252</v>
      </c>
      <c r="N2886" t="s">
        <v>3890</v>
      </c>
      <c r="O2886" t="s">
        <v>12649</v>
      </c>
      <c r="P2886" t="s">
        <v>12754</v>
      </c>
      <c r="Q2886">
        <v>-13.53</v>
      </c>
      <c r="R2886" t="s">
        <v>12755</v>
      </c>
      <c r="S2886">
        <v>-1.03</v>
      </c>
      <c r="T2886">
        <v>14.81</v>
      </c>
      <c r="U2886" t="s">
        <v>1029</v>
      </c>
      <c r="V2886" t="s">
        <v>1284</v>
      </c>
      <c r="W2886" t="s">
        <v>2034</v>
      </c>
      <c r="X2886">
        <v>0.23</v>
      </c>
      <c r="Y2886" t="s">
        <v>389</v>
      </c>
      <c r="Z2886" t="s">
        <v>183</v>
      </c>
      <c r="AA2886" t="s">
        <v>12756</v>
      </c>
      <c r="AB2886">
        <v>6.82</v>
      </c>
      <c r="AC2886" t="s">
        <v>292</v>
      </c>
      <c r="AD2886">
        <v>8.84</v>
      </c>
      <c r="AE2886" t="s">
        <v>1264</v>
      </c>
      <c r="AF2886">
        <v>0.52</v>
      </c>
      <c r="AG2886">
        <v>0</v>
      </c>
      <c r="AH2886">
        <v>0</v>
      </c>
      <c r="AI2886" s="4">
        <v>40116</v>
      </c>
    </row>
    <row r="2887" spans="1:35">
      <c r="A2887">
        <v>2886</v>
      </c>
      <c r="B2887" t="str">
        <f>"002389"</f>
        <v>002389</v>
      </c>
      <c r="C2887" t="s">
        <v>12757</v>
      </c>
      <c r="D2887" s="4">
        <v>43190</v>
      </c>
      <c r="E2887" t="s">
        <v>1817</v>
      </c>
      <c r="F2887" t="s">
        <v>128</v>
      </c>
      <c r="G2887" t="s">
        <v>861</v>
      </c>
      <c r="H2887">
        <v>0.01</v>
      </c>
      <c r="I2887">
        <v>6.3</v>
      </c>
      <c r="J2887">
        <v>0.23</v>
      </c>
      <c r="K2887" t="s">
        <v>153</v>
      </c>
      <c r="L2887">
        <v>489.4</v>
      </c>
      <c r="M2887" t="s">
        <v>10691</v>
      </c>
      <c r="N2887" t="s">
        <v>12758</v>
      </c>
      <c r="O2887" t="s">
        <v>12759</v>
      </c>
      <c r="P2887" t="s">
        <v>6903</v>
      </c>
      <c r="Q2887">
        <v>149.71</v>
      </c>
      <c r="R2887" t="s">
        <v>669</v>
      </c>
      <c r="S2887">
        <v>0.23</v>
      </c>
      <c r="T2887">
        <v>24.59</v>
      </c>
      <c r="U2887" t="s">
        <v>797</v>
      </c>
      <c r="V2887" t="s">
        <v>1785</v>
      </c>
      <c r="W2887" t="s">
        <v>1244</v>
      </c>
      <c r="X2887">
        <v>0.23</v>
      </c>
      <c r="Y2887" t="s">
        <v>926</v>
      </c>
      <c r="Z2887" t="s">
        <v>835</v>
      </c>
      <c r="AA2887" t="s">
        <v>3111</v>
      </c>
      <c r="AB2887">
        <v>2</v>
      </c>
      <c r="AC2887" t="s">
        <v>2390</v>
      </c>
      <c r="AD2887">
        <v>80.680000000000007</v>
      </c>
      <c r="AE2887" t="s">
        <v>732</v>
      </c>
      <c r="AF2887">
        <v>5.03</v>
      </c>
      <c r="AG2887">
        <v>0</v>
      </c>
      <c r="AH2887">
        <v>0</v>
      </c>
      <c r="AI2887" s="4">
        <v>40281</v>
      </c>
    </row>
    <row r="2888" spans="1:35">
      <c r="A2888">
        <v>2887</v>
      </c>
      <c r="B2888" t="str">
        <f>"002177"</f>
        <v>002177</v>
      </c>
      <c r="C2888" t="s">
        <v>12760</v>
      </c>
      <c r="D2888" s="4">
        <v>43190</v>
      </c>
      <c r="E2888" t="s">
        <v>7533</v>
      </c>
      <c r="F2888" t="s">
        <v>4760</v>
      </c>
      <c r="G2888">
        <v>6517</v>
      </c>
      <c r="H2888">
        <v>0.01</v>
      </c>
      <c r="I2888">
        <v>2.23</v>
      </c>
      <c r="J2888">
        <v>0.23</v>
      </c>
      <c r="K2888" t="s">
        <v>1376</v>
      </c>
      <c r="L2888">
        <v>-22.85</v>
      </c>
      <c r="M2888" t="s">
        <v>11894</v>
      </c>
      <c r="N2888" t="s">
        <v>6859</v>
      </c>
      <c r="O2888" t="s">
        <v>11302</v>
      </c>
      <c r="P2888" t="s">
        <v>9430</v>
      </c>
      <c r="Q2888">
        <v>-77.709999999999994</v>
      </c>
      <c r="R2888" t="s">
        <v>4041</v>
      </c>
      <c r="S2888">
        <v>1.1100000000000001</v>
      </c>
      <c r="T2888">
        <v>15.58</v>
      </c>
      <c r="U2888" t="s">
        <v>275</v>
      </c>
      <c r="V2888" t="s">
        <v>4599</v>
      </c>
      <c r="W2888" t="s">
        <v>2889</v>
      </c>
      <c r="X2888">
        <v>0.23</v>
      </c>
      <c r="Y2888" t="s">
        <v>492</v>
      </c>
      <c r="Z2888" t="s">
        <v>985</v>
      </c>
      <c r="AA2888" t="s">
        <v>5534</v>
      </c>
      <c r="AB2888">
        <v>1.67</v>
      </c>
      <c r="AC2888" t="s">
        <v>115</v>
      </c>
      <c r="AD2888">
        <v>86.67</v>
      </c>
      <c r="AE2888" t="s">
        <v>12761</v>
      </c>
      <c r="AF2888">
        <v>0.04</v>
      </c>
      <c r="AG2888">
        <v>0</v>
      </c>
      <c r="AH2888">
        <v>0</v>
      </c>
      <c r="AI2888" s="4">
        <v>39387</v>
      </c>
    </row>
    <row r="2889" spans="1:35">
      <c r="A2889">
        <v>2888</v>
      </c>
      <c r="B2889" t="str">
        <f>"000045"</f>
        <v>000045</v>
      </c>
      <c r="C2889" t="s">
        <v>12762</v>
      </c>
      <c r="D2889" s="4">
        <v>43190</v>
      </c>
      <c r="E2889" t="s">
        <v>1309</v>
      </c>
      <c r="F2889" t="s">
        <v>196</v>
      </c>
      <c r="G2889">
        <v>0</v>
      </c>
      <c r="H2889">
        <v>0.01</v>
      </c>
      <c r="I2889">
        <v>4.7</v>
      </c>
      <c r="J2889">
        <v>0.23</v>
      </c>
      <c r="K2889" t="s">
        <v>682</v>
      </c>
      <c r="L2889">
        <v>-18.75</v>
      </c>
      <c r="M2889" t="s">
        <v>4525</v>
      </c>
      <c r="N2889" t="s">
        <v>1960</v>
      </c>
      <c r="O2889" t="s">
        <v>10760</v>
      </c>
      <c r="P2889" t="s">
        <v>12763</v>
      </c>
      <c r="Q2889">
        <v>30.56</v>
      </c>
      <c r="R2889" t="s">
        <v>12764</v>
      </c>
      <c r="S2889">
        <v>-0.05</v>
      </c>
      <c r="T2889">
        <v>8.99</v>
      </c>
      <c r="U2889" t="s">
        <v>351</v>
      </c>
      <c r="V2889" t="s">
        <v>1386</v>
      </c>
      <c r="W2889" t="s">
        <v>2697</v>
      </c>
      <c r="X2889">
        <v>0.23</v>
      </c>
      <c r="Y2889" t="s">
        <v>359</v>
      </c>
      <c r="Z2889" t="s">
        <v>1721</v>
      </c>
      <c r="AA2889" t="s">
        <v>284</v>
      </c>
      <c r="AB2889">
        <v>1.46</v>
      </c>
      <c r="AC2889" t="s">
        <v>1348</v>
      </c>
      <c r="AD2889">
        <v>57.6</v>
      </c>
      <c r="AE2889" t="s">
        <v>516</v>
      </c>
      <c r="AF2889">
        <v>3.65</v>
      </c>
      <c r="AG2889" t="s">
        <v>7835</v>
      </c>
      <c r="AH2889">
        <v>0</v>
      </c>
      <c r="AI2889" s="4">
        <v>34561</v>
      </c>
    </row>
    <row r="2890" spans="1:35">
      <c r="A2890">
        <v>2889</v>
      </c>
      <c r="B2890" t="str">
        <f>"600864"</f>
        <v>600864</v>
      </c>
      <c r="C2890" t="s">
        <v>12765</v>
      </c>
      <c r="D2890" s="4">
        <v>43190</v>
      </c>
      <c r="E2890" t="s">
        <v>576</v>
      </c>
      <c r="F2890" t="s">
        <v>1367</v>
      </c>
      <c r="G2890" t="s">
        <v>2704</v>
      </c>
      <c r="H2890">
        <v>0.01</v>
      </c>
      <c r="I2890">
        <v>6.36</v>
      </c>
      <c r="J2890">
        <v>0.22</v>
      </c>
      <c r="K2890" t="s">
        <v>544</v>
      </c>
      <c r="L2890">
        <v>9.8699999999999992</v>
      </c>
      <c r="M2890" t="s">
        <v>8758</v>
      </c>
      <c r="N2890" t="s">
        <v>2069</v>
      </c>
      <c r="O2890" t="s">
        <v>12766</v>
      </c>
      <c r="P2890" t="s">
        <v>9143</v>
      </c>
      <c r="Q2890">
        <v>-71.66</v>
      </c>
      <c r="R2890" t="s">
        <v>159</v>
      </c>
      <c r="S2890">
        <v>0.99</v>
      </c>
      <c r="T2890">
        <v>9.7100000000000009</v>
      </c>
      <c r="U2890" t="s">
        <v>3371</v>
      </c>
      <c r="V2890" t="s">
        <v>3127</v>
      </c>
      <c r="W2890" t="s">
        <v>1213</v>
      </c>
      <c r="X2890">
        <v>0.22</v>
      </c>
      <c r="Y2890" t="s">
        <v>4122</v>
      </c>
      <c r="Z2890" t="s">
        <v>2179</v>
      </c>
      <c r="AA2890" t="s">
        <v>5568</v>
      </c>
      <c r="AB2890">
        <v>0.73</v>
      </c>
      <c r="AC2890" t="s">
        <v>794</v>
      </c>
      <c r="AD2890">
        <v>30.82</v>
      </c>
      <c r="AE2890" t="s">
        <v>1553</v>
      </c>
      <c r="AF2890">
        <v>3.55</v>
      </c>
      <c r="AG2890">
        <v>0</v>
      </c>
      <c r="AH2890">
        <v>0</v>
      </c>
      <c r="AI2890" s="4">
        <v>34555</v>
      </c>
    </row>
    <row r="2891" spans="1:35">
      <c r="A2891">
        <v>2890</v>
      </c>
      <c r="B2891" t="str">
        <f>"600685"</f>
        <v>600685</v>
      </c>
      <c r="C2891" t="s">
        <v>12767</v>
      </c>
      <c r="D2891" s="4">
        <v>43190</v>
      </c>
      <c r="E2891" t="s">
        <v>1384</v>
      </c>
      <c r="F2891" t="s">
        <v>605</v>
      </c>
      <c r="G2891">
        <v>0</v>
      </c>
      <c r="H2891">
        <v>0.02</v>
      </c>
      <c r="I2891">
        <v>8.23</v>
      </c>
      <c r="J2891">
        <v>0.22</v>
      </c>
      <c r="K2891" t="s">
        <v>583</v>
      </c>
      <c r="L2891">
        <v>-27.43</v>
      </c>
      <c r="M2891" t="s">
        <v>12768</v>
      </c>
      <c r="N2891" t="s">
        <v>9580</v>
      </c>
      <c r="O2891" t="s">
        <v>290</v>
      </c>
      <c r="P2891" t="s">
        <v>12769</v>
      </c>
      <c r="Q2891">
        <v>31.65</v>
      </c>
      <c r="R2891" t="s">
        <v>300</v>
      </c>
      <c r="S2891">
        <v>0.89</v>
      </c>
      <c r="T2891">
        <v>2.13</v>
      </c>
      <c r="U2891" t="s">
        <v>953</v>
      </c>
      <c r="V2891" t="s">
        <v>3407</v>
      </c>
      <c r="W2891" t="s">
        <v>716</v>
      </c>
      <c r="X2891">
        <v>0.22</v>
      </c>
      <c r="Y2891" t="s">
        <v>1454</v>
      </c>
      <c r="Z2891" t="s">
        <v>1292</v>
      </c>
      <c r="AA2891" t="s">
        <v>796</v>
      </c>
      <c r="AB2891">
        <v>1.51</v>
      </c>
      <c r="AC2891" t="s">
        <v>590</v>
      </c>
      <c r="AD2891">
        <v>27.34</v>
      </c>
      <c r="AE2891" t="s">
        <v>4487</v>
      </c>
      <c r="AF2891">
        <v>5.71</v>
      </c>
      <c r="AG2891">
        <v>0</v>
      </c>
      <c r="AH2891" t="s">
        <v>2851</v>
      </c>
      <c r="AI2891" s="4">
        <v>34270</v>
      </c>
    </row>
    <row r="2892" spans="1:35">
      <c r="A2892">
        <v>2891</v>
      </c>
      <c r="B2892" t="str">
        <f>"600331"</f>
        <v>600331</v>
      </c>
      <c r="C2892" t="s">
        <v>12770</v>
      </c>
      <c r="D2892" s="4">
        <v>43190</v>
      </c>
      <c r="E2892" t="s">
        <v>712</v>
      </c>
      <c r="F2892" t="s">
        <v>712</v>
      </c>
      <c r="G2892" t="s">
        <v>1777</v>
      </c>
      <c r="H2892">
        <v>0.01</v>
      </c>
      <c r="I2892">
        <v>2.4300000000000002</v>
      </c>
      <c r="J2892">
        <v>0.22</v>
      </c>
      <c r="K2892" t="s">
        <v>5864</v>
      </c>
      <c r="L2892">
        <v>4.38</v>
      </c>
      <c r="M2892" t="s">
        <v>12771</v>
      </c>
      <c r="N2892" t="s">
        <v>5043</v>
      </c>
      <c r="O2892" t="s">
        <v>3801</v>
      </c>
      <c r="P2892" t="s">
        <v>3823</v>
      </c>
      <c r="Q2892">
        <v>-76.98</v>
      </c>
      <c r="R2892" t="s">
        <v>12772</v>
      </c>
      <c r="S2892">
        <v>-0.17</v>
      </c>
      <c r="T2892">
        <v>23.87</v>
      </c>
      <c r="U2892" t="s">
        <v>2104</v>
      </c>
      <c r="V2892" t="s">
        <v>2901</v>
      </c>
      <c r="W2892" t="s">
        <v>907</v>
      </c>
      <c r="X2892">
        <v>0.22</v>
      </c>
      <c r="Y2892" t="s">
        <v>949</v>
      </c>
      <c r="Z2892" t="s">
        <v>2498</v>
      </c>
      <c r="AA2892" t="s">
        <v>1511</v>
      </c>
      <c r="AB2892">
        <v>1.06</v>
      </c>
      <c r="AC2892" t="s">
        <v>1410</v>
      </c>
      <c r="AD2892">
        <v>51.32</v>
      </c>
      <c r="AE2892" t="s">
        <v>2071</v>
      </c>
      <c r="AF2892">
        <v>1.52</v>
      </c>
      <c r="AG2892">
        <v>0</v>
      </c>
      <c r="AH2892">
        <v>0</v>
      </c>
      <c r="AI2892" s="4">
        <v>37245</v>
      </c>
    </row>
    <row r="2893" spans="1:35">
      <c r="A2893">
        <v>2892</v>
      </c>
      <c r="B2893" t="str">
        <f>"600162"</f>
        <v>600162</v>
      </c>
      <c r="C2893" t="s">
        <v>12773</v>
      </c>
      <c r="D2893" s="4">
        <v>43190</v>
      </c>
      <c r="E2893" t="s">
        <v>1127</v>
      </c>
      <c r="F2893" t="s">
        <v>2273</v>
      </c>
      <c r="G2893" t="s">
        <v>3854</v>
      </c>
      <c r="H2893">
        <v>0</v>
      </c>
      <c r="I2893">
        <v>1.34</v>
      </c>
      <c r="J2893">
        <v>0.22</v>
      </c>
      <c r="K2893" t="s">
        <v>346</v>
      </c>
      <c r="L2893">
        <v>-27.12</v>
      </c>
      <c r="M2893" t="s">
        <v>1614</v>
      </c>
      <c r="N2893" t="s">
        <v>12774</v>
      </c>
      <c r="O2893" t="s">
        <v>2920</v>
      </c>
      <c r="P2893" t="s">
        <v>6064</v>
      </c>
      <c r="Q2893">
        <v>-87.37</v>
      </c>
      <c r="R2893" t="s">
        <v>50</v>
      </c>
      <c r="S2893">
        <v>0.31</v>
      </c>
      <c r="T2893">
        <v>49.41</v>
      </c>
      <c r="U2893" t="s">
        <v>5133</v>
      </c>
      <c r="V2893" t="s">
        <v>3912</v>
      </c>
      <c r="W2893" t="s">
        <v>5598</v>
      </c>
      <c r="X2893">
        <v>0.22</v>
      </c>
      <c r="Y2893" t="s">
        <v>3118</v>
      </c>
      <c r="Z2893" t="s">
        <v>580</v>
      </c>
      <c r="AA2893" t="s">
        <v>2523</v>
      </c>
      <c r="AB2893">
        <v>1.85</v>
      </c>
      <c r="AC2893" t="s">
        <v>6062</v>
      </c>
      <c r="AD2893">
        <v>25.1</v>
      </c>
      <c r="AE2893" t="s">
        <v>12775</v>
      </c>
      <c r="AF2893">
        <v>0.01</v>
      </c>
      <c r="AG2893">
        <v>0</v>
      </c>
      <c r="AH2893">
        <v>0</v>
      </c>
      <c r="AI2893" s="4">
        <v>35955</v>
      </c>
    </row>
    <row r="2894" spans="1:35">
      <c r="A2894">
        <v>2893</v>
      </c>
      <c r="B2894" t="str">
        <f>"300424"</f>
        <v>300424</v>
      </c>
      <c r="C2894" t="s">
        <v>12776</v>
      </c>
      <c r="D2894" s="4">
        <v>43190</v>
      </c>
      <c r="E2894" t="s">
        <v>94</v>
      </c>
      <c r="F2894" t="s">
        <v>382</v>
      </c>
      <c r="G2894">
        <v>6180</v>
      </c>
      <c r="H2894">
        <v>0.01</v>
      </c>
      <c r="I2894">
        <v>3.77</v>
      </c>
      <c r="J2894">
        <v>0.22</v>
      </c>
      <c r="K2894" t="s">
        <v>12777</v>
      </c>
      <c r="L2894">
        <v>-4.5199999999999996</v>
      </c>
      <c r="M2894" t="s">
        <v>6863</v>
      </c>
      <c r="N2894" t="s">
        <v>12646</v>
      </c>
      <c r="O2894" t="s">
        <v>6863</v>
      </c>
      <c r="P2894" t="s">
        <v>2150</v>
      </c>
      <c r="Q2894">
        <v>7.45</v>
      </c>
      <c r="R2894" t="s">
        <v>662</v>
      </c>
      <c r="S2894">
        <v>1.76</v>
      </c>
      <c r="T2894">
        <v>43.86</v>
      </c>
      <c r="U2894" t="s">
        <v>924</v>
      </c>
      <c r="V2894" t="s">
        <v>327</v>
      </c>
      <c r="W2894" t="s">
        <v>1977</v>
      </c>
      <c r="X2894">
        <v>0.22</v>
      </c>
      <c r="Y2894" t="s">
        <v>1295</v>
      </c>
      <c r="Z2894" t="s">
        <v>2284</v>
      </c>
      <c r="AA2894" t="s">
        <v>12642</v>
      </c>
      <c r="AB2894">
        <v>4.78</v>
      </c>
      <c r="AC2894" t="s">
        <v>3494</v>
      </c>
      <c r="AD2894">
        <v>67.64</v>
      </c>
      <c r="AE2894" t="s">
        <v>862</v>
      </c>
      <c r="AF2894">
        <v>0.88</v>
      </c>
      <c r="AG2894">
        <v>0</v>
      </c>
      <c r="AH2894">
        <v>0</v>
      </c>
      <c r="AI2894" s="4">
        <v>42116</v>
      </c>
    </row>
    <row r="2895" spans="1:35">
      <c r="A2895">
        <v>2894</v>
      </c>
      <c r="B2895" t="str">
        <f>"300188"</f>
        <v>300188</v>
      </c>
      <c r="C2895" t="s">
        <v>12778</v>
      </c>
      <c r="D2895" s="4">
        <v>43190</v>
      </c>
      <c r="E2895" t="s">
        <v>2192</v>
      </c>
      <c r="F2895" t="s">
        <v>542</v>
      </c>
      <c r="G2895">
        <v>9153</v>
      </c>
      <c r="H2895">
        <v>0.01</v>
      </c>
      <c r="I2895">
        <v>2.84</v>
      </c>
      <c r="J2895">
        <v>0.22</v>
      </c>
      <c r="K2895" t="s">
        <v>748</v>
      </c>
      <c r="L2895">
        <v>27.54</v>
      </c>
      <c r="M2895" t="s">
        <v>5529</v>
      </c>
      <c r="N2895" t="s">
        <v>12779</v>
      </c>
      <c r="O2895" t="s">
        <v>11062</v>
      </c>
      <c r="P2895" t="s">
        <v>10963</v>
      </c>
      <c r="Q2895">
        <v>53.67</v>
      </c>
      <c r="R2895" t="s">
        <v>3157</v>
      </c>
      <c r="S2895">
        <v>0.89</v>
      </c>
      <c r="T2895">
        <v>57.98</v>
      </c>
      <c r="U2895" t="s">
        <v>1546</v>
      </c>
      <c r="V2895" t="s">
        <v>1367</v>
      </c>
      <c r="W2895" t="s">
        <v>1666</v>
      </c>
      <c r="X2895">
        <v>0.22</v>
      </c>
      <c r="Y2895" t="s">
        <v>68</v>
      </c>
      <c r="Z2895" t="s">
        <v>860</v>
      </c>
      <c r="AA2895" t="s">
        <v>12780</v>
      </c>
      <c r="AB2895">
        <v>5.08</v>
      </c>
      <c r="AC2895" t="s">
        <v>826</v>
      </c>
      <c r="AD2895">
        <v>81.08</v>
      </c>
      <c r="AE2895" t="s">
        <v>2977</v>
      </c>
      <c r="AF2895">
        <v>0.72</v>
      </c>
      <c r="AG2895">
        <v>0</v>
      </c>
      <c r="AH2895">
        <v>0</v>
      </c>
      <c r="AI2895" s="4">
        <v>40618</v>
      </c>
    </row>
    <row r="2896" spans="1:35">
      <c r="A2896">
        <v>2895</v>
      </c>
      <c r="B2896" t="str">
        <f>"002461"</f>
        <v>002461</v>
      </c>
      <c r="C2896" t="s">
        <v>12781</v>
      </c>
      <c r="D2896" s="4">
        <v>43190</v>
      </c>
      <c r="E2896" t="s">
        <v>1390</v>
      </c>
      <c r="F2896" t="s">
        <v>350</v>
      </c>
      <c r="G2896" t="s">
        <v>2376</v>
      </c>
      <c r="H2896">
        <v>0.01</v>
      </c>
      <c r="I2896">
        <v>3.55</v>
      </c>
      <c r="J2896">
        <v>0.22</v>
      </c>
      <c r="K2896" t="s">
        <v>889</v>
      </c>
      <c r="L2896">
        <v>7.8</v>
      </c>
      <c r="M2896" t="s">
        <v>3663</v>
      </c>
      <c r="N2896">
        <v>0</v>
      </c>
      <c r="O2896" t="s">
        <v>12782</v>
      </c>
      <c r="P2896" t="s">
        <v>8797</v>
      </c>
      <c r="Q2896">
        <v>47.21</v>
      </c>
      <c r="R2896" t="s">
        <v>973</v>
      </c>
      <c r="S2896">
        <v>0.47</v>
      </c>
      <c r="T2896">
        <v>33.26</v>
      </c>
      <c r="U2896" t="s">
        <v>466</v>
      </c>
      <c r="V2896" t="s">
        <v>2237</v>
      </c>
      <c r="W2896" t="s">
        <v>1391</v>
      </c>
      <c r="X2896">
        <v>0.22</v>
      </c>
      <c r="Y2896" t="s">
        <v>2283</v>
      </c>
      <c r="Z2896" t="s">
        <v>449</v>
      </c>
      <c r="AA2896" t="s">
        <v>250</v>
      </c>
      <c r="AB2896">
        <v>1.51</v>
      </c>
      <c r="AC2896" t="s">
        <v>9297</v>
      </c>
      <c r="AD2896">
        <v>70.2</v>
      </c>
      <c r="AE2896" t="s">
        <v>1064</v>
      </c>
      <c r="AF2896">
        <v>2</v>
      </c>
      <c r="AG2896">
        <v>0</v>
      </c>
      <c r="AH2896">
        <v>0</v>
      </c>
      <c r="AI2896" s="4">
        <v>40408</v>
      </c>
    </row>
    <row r="2897" spans="1:35">
      <c r="A2897">
        <v>2896</v>
      </c>
      <c r="B2897" t="str">
        <f>"002296"</f>
        <v>002296</v>
      </c>
      <c r="C2897" t="s">
        <v>12783</v>
      </c>
      <c r="D2897" s="4">
        <v>43190</v>
      </c>
      <c r="E2897" t="s">
        <v>137</v>
      </c>
      <c r="F2897" t="s">
        <v>1964</v>
      </c>
      <c r="G2897">
        <v>6841</v>
      </c>
      <c r="H2897">
        <v>0.01</v>
      </c>
      <c r="I2897">
        <v>3.69</v>
      </c>
      <c r="J2897">
        <v>0.22</v>
      </c>
      <c r="K2897" t="s">
        <v>11942</v>
      </c>
      <c r="L2897">
        <v>10.07</v>
      </c>
      <c r="M2897" t="s">
        <v>11686</v>
      </c>
      <c r="N2897" t="s">
        <v>12172</v>
      </c>
      <c r="O2897" t="s">
        <v>5586</v>
      </c>
      <c r="P2897" t="s">
        <v>2937</v>
      </c>
      <c r="Q2897">
        <v>-62.09</v>
      </c>
      <c r="R2897" t="s">
        <v>36</v>
      </c>
      <c r="S2897">
        <v>0.79</v>
      </c>
      <c r="T2897">
        <v>50.51</v>
      </c>
      <c r="U2897" t="s">
        <v>1843</v>
      </c>
      <c r="V2897" t="s">
        <v>547</v>
      </c>
      <c r="W2897" t="s">
        <v>651</v>
      </c>
      <c r="X2897">
        <v>0.22</v>
      </c>
      <c r="Y2897" t="s">
        <v>3900</v>
      </c>
      <c r="Z2897" t="s">
        <v>2685</v>
      </c>
      <c r="AA2897" t="s">
        <v>326</v>
      </c>
      <c r="AB2897">
        <v>1.72</v>
      </c>
      <c r="AC2897" t="s">
        <v>624</v>
      </c>
      <c r="AD2897">
        <v>68.34</v>
      </c>
      <c r="AE2897" t="s">
        <v>846</v>
      </c>
      <c r="AF2897">
        <v>1.74</v>
      </c>
      <c r="AG2897">
        <v>0</v>
      </c>
      <c r="AH2897">
        <v>0</v>
      </c>
      <c r="AI2897" s="4">
        <v>40085</v>
      </c>
    </row>
    <row r="2898" spans="1:35">
      <c r="A2898">
        <v>2897</v>
      </c>
      <c r="B2898" t="str">
        <f>"600428"</f>
        <v>600428</v>
      </c>
      <c r="C2898" t="s">
        <v>12784</v>
      </c>
      <c r="D2898" s="4">
        <v>43190</v>
      </c>
      <c r="E2898" t="s">
        <v>449</v>
      </c>
      <c r="F2898" t="s">
        <v>115</v>
      </c>
      <c r="G2898" t="s">
        <v>1448</v>
      </c>
      <c r="H2898">
        <v>0.01</v>
      </c>
      <c r="I2898">
        <v>4.38</v>
      </c>
      <c r="J2898">
        <v>0.21</v>
      </c>
      <c r="K2898" t="s">
        <v>1062</v>
      </c>
      <c r="L2898">
        <v>1.23</v>
      </c>
      <c r="M2898" t="s">
        <v>3720</v>
      </c>
      <c r="N2898" t="s">
        <v>4212</v>
      </c>
      <c r="O2898" t="s">
        <v>8195</v>
      </c>
      <c r="P2898" t="s">
        <v>6476</v>
      </c>
      <c r="Q2898">
        <v>77.95</v>
      </c>
      <c r="R2898" t="s">
        <v>710</v>
      </c>
      <c r="S2898">
        <v>1.2</v>
      </c>
      <c r="T2898">
        <v>13.57</v>
      </c>
      <c r="U2898" t="s">
        <v>1098</v>
      </c>
      <c r="V2898" t="s">
        <v>774</v>
      </c>
      <c r="W2898" t="s">
        <v>587</v>
      </c>
      <c r="X2898">
        <v>0.21</v>
      </c>
      <c r="Y2898" t="s">
        <v>2066</v>
      </c>
      <c r="Z2898" t="s">
        <v>2339</v>
      </c>
      <c r="AA2898" t="s">
        <v>4501</v>
      </c>
      <c r="AB2898">
        <v>0.81</v>
      </c>
      <c r="AC2898" t="s">
        <v>4913</v>
      </c>
      <c r="AD2898">
        <v>46.1</v>
      </c>
      <c r="AE2898" t="s">
        <v>1291</v>
      </c>
      <c r="AF2898">
        <v>1.99</v>
      </c>
      <c r="AG2898">
        <v>0</v>
      </c>
      <c r="AH2898">
        <v>0</v>
      </c>
      <c r="AI2898" s="4">
        <v>37364</v>
      </c>
    </row>
    <row r="2899" spans="1:35">
      <c r="A2899">
        <v>2898</v>
      </c>
      <c r="B2899" t="str">
        <f>"300710"</f>
        <v>300710</v>
      </c>
      <c r="C2899" t="s">
        <v>12785</v>
      </c>
      <c r="D2899" s="4">
        <v>43190</v>
      </c>
      <c r="E2899" t="s">
        <v>5212</v>
      </c>
      <c r="F2899" t="s">
        <v>8618</v>
      </c>
      <c r="G2899">
        <v>1357</v>
      </c>
      <c r="H2899">
        <v>0.02</v>
      </c>
      <c r="I2899">
        <v>8.41</v>
      </c>
      <c r="J2899">
        <v>0.21</v>
      </c>
      <c r="K2899" t="s">
        <v>6146</v>
      </c>
      <c r="L2899">
        <v>-13.77</v>
      </c>
      <c r="M2899" t="s">
        <v>2993</v>
      </c>
      <c r="N2899" t="s">
        <v>12786</v>
      </c>
      <c r="O2899" t="s">
        <v>6502</v>
      </c>
      <c r="P2899" t="s">
        <v>1673</v>
      </c>
      <c r="Q2899">
        <v>-77.849999999999994</v>
      </c>
      <c r="R2899" t="s">
        <v>382</v>
      </c>
      <c r="S2899">
        <v>2.29</v>
      </c>
      <c r="T2899">
        <v>28.2</v>
      </c>
      <c r="U2899" t="s">
        <v>3603</v>
      </c>
      <c r="V2899" t="s">
        <v>1480</v>
      </c>
      <c r="W2899" t="s">
        <v>12787</v>
      </c>
      <c r="X2899">
        <v>0.21</v>
      </c>
      <c r="Y2899" t="s">
        <v>10176</v>
      </c>
      <c r="Z2899" t="s">
        <v>12788</v>
      </c>
      <c r="AA2899" t="s">
        <v>4624</v>
      </c>
      <c r="AB2899">
        <v>4.16</v>
      </c>
      <c r="AC2899" t="s">
        <v>92</v>
      </c>
      <c r="AD2899">
        <v>88.02</v>
      </c>
      <c r="AE2899" t="s">
        <v>47</v>
      </c>
      <c r="AF2899">
        <v>4.8099999999999996</v>
      </c>
      <c r="AG2899">
        <v>0</v>
      </c>
      <c r="AH2899">
        <v>0</v>
      </c>
      <c r="AI2899" s="4">
        <v>43027</v>
      </c>
    </row>
    <row r="2900" spans="1:35">
      <c r="A2900">
        <v>2899</v>
      </c>
      <c r="B2900" t="str">
        <f>"300153"</f>
        <v>300153</v>
      </c>
      <c r="C2900" t="s">
        <v>12789</v>
      </c>
      <c r="D2900" s="4">
        <v>43190</v>
      </c>
      <c r="E2900" t="s">
        <v>824</v>
      </c>
      <c r="F2900" t="s">
        <v>824</v>
      </c>
      <c r="G2900">
        <v>9203</v>
      </c>
      <c r="H2900">
        <v>0.01</v>
      </c>
      <c r="I2900">
        <v>2.92</v>
      </c>
      <c r="J2900">
        <v>0.21</v>
      </c>
      <c r="K2900" t="s">
        <v>126</v>
      </c>
      <c r="L2900">
        <v>18.46</v>
      </c>
      <c r="M2900" t="s">
        <v>12790</v>
      </c>
      <c r="N2900" t="s">
        <v>12791</v>
      </c>
      <c r="O2900" t="s">
        <v>8163</v>
      </c>
      <c r="P2900" t="s">
        <v>6382</v>
      </c>
      <c r="Q2900">
        <v>-74.959999999999994</v>
      </c>
      <c r="R2900" t="s">
        <v>2360</v>
      </c>
      <c r="S2900">
        <v>0.28999999999999998</v>
      </c>
      <c r="T2900">
        <v>16.54</v>
      </c>
      <c r="U2900" t="s">
        <v>263</v>
      </c>
      <c r="V2900" t="s">
        <v>88</v>
      </c>
      <c r="W2900" t="s">
        <v>552</v>
      </c>
      <c r="X2900">
        <v>0.21</v>
      </c>
      <c r="Y2900" t="s">
        <v>2792</v>
      </c>
      <c r="Z2900" t="s">
        <v>3119</v>
      </c>
      <c r="AA2900" t="s">
        <v>2086</v>
      </c>
      <c r="AB2900">
        <v>2.63</v>
      </c>
      <c r="AC2900" t="s">
        <v>2705</v>
      </c>
      <c r="AD2900">
        <v>66.64</v>
      </c>
      <c r="AE2900" t="s">
        <v>1358</v>
      </c>
      <c r="AF2900">
        <v>1.55</v>
      </c>
      <c r="AG2900">
        <v>0</v>
      </c>
      <c r="AH2900">
        <v>0</v>
      </c>
      <c r="AI2900" s="4">
        <v>40541</v>
      </c>
    </row>
    <row r="2901" spans="1:35">
      <c r="A2901">
        <v>2900</v>
      </c>
      <c r="B2901" t="str">
        <f>"300090"</f>
        <v>300090</v>
      </c>
      <c r="C2901" t="s">
        <v>12792</v>
      </c>
      <c r="D2901" s="4">
        <v>43190</v>
      </c>
      <c r="E2901" t="s">
        <v>1307</v>
      </c>
      <c r="F2901" t="s">
        <v>648</v>
      </c>
      <c r="G2901" t="s">
        <v>11778</v>
      </c>
      <c r="H2901">
        <v>0.01</v>
      </c>
      <c r="I2901">
        <v>2.91</v>
      </c>
      <c r="J2901">
        <v>0.21</v>
      </c>
      <c r="K2901" t="s">
        <v>139</v>
      </c>
      <c r="L2901">
        <v>6.97</v>
      </c>
      <c r="M2901" t="s">
        <v>12793</v>
      </c>
      <c r="N2901" t="s">
        <v>1711</v>
      </c>
      <c r="O2901" t="s">
        <v>12539</v>
      </c>
      <c r="P2901" t="s">
        <v>9436</v>
      </c>
      <c r="Q2901">
        <v>13.63</v>
      </c>
      <c r="R2901" t="s">
        <v>11235</v>
      </c>
      <c r="S2901">
        <v>0.05</v>
      </c>
      <c r="T2901">
        <v>35.35</v>
      </c>
      <c r="U2901" t="s">
        <v>1753</v>
      </c>
      <c r="V2901" t="s">
        <v>4671</v>
      </c>
      <c r="W2901" t="s">
        <v>5195</v>
      </c>
      <c r="X2901">
        <v>0.21</v>
      </c>
      <c r="Y2901" t="s">
        <v>1820</v>
      </c>
      <c r="Z2901" t="s">
        <v>2286</v>
      </c>
      <c r="AA2901" t="s">
        <v>588</v>
      </c>
      <c r="AB2901">
        <v>2.86</v>
      </c>
      <c r="AC2901" t="s">
        <v>235</v>
      </c>
      <c r="AD2901">
        <v>26.98</v>
      </c>
      <c r="AE2901" t="s">
        <v>2568</v>
      </c>
      <c r="AF2901">
        <v>1.66</v>
      </c>
      <c r="AG2901">
        <v>0</v>
      </c>
      <c r="AH2901">
        <v>0</v>
      </c>
      <c r="AI2901" s="4">
        <v>40354</v>
      </c>
    </row>
    <row r="2902" spans="1:35">
      <c r="A2902">
        <v>2901</v>
      </c>
      <c r="B2902" t="str">
        <f>"002895"</f>
        <v>002895</v>
      </c>
      <c r="C2902" t="s">
        <v>12794</v>
      </c>
      <c r="D2902" s="4">
        <v>43190</v>
      </c>
      <c r="E2902" t="s">
        <v>48</v>
      </c>
      <c r="F2902" t="s">
        <v>2417</v>
      </c>
      <c r="G2902">
        <v>1741</v>
      </c>
      <c r="H2902">
        <v>0.01</v>
      </c>
      <c r="I2902">
        <v>4.5</v>
      </c>
      <c r="J2902">
        <v>0.21</v>
      </c>
      <c r="K2902" t="s">
        <v>682</v>
      </c>
      <c r="L2902">
        <v>-7.21</v>
      </c>
      <c r="M2902" t="s">
        <v>10631</v>
      </c>
      <c r="N2902" t="s">
        <v>6306</v>
      </c>
      <c r="O2902" t="s">
        <v>7420</v>
      </c>
      <c r="P2902" t="s">
        <v>11190</v>
      </c>
      <c r="Q2902">
        <v>-87.27</v>
      </c>
      <c r="R2902" t="s">
        <v>805</v>
      </c>
      <c r="S2902">
        <v>1.77</v>
      </c>
      <c r="T2902">
        <v>19.899999999999999</v>
      </c>
      <c r="U2902" t="s">
        <v>706</v>
      </c>
      <c r="V2902" t="s">
        <v>5703</v>
      </c>
      <c r="W2902" t="s">
        <v>120</v>
      </c>
      <c r="X2902">
        <v>0.21</v>
      </c>
      <c r="Y2902" t="s">
        <v>2392</v>
      </c>
      <c r="Z2902" t="s">
        <v>2581</v>
      </c>
      <c r="AA2902" t="s">
        <v>993</v>
      </c>
      <c r="AB2902">
        <v>4.5599999999999996</v>
      </c>
      <c r="AC2902" t="s">
        <v>308</v>
      </c>
      <c r="AD2902">
        <v>77.290000000000006</v>
      </c>
      <c r="AE2902" t="s">
        <v>1608</v>
      </c>
      <c r="AF2902">
        <v>1.88</v>
      </c>
      <c r="AG2902">
        <v>0</v>
      </c>
      <c r="AH2902">
        <v>0</v>
      </c>
      <c r="AI2902" s="4">
        <v>42972</v>
      </c>
    </row>
    <row r="2903" spans="1:35">
      <c r="A2903">
        <v>2902</v>
      </c>
      <c r="B2903" t="str">
        <f>"002679"</f>
        <v>002679</v>
      </c>
      <c r="C2903" t="s">
        <v>12795</v>
      </c>
      <c r="D2903" s="4">
        <v>43190</v>
      </c>
      <c r="E2903" t="s">
        <v>657</v>
      </c>
      <c r="F2903" t="s">
        <v>657</v>
      </c>
      <c r="G2903" t="s">
        <v>3064</v>
      </c>
      <c r="H2903">
        <v>0.01</v>
      </c>
      <c r="I2903">
        <v>5.65</v>
      </c>
      <c r="J2903">
        <v>0.21</v>
      </c>
      <c r="K2903" t="s">
        <v>12796</v>
      </c>
      <c r="L2903">
        <v>15425.6</v>
      </c>
      <c r="M2903" t="s">
        <v>7199</v>
      </c>
      <c r="N2903" t="s">
        <v>12797</v>
      </c>
      <c r="O2903" t="s">
        <v>12362</v>
      </c>
      <c r="P2903" t="s">
        <v>1570</v>
      </c>
      <c r="Q2903">
        <v>107.76</v>
      </c>
      <c r="R2903" t="s">
        <v>234</v>
      </c>
      <c r="S2903">
        <v>2.0099999999999998</v>
      </c>
      <c r="T2903">
        <v>74.150000000000006</v>
      </c>
      <c r="U2903" t="s">
        <v>1052</v>
      </c>
      <c r="V2903" t="s">
        <v>80</v>
      </c>
      <c r="W2903" t="s">
        <v>4826</v>
      </c>
      <c r="X2903">
        <v>0.21</v>
      </c>
      <c r="Y2903" t="s">
        <v>5703</v>
      </c>
      <c r="Z2903" t="s">
        <v>314</v>
      </c>
      <c r="AA2903" t="s">
        <v>1012</v>
      </c>
      <c r="AB2903">
        <v>3.94</v>
      </c>
      <c r="AC2903" t="s">
        <v>488</v>
      </c>
      <c r="AD2903">
        <v>47.55</v>
      </c>
      <c r="AE2903" t="s">
        <v>143</v>
      </c>
      <c r="AF2903">
        <v>2.46</v>
      </c>
      <c r="AG2903">
        <v>0</v>
      </c>
      <c r="AH2903">
        <v>0</v>
      </c>
      <c r="AI2903" s="4">
        <v>41065</v>
      </c>
    </row>
    <row r="2904" spans="1:35">
      <c r="A2904">
        <v>2903</v>
      </c>
      <c r="B2904" t="str">
        <f>"002480"</f>
        <v>002480</v>
      </c>
      <c r="C2904" t="s">
        <v>12798</v>
      </c>
      <c r="D2904" s="4">
        <v>43190</v>
      </c>
      <c r="E2904" t="s">
        <v>846</v>
      </c>
      <c r="F2904" t="s">
        <v>2697</v>
      </c>
      <c r="G2904" t="s">
        <v>8879</v>
      </c>
      <c r="H2904">
        <v>0.01</v>
      </c>
      <c r="I2904">
        <v>3.56</v>
      </c>
      <c r="J2904">
        <v>0.21</v>
      </c>
      <c r="K2904" t="s">
        <v>501</v>
      </c>
      <c r="L2904">
        <v>214.04</v>
      </c>
      <c r="M2904" t="s">
        <v>9802</v>
      </c>
      <c r="N2904" t="s">
        <v>8317</v>
      </c>
      <c r="O2904" t="s">
        <v>7670</v>
      </c>
      <c r="P2904" t="s">
        <v>5028</v>
      </c>
      <c r="Q2904">
        <v>111.38</v>
      </c>
      <c r="R2904" t="s">
        <v>1200</v>
      </c>
      <c r="S2904">
        <v>0.25</v>
      </c>
      <c r="T2904">
        <v>23.39</v>
      </c>
      <c r="U2904" t="s">
        <v>3701</v>
      </c>
      <c r="V2904" t="s">
        <v>461</v>
      </c>
      <c r="W2904" t="s">
        <v>1792</v>
      </c>
      <c r="X2904">
        <v>0.21</v>
      </c>
      <c r="Y2904" t="s">
        <v>4697</v>
      </c>
      <c r="Z2904" t="s">
        <v>1843</v>
      </c>
      <c r="AA2904" t="s">
        <v>1307</v>
      </c>
      <c r="AB2904">
        <v>2.19</v>
      </c>
      <c r="AC2904" t="s">
        <v>242</v>
      </c>
      <c r="AD2904">
        <v>40.17</v>
      </c>
      <c r="AE2904" t="s">
        <v>141</v>
      </c>
      <c r="AF2904">
        <v>2.27</v>
      </c>
      <c r="AG2904">
        <v>0</v>
      </c>
      <c r="AH2904">
        <v>0</v>
      </c>
      <c r="AI2904" s="4">
        <v>40442</v>
      </c>
    </row>
    <row r="2905" spans="1:35">
      <c r="A2905">
        <v>2904</v>
      </c>
      <c r="B2905" t="str">
        <f>"002305"</f>
        <v>002305</v>
      </c>
      <c r="C2905" t="s">
        <v>12799</v>
      </c>
      <c r="D2905" s="4">
        <v>43190</v>
      </c>
      <c r="E2905" t="s">
        <v>79</v>
      </c>
      <c r="F2905" t="s">
        <v>1062</v>
      </c>
      <c r="G2905" t="s">
        <v>1958</v>
      </c>
      <c r="H2905">
        <v>0.01</v>
      </c>
      <c r="I2905">
        <v>2.61</v>
      </c>
      <c r="J2905">
        <v>0.21</v>
      </c>
      <c r="K2905" t="s">
        <v>296</v>
      </c>
      <c r="L2905">
        <v>-21.51</v>
      </c>
      <c r="M2905" t="s">
        <v>12800</v>
      </c>
      <c r="N2905" t="s">
        <v>11880</v>
      </c>
      <c r="O2905" t="s">
        <v>12801</v>
      </c>
      <c r="P2905" t="s">
        <v>12466</v>
      </c>
      <c r="Q2905">
        <v>89.71</v>
      </c>
      <c r="R2905" t="s">
        <v>124</v>
      </c>
      <c r="S2905">
        <v>0.77</v>
      </c>
      <c r="T2905">
        <v>26.86</v>
      </c>
      <c r="U2905" t="s">
        <v>2270</v>
      </c>
      <c r="V2905" t="s">
        <v>715</v>
      </c>
      <c r="W2905" t="s">
        <v>453</v>
      </c>
      <c r="X2905">
        <v>0.21</v>
      </c>
      <c r="Y2905" t="s">
        <v>4910</v>
      </c>
      <c r="Z2905" t="s">
        <v>586</v>
      </c>
      <c r="AA2905" t="s">
        <v>6751</v>
      </c>
      <c r="AB2905">
        <v>1.23</v>
      </c>
      <c r="AC2905" t="s">
        <v>783</v>
      </c>
      <c r="AD2905">
        <v>19.16</v>
      </c>
      <c r="AE2905" t="s">
        <v>840</v>
      </c>
      <c r="AF2905">
        <v>0.75</v>
      </c>
      <c r="AG2905">
        <v>0</v>
      </c>
      <c r="AH2905">
        <v>0</v>
      </c>
      <c r="AI2905" s="4">
        <v>40123</v>
      </c>
    </row>
    <row r="2906" spans="1:35">
      <c r="A2906">
        <v>2905</v>
      </c>
      <c r="B2906" t="str">
        <f>"002214"</f>
        <v>002214</v>
      </c>
      <c r="C2906" t="s">
        <v>12802</v>
      </c>
      <c r="D2906" s="4">
        <v>43190</v>
      </c>
      <c r="E2906" t="s">
        <v>856</v>
      </c>
      <c r="F2906" t="s">
        <v>139</v>
      </c>
      <c r="G2906">
        <v>7858</v>
      </c>
      <c r="H2906">
        <v>0</v>
      </c>
      <c r="I2906">
        <v>2.15</v>
      </c>
      <c r="J2906">
        <v>0.21</v>
      </c>
      <c r="K2906" t="s">
        <v>12803</v>
      </c>
      <c r="L2906">
        <v>8.91</v>
      </c>
      <c r="M2906" t="s">
        <v>11824</v>
      </c>
      <c r="N2906" t="s">
        <v>12804</v>
      </c>
      <c r="O2906" t="s">
        <v>9999</v>
      </c>
      <c r="P2906" t="s">
        <v>6021</v>
      </c>
      <c r="Q2906">
        <v>18.21</v>
      </c>
      <c r="R2906" t="s">
        <v>1402</v>
      </c>
      <c r="S2906">
        <v>0.61</v>
      </c>
      <c r="T2906">
        <v>51.48</v>
      </c>
      <c r="U2906" t="s">
        <v>350</v>
      </c>
      <c r="V2906" t="s">
        <v>919</v>
      </c>
      <c r="W2906" t="s">
        <v>12805</v>
      </c>
      <c r="X2906">
        <v>0.21</v>
      </c>
      <c r="Y2906" t="s">
        <v>1028</v>
      </c>
      <c r="Z2906" t="s">
        <v>1732</v>
      </c>
      <c r="AA2906" t="s">
        <v>3040</v>
      </c>
      <c r="AB2906">
        <v>2.4700000000000002</v>
      </c>
      <c r="AC2906" t="s">
        <v>3489</v>
      </c>
      <c r="AD2906">
        <v>73.56</v>
      </c>
      <c r="AE2906" t="s">
        <v>148</v>
      </c>
      <c r="AF2906">
        <v>0.43</v>
      </c>
      <c r="AG2906">
        <v>0</v>
      </c>
      <c r="AH2906">
        <v>0</v>
      </c>
      <c r="AI2906" s="4">
        <v>39496</v>
      </c>
    </row>
    <row r="2907" spans="1:35">
      <c r="A2907">
        <v>2906</v>
      </c>
      <c r="B2907" t="str">
        <f>"000969"</f>
        <v>000969</v>
      </c>
      <c r="C2907" t="s">
        <v>12806</v>
      </c>
      <c r="D2907" s="4">
        <v>43190</v>
      </c>
      <c r="E2907" t="s">
        <v>978</v>
      </c>
      <c r="F2907" t="s">
        <v>458</v>
      </c>
      <c r="G2907" t="s">
        <v>1440</v>
      </c>
      <c r="H2907">
        <v>0.01</v>
      </c>
      <c r="I2907">
        <v>4.46</v>
      </c>
      <c r="J2907">
        <v>0.21</v>
      </c>
      <c r="K2907" t="s">
        <v>264</v>
      </c>
      <c r="L2907">
        <v>19.670000000000002</v>
      </c>
      <c r="M2907" t="s">
        <v>7327</v>
      </c>
      <c r="N2907" t="s">
        <v>12807</v>
      </c>
      <c r="O2907" t="s">
        <v>10985</v>
      </c>
      <c r="P2907" t="s">
        <v>1614</v>
      </c>
      <c r="Q2907">
        <v>-19.14</v>
      </c>
      <c r="R2907" t="s">
        <v>1972</v>
      </c>
      <c r="S2907">
        <v>0.54</v>
      </c>
      <c r="T2907">
        <v>16.68</v>
      </c>
      <c r="U2907" t="s">
        <v>252</v>
      </c>
      <c r="V2907" t="s">
        <v>1022</v>
      </c>
      <c r="W2907" t="s">
        <v>2057</v>
      </c>
      <c r="X2907">
        <v>0.21</v>
      </c>
      <c r="Y2907" t="s">
        <v>3653</v>
      </c>
      <c r="Z2907" t="s">
        <v>1174</v>
      </c>
      <c r="AA2907" t="s">
        <v>602</v>
      </c>
      <c r="AB2907">
        <v>1.43</v>
      </c>
      <c r="AC2907" t="s">
        <v>2059</v>
      </c>
      <c r="AD2907">
        <v>43.93</v>
      </c>
      <c r="AE2907" t="s">
        <v>1908</v>
      </c>
      <c r="AF2907">
        <v>2.62</v>
      </c>
      <c r="AG2907">
        <v>0</v>
      </c>
      <c r="AH2907">
        <v>0</v>
      </c>
      <c r="AI2907" s="4">
        <v>36675</v>
      </c>
    </row>
    <row r="2908" spans="1:35">
      <c r="A2908">
        <v>2907</v>
      </c>
      <c r="B2908" t="str">
        <f>"000793"</f>
        <v>000793</v>
      </c>
      <c r="C2908" t="s">
        <v>12808</v>
      </c>
      <c r="D2908" s="4">
        <v>43190</v>
      </c>
      <c r="E2908" t="s">
        <v>1000</v>
      </c>
      <c r="F2908" t="s">
        <v>702</v>
      </c>
      <c r="G2908" t="s">
        <v>12012</v>
      </c>
      <c r="H2908">
        <v>0.01</v>
      </c>
      <c r="I2908">
        <v>4.9400000000000004</v>
      </c>
      <c r="J2908">
        <v>0.21</v>
      </c>
      <c r="K2908" t="s">
        <v>2149</v>
      </c>
      <c r="L2908">
        <v>-4.91</v>
      </c>
      <c r="M2908" t="s">
        <v>6221</v>
      </c>
      <c r="N2908" t="s">
        <v>12809</v>
      </c>
      <c r="O2908" t="s">
        <v>11423</v>
      </c>
      <c r="P2908" t="s">
        <v>9267</v>
      </c>
      <c r="Q2908">
        <v>-15.82</v>
      </c>
      <c r="R2908" t="s">
        <v>1314</v>
      </c>
      <c r="S2908">
        <v>1.83</v>
      </c>
      <c r="T2908">
        <v>28.59</v>
      </c>
      <c r="U2908" t="s">
        <v>1540</v>
      </c>
      <c r="V2908" t="s">
        <v>2749</v>
      </c>
      <c r="W2908" t="s">
        <v>607</v>
      </c>
      <c r="X2908">
        <v>0.21</v>
      </c>
      <c r="Y2908" t="s">
        <v>5646</v>
      </c>
      <c r="Z2908" t="s">
        <v>1449</v>
      </c>
      <c r="AA2908" t="s">
        <v>4558</v>
      </c>
      <c r="AB2908">
        <v>1.7</v>
      </c>
      <c r="AC2908" t="s">
        <v>2802</v>
      </c>
      <c r="AD2908">
        <v>61.48</v>
      </c>
      <c r="AE2908" t="s">
        <v>3160</v>
      </c>
      <c r="AF2908">
        <v>1.91</v>
      </c>
      <c r="AG2908">
        <v>0</v>
      </c>
      <c r="AH2908">
        <v>0</v>
      </c>
      <c r="AI2908" s="4">
        <v>35640</v>
      </c>
    </row>
    <row r="2909" spans="1:35">
      <c r="A2909">
        <v>2908</v>
      </c>
      <c r="B2909" t="str">
        <f>"603955"</f>
        <v>603955</v>
      </c>
      <c r="C2909" t="s">
        <v>12810</v>
      </c>
      <c r="D2909" s="4">
        <v>43190</v>
      </c>
      <c r="E2909" t="s">
        <v>1349</v>
      </c>
      <c r="F2909" t="s">
        <v>12811</v>
      </c>
      <c r="G2909">
        <v>4453</v>
      </c>
      <c r="H2909">
        <v>0.02</v>
      </c>
      <c r="I2909">
        <v>9.17</v>
      </c>
      <c r="J2909">
        <v>0.2</v>
      </c>
      <c r="K2909" t="s">
        <v>12812</v>
      </c>
      <c r="L2909">
        <v>44.6</v>
      </c>
      <c r="M2909" t="s">
        <v>5921</v>
      </c>
      <c r="N2909" t="s">
        <v>11709</v>
      </c>
      <c r="O2909" t="s">
        <v>9458</v>
      </c>
      <c r="P2909" t="s">
        <v>5044</v>
      </c>
      <c r="Q2909">
        <v>34.56</v>
      </c>
      <c r="R2909" t="s">
        <v>976</v>
      </c>
      <c r="S2909">
        <v>2.87</v>
      </c>
      <c r="T2909">
        <v>27.44</v>
      </c>
      <c r="U2909" t="s">
        <v>789</v>
      </c>
      <c r="V2909" t="s">
        <v>1307</v>
      </c>
      <c r="W2909" t="s">
        <v>12813</v>
      </c>
      <c r="X2909">
        <v>0.2</v>
      </c>
      <c r="Y2909" t="s">
        <v>919</v>
      </c>
      <c r="Z2909" t="s">
        <v>2445</v>
      </c>
      <c r="AA2909" t="s">
        <v>914</v>
      </c>
      <c r="AB2909">
        <v>2.16</v>
      </c>
      <c r="AC2909" t="s">
        <v>407</v>
      </c>
      <c r="AD2909">
        <v>47.87</v>
      </c>
      <c r="AE2909" t="s">
        <v>2094</v>
      </c>
      <c r="AF2909">
        <v>4.93</v>
      </c>
      <c r="AG2909">
        <v>0</v>
      </c>
      <c r="AH2909">
        <v>0</v>
      </c>
      <c r="AI2909" s="4">
        <v>42804</v>
      </c>
    </row>
    <row r="2910" spans="1:35">
      <c r="A2910">
        <v>2909</v>
      </c>
      <c r="B2910" t="str">
        <f>"603021"</f>
        <v>603021</v>
      </c>
      <c r="C2910" t="s">
        <v>12814</v>
      </c>
      <c r="D2910" s="4">
        <v>43190</v>
      </c>
      <c r="E2910" t="s">
        <v>824</v>
      </c>
      <c r="F2910" t="s">
        <v>167</v>
      </c>
      <c r="G2910" t="s">
        <v>1228</v>
      </c>
      <c r="H2910">
        <v>0.01</v>
      </c>
      <c r="I2910">
        <v>4.1399999999999997</v>
      </c>
      <c r="J2910">
        <v>0.2</v>
      </c>
      <c r="K2910" t="s">
        <v>3332</v>
      </c>
      <c r="L2910">
        <v>17.12</v>
      </c>
      <c r="M2910" t="s">
        <v>9363</v>
      </c>
      <c r="N2910">
        <v>0</v>
      </c>
      <c r="O2910" t="s">
        <v>11387</v>
      </c>
      <c r="P2910" t="s">
        <v>12791</v>
      </c>
      <c r="Q2910">
        <v>-72.97</v>
      </c>
      <c r="R2910" t="s">
        <v>133</v>
      </c>
      <c r="S2910">
        <v>1.1599999999999999</v>
      </c>
      <c r="T2910">
        <v>19.989999999999998</v>
      </c>
      <c r="U2910" t="s">
        <v>1242</v>
      </c>
      <c r="V2910" t="s">
        <v>883</v>
      </c>
      <c r="W2910" t="s">
        <v>3630</v>
      </c>
      <c r="X2910">
        <v>0.2</v>
      </c>
      <c r="Y2910" t="s">
        <v>1792</v>
      </c>
      <c r="Z2910" t="s">
        <v>584</v>
      </c>
      <c r="AA2910" t="s">
        <v>12815</v>
      </c>
      <c r="AB2910">
        <v>2.08</v>
      </c>
      <c r="AC2910" t="s">
        <v>1214</v>
      </c>
      <c r="AD2910">
        <v>45.84</v>
      </c>
      <c r="AE2910" t="s">
        <v>1168</v>
      </c>
      <c r="AF2910">
        <v>1.89</v>
      </c>
      <c r="AG2910">
        <v>0</v>
      </c>
      <c r="AH2910">
        <v>0</v>
      </c>
      <c r="AI2910" s="4">
        <v>42117</v>
      </c>
    </row>
    <row r="2911" spans="1:35">
      <c r="A2911">
        <v>2910</v>
      </c>
      <c r="B2911" t="str">
        <f>"601177"</f>
        <v>601177</v>
      </c>
      <c r="C2911" t="s">
        <v>12816</v>
      </c>
      <c r="D2911" s="4">
        <v>43190</v>
      </c>
      <c r="E2911" t="s">
        <v>150</v>
      </c>
      <c r="F2911" t="s">
        <v>150</v>
      </c>
      <c r="G2911" t="s">
        <v>2266</v>
      </c>
      <c r="H2911">
        <v>0.01</v>
      </c>
      <c r="I2911">
        <v>4.04</v>
      </c>
      <c r="J2911">
        <v>0.2</v>
      </c>
      <c r="K2911" t="s">
        <v>914</v>
      </c>
      <c r="L2911">
        <v>11.27</v>
      </c>
      <c r="M2911" t="s">
        <v>3730</v>
      </c>
      <c r="N2911" t="s">
        <v>12817</v>
      </c>
      <c r="O2911" t="s">
        <v>8299</v>
      </c>
      <c r="P2911" t="s">
        <v>4390</v>
      </c>
      <c r="Q2911">
        <v>56.21</v>
      </c>
      <c r="R2911" t="s">
        <v>121</v>
      </c>
      <c r="S2911">
        <v>0.78</v>
      </c>
      <c r="T2911">
        <v>22.88</v>
      </c>
      <c r="U2911" t="s">
        <v>235</v>
      </c>
      <c r="V2911" t="s">
        <v>1455</v>
      </c>
      <c r="W2911" t="s">
        <v>521</v>
      </c>
      <c r="X2911">
        <v>0.2</v>
      </c>
      <c r="Y2911" t="s">
        <v>877</v>
      </c>
      <c r="Z2911" t="s">
        <v>298</v>
      </c>
      <c r="AA2911" t="s">
        <v>599</v>
      </c>
      <c r="AB2911">
        <v>1.53</v>
      </c>
      <c r="AC2911" t="s">
        <v>1062</v>
      </c>
      <c r="AD2911">
        <v>42.19</v>
      </c>
      <c r="AE2911" t="s">
        <v>2781</v>
      </c>
      <c r="AF2911">
        <v>2.15</v>
      </c>
      <c r="AG2911">
        <v>0</v>
      </c>
      <c r="AH2911">
        <v>0</v>
      </c>
      <c r="AI2911" s="4">
        <v>40462</v>
      </c>
    </row>
    <row r="2912" spans="1:35">
      <c r="A2912">
        <v>2911</v>
      </c>
      <c r="B2912" t="str">
        <f>"600178"</f>
        <v>600178</v>
      </c>
      <c r="C2912" t="s">
        <v>12818</v>
      </c>
      <c r="D2912" s="4">
        <v>43190</v>
      </c>
      <c r="E2912" t="s">
        <v>2112</v>
      </c>
      <c r="F2912" t="s">
        <v>2112</v>
      </c>
      <c r="G2912" t="s">
        <v>1228</v>
      </c>
      <c r="H2912">
        <v>0.01</v>
      </c>
      <c r="I2912">
        <v>4.07</v>
      </c>
      <c r="J2912">
        <v>0.2</v>
      </c>
      <c r="K2912" t="s">
        <v>121</v>
      </c>
      <c r="L2912">
        <v>-42.77</v>
      </c>
      <c r="M2912" t="s">
        <v>6750</v>
      </c>
      <c r="N2912" t="s">
        <v>4491</v>
      </c>
      <c r="O2912" t="s">
        <v>7045</v>
      </c>
      <c r="P2912" t="s">
        <v>7045</v>
      </c>
      <c r="Q2912">
        <v>-84.27</v>
      </c>
      <c r="R2912" t="s">
        <v>1048</v>
      </c>
      <c r="S2912">
        <v>0.67</v>
      </c>
      <c r="T2912">
        <v>12.03</v>
      </c>
      <c r="U2912" t="s">
        <v>816</v>
      </c>
      <c r="V2912" t="s">
        <v>624</v>
      </c>
      <c r="W2912" t="s">
        <v>988</v>
      </c>
      <c r="X2912">
        <v>0.2</v>
      </c>
      <c r="Y2912" t="s">
        <v>298</v>
      </c>
      <c r="Z2912" t="s">
        <v>983</v>
      </c>
      <c r="AA2912" t="s">
        <v>12819</v>
      </c>
      <c r="AB2912">
        <v>1.18</v>
      </c>
      <c r="AC2912" t="s">
        <v>187</v>
      </c>
      <c r="AD2912">
        <v>53.12</v>
      </c>
      <c r="AE2912" t="s">
        <v>2683</v>
      </c>
      <c r="AF2912">
        <v>1.86</v>
      </c>
      <c r="AG2912">
        <v>0</v>
      </c>
      <c r="AH2912">
        <v>0</v>
      </c>
      <c r="AI2912" s="4">
        <v>36082</v>
      </c>
    </row>
    <row r="2913" spans="1:35">
      <c r="A2913">
        <v>2912</v>
      </c>
      <c r="B2913" t="str">
        <f>"300709"</f>
        <v>300709</v>
      </c>
      <c r="C2913" t="s">
        <v>12820</v>
      </c>
      <c r="D2913" s="4">
        <v>43190</v>
      </c>
      <c r="E2913" t="s">
        <v>4121</v>
      </c>
      <c r="F2913" t="s">
        <v>4585</v>
      </c>
      <c r="G2913">
        <v>1319</v>
      </c>
      <c r="H2913">
        <v>0.03</v>
      </c>
      <c r="I2913">
        <v>13.96</v>
      </c>
      <c r="J2913">
        <v>0.2</v>
      </c>
      <c r="K2913" t="s">
        <v>326</v>
      </c>
      <c r="L2913">
        <v>-37.94</v>
      </c>
      <c r="M2913" t="s">
        <v>9273</v>
      </c>
      <c r="N2913" t="s">
        <v>12705</v>
      </c>
      <c r="O2913" t="s">
        <v>4830</v>
      </c>
      <c r="P2913" t="s">
        <v>6536</v>
      </c>
      <c r="Q2913">
        <v>-94.77</v>
      </c>
      <c r="R2913" t="s">
        <v>486</v>
      </c>
      <c r="S2913">
        <v>2.77</v>
      </c>
      <c r="T2913">
        <v>33</v>
      </c>
      <c r="U2913" t="s">
        <v>547</v>
      </c>
      <c r="V2913" t="s">
        <v>1917</v>
      </c>
      <c r="W2913" t="s">
        <v>1476</v>
      </c>
      <c r="X2913">
        <v>0.2</v>
      </c>
      <c r="Y2913" t="s">
        <v>531</v>
      </c>
      <c r="Z2913" t="s">
        <v>985</v>
      </c>
      <c r="AA2913" t="s">
        <v>5554</v>
      </c>
      <c r="AB2913">
        <v>3.26</v>
      </c>
      <c r="AC2913" t="s">
        <v>1082</v>
      </c>
      <c r="AD2913">
        <v>84.06</v>
      </c>
      <c r="AE2913" t="s">
        <v>297</v>
      </c>
      <c r="AF2913">
        <v>9.7200000000000006</v>
      </c>
      <c r="AG2913">
        <v>0</v>
      </c>
      <c r="AH2913">
        <v>0</v>
      </c>
      <c r="AI2913" s="4">
        <v>43027</v>
      </c>
    </row>
    <row r="2914" spans="1:35">
      <c r="A2914">
        <v>2913</v>
      </c>
      <c r="B2914" t="str">
        <f>"300128"</f>
        <v>300128</v>
      </c>
      <c r="C2914" t="s">
        <v>12821</v>
      </c>
      <c r="D2914" s="4">
        <v>43190</v>
      </c>
      <c r="E2914" t="s">
        <v>1223</v>
      </c>
      <c r="F2914" t="s">
        <v>295</v>
      </c>
      <c r="G2914" t="s">
        <v>4156</v>
      </c>
      <c r="H2914">
        <v>0</v>
      </c>
      <c r="I2914">
        <v>1.86</v>
      </c>
      <c r="J2914">
        <v>0.2</v>
      </c>
      <c r="K2914" t="s">
        <v>491</v>
      </c>
      <c r="L2914">
        <v>6.82</v>
      </c>
      <c r="M2914" t="s">
        <v>10539</v>
      </c>
      <c r="N2914" t="s">
        <v>12822</v>
      </c>
      <c r="O2914" t="s">
        <v>12154</v>
      </c>
      <c r="P2914" t="s">
        <v>11190</v>
      </c>
      <c r="Q2914">
        <v>50.73</v>
      </c>
      <c r="R2914" t="s">
        <v>476</v>
      </c>
      <c r="S2914">
        <v>0.42</v>
      </c>
      <c r="T2914">
        <v>10.11</v>
      </c>
      <c r="U2914" t="s">
        <v>1545</v>
      </c>
      <c r="V2914" t="s">
        <v>420</v>
      </c>
      <c r="W2914" t="s">
        <v>3321</v>
      </c>
      <c r="X2914">
        <v>0.2</v>
      </c>
      <c r="Y2914" t="s">
        <v>187</v>
      </c>
      <c r="Z2914" t="s">
        <v>1678</v>
      </c>
      <c r="AA2914" t="s">
        <v>197</v>
      </c>
      <c r="AB2914">
        <v>3.06</v>
      </c>
      <c r="AC2914" t="s">
        <v>1843</v>
      </c>
      <c r="AD2914">
        <v>50.48</v>
      </c>
      <c r="AE2914" t="s">
        <v>43</v>
      </c>
      <c r="AF2914">
        <v>0.38</v>
      </c>
      <c r="AG2914">
        <v>0</v>
      </c>
      <c r="AH2914">
        <v>0</v>
      </c>
      <c r="AI2914" s="4">
        <v>40464</v>
      </c>
    </row>
    <row r="2915" spans="1:35">
      <c r="A2915">
        <v>2914</v>
      </c>
      <c r="B2915" t="str">
        <f>"002663"</f>
        <v>002663</v>
      </c>
      <c r="C2915" t="s">
        <v>12823</v>
      </c>
      <c r="D2915" s="4">
        <v>43190</v>
      </c>
      <c r="E2915" t="s">
        <v>757</v>
      </c>
      <c r="F2915" t="s">
        <v>1033</v>
      </c>
      <c r="G2915" t="s">
        <v>4245</v>
      </c>
      <c r="H2915">
        <v>0.01</v>
      </c>
      <c r="I2915">
        <v>2.82</v>
      </c>
      <c r="J2915">
        <v>0.2</v>
      </c>
      <c r="K2915" t="s">
        <v>2001</v>
      </c>
      <c r="L2915">
        <v>16.91</v>
      </c>
      <c r="M2915" t="s">
        <v>6990</v>
      </c>
      <c r="N2915" t="s">
        <v>10454</v>
      </c>
      <c r="O2915" t="s">
        <v>12709</v>
      </c>
      <c r="P2915" t="s">
        <v>5315</v>
      </c>
      <c r="Q2915">
        <v>37.9</v>
      </c>
      <c r="R2915" t="s">
        <v>405</v>
      </c>
      <c r="S2915">
        <v>0.68</v>
      </c>
      <c r="T2915">
        <v>12.53</v>
      </c>
      <c r="U2915" t="s">
        <v>1952</v>
      </c>
      <c r="V2915" t="s">
        <v>1531</v>
      </c>
      <c r="W2915" t="s">
        <v>184</v>
      </c>
      <c r="X2915">
        <v>0.2</v>
      </c>
      <c r="Y2915" t="s">
        <v>2239</v>
      </c>
      <c r="Z2915" t="s">
        <v>693</v>
      </c>
      <c r="AA2915" t="s">
        <v>5598</v>
      </c>
      <c r="AB2915">
        <v>1.01</v>
      </c>
      <c r="AC2915" t="s">
        <v>2562</v>
      </c>
      <c r="AD2915">
        <v>54.37</v>
      </c>
      <c r="AE2915" t="s">
        <v>1752</v>
      </c>
      <c r="AF2915">
        <v>1.08</v>
      </c>
      <c r="AG2915">
        <v>0</v>
      </c>
      <c r="AH2915">
        <v>0</v>
      </c>
      <c r="AI2915" s="4">
        <v>40984</v>
      </c>
    </row>
    <row r="2916" spans="1:35">
      <c r="A2916">
        <v>2915</v>
      </c>
      <c r="B2916" t="str">
        <f>"002240"</f>
        <v>002240</v>
      </c>
      <c r="C2916" t="s">
        <v>12824</v>
      </c>
      <c r="D2916" s="4">
        <v>43190</v>
      </c>
      <c r="E2916" t="s">
        <v>2111</v>
      </c>
      <c r="F2916" t="s">
        <v>2036</v>
      </c>
      <c r="G2916" t="s">
        <v>3138</v>
      </c>
      <c r="H2916">
        <v>0.01</v>
      </c>
      <c r="I2916">
        <v>3.82</v>
      </c>
      <c r="J2916">
        <v>0.2</v>
      </c>
      <c r="K2916" t="s">
        <v>476</v>
      </c>
      <c r="L2916">
        <v>55.93</v>
      </c>
      <c r="M2916" t="s">
        <v>12825</v>
      </c>
      <c r="N2916" t="s">
        <v>11808</v>
      </c>
      <c r="O2916" t="s">
        <v>10200</v>
      </c>
      <c r="P2916" t="s">
        <v>12402</v>
      </c>
      <c r="Q2916">
        <v>133.36000000000001</v>
      </c>
      <c r="R2916" t="s">
        <v>12826</v>
      </c>
      <c r="S2916">
        <v>-0.16</v>
      </c>
      <c r="T2916">
        <v>5.09</v>
      </c>
      <c r="U2916" t="s">
        <v>238</v>
      </c>
      <c r="V2916" t="s">
        <v>625</v>
      </c>
      <c r="W2916" t="s">
        <v>264</v>
      </c>
      <c r="X2916">
        <v>0.2</v>
      </c>
      <c r="Y2916" t="s">
        <v>539</v>
      </c>
      <c r="Z2916" t="s">
        <v>1979</v>
      </c>
      <c r="AA2916" t="s">
        <v>5342</v>
      </c>
      <c r="AB2916">
        <v>3.15</v>
      </c>
      <c r="AC2916" t="s">
        <v>1843</v>
      </c>
      <c r="AD2916">
        <v>69.739999999999995</v>
      </c>
      <c r="AE2916" t="s">
        <v>547</v>
      </c>
      <c r="AF2916">
        <v>2.82</v>
      </c>
      <c r="AG2916">
        <v>0</v>
      </c>
      <c r="AH2916">
        <v>0</v>
      </c>
      <c r="AI2916" s="4">
        <v>39591</v>
      </c>
    </row>
    <row r="2917" spans="1:35">
      <c r="A2917">
        <v>2916</v>
      </c>
      <c r="B2917" t="str">
        <f>"002218"</f>
        <v>002218</v>
      </c>
      <c r="C2917" t="s">
        <v>12827</v>
      </c>
      <c r="D2917" s="4">
        <v>43190</v>
      </c>
      <c r="E2917" t="s">
        <v>548</v>
      </c>
      <c r="F2917" t="s">
        <v>982</v>
      </c>
      <c r="G2917" t="s">
        <v>11281</v>
      </c>
      <c r="H2917">
        <v>0</v>
      </c>
      <c r="I2917">
        <v>2.2999999999999998</v>
      </c>
      <c r="J2917">
        <v>0.2</v>
      </c>
      <c r="K2917" t="s">
        <v>1839</v>
      </c>
      <c r="L2917">
        <v>-44.99</v>
      </c>
      <c r="M2917" t="s">
        <v>3628</v>
      </c>
      <c r="N2917">
        <v>0</v>
      </c>
      <c r="O2917" t="s">
        <v>11382</v>
      </c>
      <c r="P2917" t="s">
        <v>10559</v>
      </c>
      <c r="Q2917">
        <v>-81.62</v>
      </c>
      <c r="R2917" t="s">
        <v>594</v>
      </c>
      <c r="S2917">
        <v>0.22</v>
      </c>
      <c r="T2917">
        <v>37.299999999999997</v>
      </c>
      <c r="U2917" t="s">
        <v>4937</v>
      </c>
      <c r="V2917" t="s">
        <v>1390</v>
      </c>
      <c r="W2917" t="s">
        <v>426</v>
      </c>
      <c r="X2917">
        <v>0.2</v>
      </c>
      <c r="Y2917" t="s">
        <v>946</v>
      </c>
      <c r="Z2917" t="s">
        <v>244</v>
      </c>
      <c r="AA2917" t="s">
        <v>2637</v>
      </c>
      <c r="AB2917">
        <v>1.08</v>
      </c>
      <c r="AC2917" t="s">
        <v>1329</v>
      </c>
      <c r="AD2917">
        <v>47.97</v>
      </c>
      <c r="AE2917" t="s">
        <v>1307</v>
      </c>
      <c r="AF2917">
        <v>1.06</v>
      </c>
      <c r="AG2917">
        <v>0</v>
      </c>
      <c r="AH2917">
        <v>0</v>
      </c>
      <c r="AI2917" s="4">
        <v>39506</v>
      </c>
    </row>
    <row r="2918" spans="1:35">
      <c r="A2918">
        <v>2917</v>
      </c>
      <c r="B2918" t="str">
        <f>"000859"</f>
        <v>000859</v>
      </c>
      <c r="C2918" t="s">
        <v>12828</v>
      </c>
      <c r="D2918" s="4">
        <v>43190</v>
      </c>
      <c r="E2918" t="s">
        <v>2913</v>
      </c>
      <c r="F2918" t="s">
        <v>2913</v>
      </c>
      <c r="G2918" t="s">
        <v>2985</v>
      </c>
      <c r="H2918">
        <v>0</v>
      </c>
      <c r="I2918">
        <v>1.99</v>
      </c>
      <c r="J2918">
        <v>0.2</v>
      </c>
      <c r="K2918" t="s">
        <v>1180</v>
      </c>
      <c r="L2918">
        <v>-9.9</v>
      </c>
      <c r="M2918" t="s">
        <v>12829</v>
      </c>
      <c r="N2918" t="s">
        <v>12830</v>
      </c>
      <c r="O2918" t="s">
        <v>12831</v>
      </c>
      <c r="P2918" t="s">
        <v>6863</v>
      </c>
      <c r="Q2918">
        <v>-63.59</v>
      </c>
      <c r="R2918" t="s">
        <v>3934</v>
      </c>
      <c r="S2918">
        <v>0.11</v>
      </c>
      <c r="T2918">
        <v>7.55</v>
      </c>
      <c r="U2918" t="s">
        <v>876</v>
      </c>
      <c r="V2918" t="s">
        <v>3494</v>
      </c>
      <c r="W2918" t="s">
        <v>1173</v>
      </c>
      <c r="X2918">
        <v>0.2</v>
      </c>
      <c r="Y2918" t="s">
        <v>2647</v>
      </c>
      <c r="Z2918" t="s">
        <v>1810</v>
      </c>
      <c r="AA2918" t="s">
        <v>486</v>
      </c>
      <c r="AB2918">
        <v>1.38</v>
      </c>
      <c r="AC2918" t="s">
        <v>80</v>
      </c>
      <c r="AD2918">
        <v>70.22</v>
      </c>
      <c r="AE2918" t="s">
        <v>5084</v>
      </c>
      <c r="AF2918">
        <v>0.8</v>
      </c>
      <c r="AG2918">
        <v>0</v>
      </c>
      <c r="AH2918">
        <v>0</v>
      </c>
      <c r="AI2918" s="4">
        <v>36118</v>
      </c>
    </row>
    <row r="2919" spans="1:35">
      <c r="A2919">
        <v>2918</v>
      </c>
      <c r="B2919" t="str">
        <f>"000531"</f>
        <v>000531</v>
      </c>
      <c r="C2919" t="s">
        <v>12832</v>
      </c>
      <c r="D2919" s="4">
        <v>43190</v>
      </c>
      <c r="E2919" t="s">
        <v>2394</v>
      </c>
      <c r="F2919" t="s">
        <v>2394</v>
      </c>
      <c r="G2919" t="s">
        <v>2312</v>
      </c>
      <c r="H2919">
        <v>0.01</v>
      </c>
      <c r="I2919">
        <v>5.71</v>
      </c>
      <c r="J2919">
        <v>0.2</v>
      </c>
      <c r="K2919" t="s">
        <v>116</v>
      </c>
      <c r="L2919">
        <v>-6.85</v>
      </c>
      <c r="M2919" t="s">
        <v>6726</v>
      </c>
      <c r="N2919" t="s">
        <v>9598</v>
      </c>
      <c r="O2919" t="s">
        <v>12833</v>
      </c>
      <c r="P2919" t="s">
        <v>6244</v>
      </c>
      <c r="Q2919">
        <v>-91.18</v>
      </c>
      <c r="R2919" t="s">
        <v>119</v>
      </c>
      <c r="S2919">
        <v>2.91</v>
      </c>
      <c r="T2919">
        <v>14.68</v>
      </c>
      <c r="U2919" t="s">
        <v>12834</v>
      </c>
      <c r="V2919" t="s">
        <v>158</v>
      </c>
      <c r="W2919" t="s">
        <v>1205</v>
      </c>
      <c r="X2919">
        <v>0.2</v>
      </c>
      <c r="Y2919" t="s">
        <v>799</v>
      </c>
      <c r="Z2919" t="s">
        <v>2105</v>
      </c>
      <c r="AA2919" t="s">
        <v>164</v>
      </c>
      <c r="AB2919">
        <v>0.9</v>
      </c>
      <c r="AC2919" t="s">
        <v>1859</v>
      </c>
      <c r="AD2919">
        <v>40.17</v>
      </c>
      <c r="AE2919" t="s">
        <v>6545</v>
      </c>
      <c r="AF2919">
        <v>1.31</v>
      </c>
      <c r="AG2919">
        <v>0</v>
      </c>
      <c r="AH2919">
        <v>0</v>
      </c>
      <c r="AI2919" s="4">
        <v>34340</v>
      </c>
    </row>
    <row r="2920" spans="1:35">
      <c r="A2920">
        <v>2919</v>
      </c>
      <c r="B2920" t="str">
        <f>"603712"</f>
        <v>603712</v>
      </c>
      <c r="C2920" t="s">
        <v>12835</v>
      </c>
      <c r="D2920" s="4">
        <v>43190</v>
      </c>
      <c r="E2920" t="s">
        <v>6262</v>
      </c>
      <c r="F2920" t="s">
        <v>2307</v>
      </c>
      <c r="G2920">
        <v>1395</v>
      </c>
      <c r="H2920">
        <v>0</v>
      </c>
      <c r="I2920">
        <v>2.63</v>
      </c>
      <c r="J2920">
        <v>0.19</v>
      </c>
      <c r="K2920" t="s">
        <v>1011</v>
      </c>
      <c r="L2920">
        <v>12.29</v>
      </c>
      <c r="M2920" t="s">
        <v>5489</v>
      </c>
      <c r="N2920" t="s">
        <v>12836</v>
      </c>
      <c r="O2920" t="s">
        <v>8628</v>
      </c>
      <c r="P2920" t="s">
        <v>7246</v>
      </c>
      <c r="Q2920">
        <v>154.41</v>
      </c>
      <c r="R2920" t="s">
        <v>1152</v>
      </c>
      <c r="S2920">
        <v>0.37</v>
      </c>
      <c r="T2920">
        <v>52.21</v>
      </c>
      <c r="U2920" t="s">
        <v>3160</v>
      </c>
      <c r="V2920" t="s">
        <v>1285</v>
      </c>
      <c r="W2920" t="s">
        <v>1088</v>
      </c>
      <c r="X2920">
        <v>0.19</v>
      </c>
      <c r="Y2920" t="s">
        <v>1126</v>
      </c>
      <c r="Z2920" t="s">
        <v>820</v>
      </c>
      <c r="AA2920" t="s">
        <v>12837</v>
      </c>
      <c r="AB2920">
        <v>9.4499999999999993</v>
      </c>
      <c r="AC2920" t="s">
        <v>1920</v>
      </c>
      <c r="AD2920">
        <v>53.75</v>
      </c>
      <c r="AE2920" t="s">
        <v>2134</v>
      </c>
      <c r="AF2920">
        <v>1.21</v>
      </c>
      <c r="AG2920">
        <v>0</v>
      </c>
      <c r="AH2920">
        <v>0</v>
      </c>
      <c r="AI2920" s="4">
        <v>43157</v>
      </c>
    </row>
    <row r="2921" spans="1:35">
      <c r="A2921">
        <v>2920</v>
      </c>
      <c r="B2921" t="str">
        <f>"601028"</f>
        <v>601028</v>
      </c>
      <c r="C2921" t="s">
        <v>12838</v>
      </c>
      <c r="D2921" s="4">
        <v>43190</v>
      </c>
      <c r="E2921" t="s">
        <v>911</v>
      </c>
      <c r="F2921" t="s">
        <v>911</v>
      </c>
      <c r="G2921" t="s">
        <v>1788</v>
      </c>
      <c r="H2921">
        <v>0</v>
      </c>
      <c r="I2921">
        <v>2.59</v>
      </c>
      <c r="J2921">
        <v>0.19</v>
      </c>
      <c r="K2921" t="s">
        <v>1968</v>
      </c>
      <c r="L2921">
        <v>31.3</v>
      </c>
      <c r="M2921" t="s">
        <v>6792</v>
      </c>
      <c r="N2921">
        <v>0</v>
      </c>
      <c r="O2921" t="s">
        <v>834</v>
      </c>
      <c r="P2921" t="s">
        <v>10866</v>
      </c>
      <c r="Q2921">
        <v>299.5</v>
      </c>
      <c r="R2921" t="s">
        <v>696</v>
      </c>
      <c r="S2921">
        <v>0.28000000000000003</v>
      </c>
      <c r="T2921">
        <v>7.78</v>
      </c>
      <c r="U2921" t="s">
        <v>402</v>
      </c>
      <c r="V2921" t="s">
        <v>306</v>
      </c>
      <c r="W2921" t="s">
        <v>12201</v>
      </c>
      <c r="X2921">
        <v>0.19</v>
      </c>
      <c r="Y2921" t="s">
        <v>1799</v>
      </c>
      <c r="Z2921" t="s">
        <v>68</v>
      </c>
      <c r="AA2921" t="s">
        <v>2689</v>
      </c>
      <c r="AB2921">
        <v>2</v>
      </c>
      <c r="AC2921" t="s">
        <v>712</v>
      </c>
      <c r="AD2921">
        <v>79.209999999999994</v>
      </c>
      <c r="AE2921" t="s">
        <v>3494</v>
      </c>
      <c r="AF2921">
        <v>1.1499999999999999</v>
      </c>
      <c r="AG2921">
        <v>0</v>
      </c>
      <c r="AH2921">
        <v>0</v>
      </c>
      <c r="AI2921" s="4">
        <v>40854</v>
      </c>
    </row>
    <row r="2922" spans="1:35">
      <c r="A2922">
        <v>2921</v>
      </c>
      <c r="B2922" t="str">
        <f>"600791"</f>
        <v>600791</v>
      </c>
      <c r="C2922" t="s">
        <v>12839</v>
      </c>
      <c r="D2922" s="4">
        <v>43190</v>
      </c>
      <c r="E2922" t="s">
        <v>645</v>
      </c>
      <c r="F2922" t="s">
        <v>153</v>
      </c>
      <c r="G2922" t="s">
        <v>1448</v>
      </c>
      <c r="H2922">
        <v>0.01</v>
      </c>
      <c r="I2922">
        <v>3.56</v>
      </c>
      <c r="J2922">
        <v>0.19</v>
      </c>
      <c r="K2922" t="s">
        <v>559</v>
      </c>
      <c r="L2922">
        <v>233.23</v>
      </c>
      <c r="M2922" t="s">
        <v>989</v>
      </c>
      <c r="N2922">
        <v>0</v>
      </c>
      <c r="O2922" t="s">
        <v>9319</v>
      </c>
      <c r="P2922" t="s">
        <v>3393</v>
      </c>
      <c r="Q2922">
        <v>-52.1</v>
      </c>
      <c r="R2922" t="s">
        <v>1587</v>
      </c>
      <c r="S2922">
        <v>1.95</v>
      </c>
      <c r="T2922">
        <v>10.220000000000001</v>
      </c>
      <c r="U2922" t="s">
        <v>530</v>
      </c>
      <c r="V2922" t="s">
        <v>4218</v>
      </c>
      <c r="W2922" t="s">
        <v>3106</v>
      </c>
      <c r="X2922">
        <v>0.19</v>
      </c>
      <c r="Y2922" t="s">
        <v>2071</v>
      </c>
      <c r="Z2922" t="s">
        <v>141</v>
      </c>
      <c r="AA2922" t="s">
        <v>847</v>
      </c>
      <c r="AB2922">
        <v>1.22</v>
      </c>
      <c r="AC2922" t="s">
        <v>1062</v>
      </c>
      <c r="AD2922">
        <v>27.19</v>
      </c>
      <c r="AE2922" t="s">
        <v>1597</v>
      </c>
      <c r="AF2922">
        <v>0.39</v>
      </c>
      <c r="AG2922">
        <v>0</v>
      </c>
      <c r="AH2922">
        <v>0</v>
      </c>
      <c r="AI2922" s="4">
        <v>35460</v>
      </c>
    </row>
    <row r="2923" spans="1:35">
      <c r="A2923">
        <v>2922</v>
      </c>
      <c r="B2923" t="str">
        <f>"600055"</f>
        <v>600055</v>
      </c>
      <c r="C2923" t="s">
        <v>12840</v>
      </c>
      <c r="D2923" s="4">
        <v>43190</v>
      </c>
      <c r="E2923" t="s">
        <v>2922</v>
      </c>
      <c r="F2923" t="s">
        <v>347</v>
      </c>
      <c r="G2923" t="s">
        <v>5021</v>
      </c>
      <c r="H2923">
        <v>0.01</v>
      </c>
      <c r="I2923">
        <v>3.42</v>
      </c>
      <c r="J2923">
        <v>0.19</v>
      </c>
      <c r="K2923" t="s">
        <v>595</v>
      </c>
      <c r="L2923">
        <v>11.28</v>
      </c>
      <c r="M2923" t="s">
        <v>10136</v>
      </c>
      <c r="N2923" t="s">
        <v>6511</v>
      </c>
      <c r="O2923" t="s">
        <v>12236</v>
      </c>
      <c r="P2923" t="s">
        <v>5459</v>
      </c>
      <c r="Q2923">
        <v>52.56</v>
      </c>
      <c r="R2923" t="s">
        <v>138</v>
      </c>
      <c r="S2923">
        <v>0.69</v>
      </c>
      <c r="T2923">
        <v>43.79</v>
      </c>
      <c r="U2923" t="s">
        <v>243</v>
      </c>
      <c r="V2923" t="s">
        <v>101</v>
      </c>
      <c r="W2923" t="s">
        <v>64</v>
      </c>
      <c r="X2923">
        <v>0.19</v>
      </c>
      <c r="Y2923" t="s">
        <v>1967</v>
      </c>
      <c r="Z2923" t="s">
        <v>3297</v>
      </c>
      <c r="AA2923" t="s">
        <v>12841</v>
      </c>
      <c r="AB2923">
        <v>3.43</v>
      </c>
      <c r="AC2923" t="s">
        <v>510</v>
      </c>
      <c r="AD2923">
        <v>82.62</v>
      </c>
      <c r="AE2923" t="s">
        <v>544</v>
      </c>
      <c r="AF2923">
        <v>1.52</v>
      </c>
      <c r="AG2923">
        <v>0</v>
      </c>
      <c r="AH2923">
        <v>0</v>
      </c>
      <c r="AI2923" s="4">
        <v>35569</v>
      </c>
    </row>
    <row r="2924" spans="1:35">
      <c r="A2924">
        <v>2923</v>
      </c>
      <c r="B2924" t="str">
        <f>"300157"</f>
        <v>300157</v>
      </c>
      <c r="C2924" t="s">
        <v>12842</v>
      </c>
      <c r="D2924" s="4">
        <v>43190</v>
      </c>
      <c r="E2924" t="s">
        <v>2454</v>
      </c>
      <c r="F2924" t="s">
        <v>1330</v>
      </c>
      <c r="G2924" t="s">
        <v>6078</v>
      </c>
      <c r="H2924">
        <v>0.01</v>
      </c>
      <c r="I2924">
        <v>4.63</v>
      </c>
      <c r="J2924">
        <v>0.19</v>
      </c>
      <c r="K2924" t="s">
        <v>1438</v>
      </c>
      <c r="L2924">
        <v>-8.1199999999999992</v>
      </c>
      <c r="M2924" t="s">
        <v>12843</v>
      </c>
      <c r="N2924" t="s">
        <v>12844</v>
      </c>
      <c r="O2924" t="s">
        <v>11007</v>
      </c>
      <c r="P2924" t="s">
        <v>10194</v>
      </c>
      <c r="Q2924">
        <v>211.17</v>
      </c>
      <c r="R2924" t="s">
        <v>12845</v>
      </c>
      <c r="S2924">
        <v>0.1</v>
      </c>
      <c r="T2924">
        <v>15.08</v>
      </c>
      <c r="U2924" t="s">
        <v>5786</v>
      </c>
      <c r="V2924" t="s">
        <v>1350</v>
      </c>
      <c r="W2924" t="s">
        <v>5842</v>
      </c>
      <c r="X2924">
        <v>0.19</v>
      </c>
      <c r="Y2924" t="s">
        <v>1542</v>
      </c>
      <c r="Z2924" t="s">
        <v>1704</v>
      </c>
      <c r="AA2924" t="s">
        <v>1436</v>
      </c>
      <c r="AB2924">
        <v>1.3</v>
      </c>
      <c r="AC2924" t="s">
        <v>461</v>
      </c>
      <c r="AD2924">
        <v>51.11</v>
      </c>
      <c r="AE2924" t="s">
        <v>2280</v>
      </c>
      <c r="AF2924">
        <v>3.53</v>
      </c>
      <c r="AG2924">
        <v>0</v>
      </c>
      <c r="AH2924">
        <v>0</v>
      </c>
      <c r="AI2924" s="4">
        <v>40550</v>
      </c>
    </row>
    <row r="2925" spans="1:35">
      <c r="A2925">
        <v>2924</v>
      </c>
      <c r="B2925" t="str">
        <f>"300135"</f>
        <v>300135</v>
      </c>
      <c r="C2925" t="s">
        <v>12846</v>
      </c>
      <c r="D2925" s="4">
        <v>43190</v>
      </c>
      <c r="E2925" t="s">
        <v>3986</v>
      </c>
      <c r="F2925" t="s">
        <v>3986</v>
      </c>
      <c r="G2925" t="s">
        <v>224</v>
      </c>
      <c r="H2925">
        <v>0</v>
      </c>
      <c r="I2925">
        <v>1.31</v>
      </c>
      <c r="J2925">
        <v>0.19</v>
      </c>
      <c r="K2925" t="s">
        <v>415</v>
      </c>
      <c r="L2925">
        <v>-48.51</v>
      </c>
      <c r="M2925" t="s">
        <v>12847</v>
      </c>
      <c r="N2925" t="s">
        <v>12848</v>
      </c>
      <c r="O2925" t="s">
        <v>11926</v>
      </c>
      <c r="P2925" t="s">
        <v>4467</v>
      </c>
      <c r="Q2925">
        <v>-68.09</v>
      </c>
      <c r="R2925" t="s">
        <v>12553</v>
      </c>
      <c r="S2925">
        <v>0</v>
      </c>
      <c r="T2925">
        <v>13.4</v>
      </c>
      <c r="U2925" t="s">
        <v>946</v>
      </c>
      <c r="V2925" t="s">
        <v>187</v>
      </c>
      <c r="W2925" t="s">
        <v>782</v>
      </c>
      <c r="X2925">
        <v>0.19</v>
      </c>
      <c r="Y2925" t="s">
        <v>516</v>
      </c>
      <c r="Z2925" t="s">
        <v>1455</v>
      </c>
      <c r="AA2925" t="s">
        <v>12849</v>
      </c>
      <c r="AB2925">
        <v>1.87</v>
      </c>
      <c r="AC2925" t="s">
        <v>625</v>
      </c>
      <c r="AD2925">
        <v>39.04</v>
      </c>
      <c r="AE2925" t="s">
        <v>12850</v>
      </c>
      <c r="AF2925">
        <v>0.04</v>
      </c>
      <c r="AG2925">
        <v>0</v>
      </c>
      <c r="AH2925">
        <v>0</v>
      </c>
      <c r="AI2925" s="4">
        <v>40477</v>
      </c>
    </row>
    <row r="2926" spans="1:35">
      <c r="A2926">
        <v>2925</v>
      </c>
      <c r="B2926" t="str">
        <f>"002226"</f>
        <v>002226</v>
      </c>
      <c r="C2926" t="s">
        <v>12851</v>
      </c>
      <c r="D2926" s="4">
        <v>43190</v>
      </c>
      <c r="E2926" t="s">
        <v>300</v>
      </c>
      <c r="F2926" t="s">
        <v>1833</v>
      </c>
      <c r="G2926" t="s">
        <v>3219</v>
      </c>
      <c r="H2926">
        <v>0.01</v>
      </c>
      <c r="I2926">
        <v>4.3600000000000003</v>
      </c>
      <c r="J2926">
        <v>0.19</v>
      </c>
      <c r="K2926" t="s">
        <v>2792</v>
      </c>
      <c r="L2926">
        <v>30.65</v>
      </c>
      <c r="M2926" t="s">
        <v>7911</v>
      </c>
      <c r="N2926" t="s">
        <v>12852</v>
      </c>
      <c r="O2926" t="s">
        <v>11239</v>
      </c>
      <c r="P2926" t="s">
        <v>8474</v>
      </c>
      <c r="Q2926">
        <v>308.69</v>
      </c>
      <c r="R2926" t="s">
        <v>2454</v>
      </c>
      <c r="S2926">
        <v>0.51</v>
      </c>
      <c r="T2926">
        <v>39.119999999999997</v>
      </c>
      <c r="U2926" t="s">
        <v>1745</v>
      </c>
      <c r="V2926" t="s">
        <v>1258</v>
      </c>
      <c r="W2926" t="s">
        <v>3701</v>
      </c>
      <c r="X2926">
        <v>0.19</v>
      </c>
      <c r="Y2926" t="s">
        <v>5750</v>
      </c>
      <c r="Z2926" t="s">
        <v>2328</v>
      </c>
      <c r="AA2926" t="s">
        <v>773</v>
      </c>
      <c r="AB2926">
        <v>1.24</v>
      </c>
      <c r="AC2926" t="s">
        <v>1064</v>
      </c>
      <c r="AD2926">
        <v>44.33</v>
      </c>
      <c r="AE2926" t="s">
        <v>1488</v>
      </c>
      <c r="AF2926">
        <v>2.67</v>
      </c>
      <c r="AG2926">
        <v>0</v>
      </c>
      <c r="AH2926">
        <v>0</v>
      </c>
      <c r="AI2926" s="4">
        <v>39574</v>
      </c>
    </row>
    <row r="2927" spans="1:35">
      <c r="A2927">
        <v>2926</v>
      </c>
      <c r="B2927" t="str">
        <f>"002165"</f>
        <v>002165</v>
      </c>
      <c r="C2927" t="s">
        <v>12853</v>
      </c>
      <c r="D2927" s="4">
        <v>43190</v>
      </c>
      <c r="E2927" t="s">
        <v>1618</v>
      </c>
      <c r="F2927" t="s">
        <v>1382</v>
      </c>
      <c r="G2927" t="s">
        <v>2258</v>
      </c>
      <c r="H2927">
        <v>0</v>
      </c>
      <c r="I2927">
        <v>2.59</v>
      </c>
      <c r="J2927">
        <v>0.19</v>
      </c>
      <c r="K2927" t="s">
        <v>417</v>
      </c>
      <c r="L2927">
        <v>13.94</v>
      </c>
      <c r="M2927" t="s">
        <v>6358</v>
      </c>
      <c r="N2927">
        <v>0</v>
      </c>
      <c r="O2927" t="s">
        <v>803</v>
      </c>
      <c r="P2927" t="s">
        <v>1765</v>
      </c>
      <c r="Q2927">
        <v>-84.36</v>
      </c>
      <c r="R2927" t="s">
        <v>943</v>
      </c>
      <c r="S2927">
        <v>0.88</v>
      </c>
      <c r="T2927">
        <v>10.64</v>
      </c>
      <c r="U2927" t="s">
        <v>423</v>
      </c>
      <c r="V2927" t="s">
        <v>173</v>
      </c>
      <c r="W2927" t="s">
        <v>1518</v>
      </c>
      <c r="X2927">
        <v>0.19</v>
      </c>
      <c r="Y2927" t="s">
        <v>848</v>
      </c>
      <c r="Z2927" t="s">
        <v>840</v>
      </c>
      <c r="AA2927" t="s">
        <v>217</v>
      </c>
      <c r="AB2927">
        <v>1.59</v>
      </c>
      <c r="AC2927" t="s">
        <v>1792</v>
      </c>
      <c r="AD2927">
        <v>49.36</v>
      </c>
      <c r="AE2927" t="s">
        <v>1594</v>
      </c>
      <c r="AF2927">
        <v>0.56999999999999995</v>
      </c>
      <c r="AG2927">
        <v>0</v>
      </c>
      <c r="AH2927">
        <v>0</v>
      </c>
      <c r="AI2927" s="4">
        <v>39338</v>
      </c>
    </row>
    <row r="2928" spans="1:35">
      <c r="A2928">
        <v>2927</v>
      </c>
      <c r="B2928" t="str">
        <f>"000548"</f>
        <v>000548</v>
      </c>
      <c r="C2928" t="s">
        <v>12854</v>
      </c>
      <c r="D2928" s="4">
        <v>43190</v>
      </c>
      <c r="E2928" t="s">
        <v>2789</v>
      </c>
      <c r="F2928" t="s">
        <v>2789</v>
      </c>
      <c r="G2928">
        <v>7131</v>
      </c>
      <c r="H2928">
        <v>0.01</v>
      </c>
      <c r="I2928">
        <v>3.3</v>
      </c>
      <c r="J2928">
        <v>0.19</v>
      </c>
      <c r="K2928" t="s">
        <v>12855</v>
      </c>
      <c r="L2928">
        <v>25.81</v>
      </c>
      <c r="M2928" t="s">
        <v>10740</v>
      </c>
      <c r="N2928" t="s">
        <v>12856</v>
      </c>
      <c r="O2928" t="s">
        <v>9140</v>
      </c>
      <c r="P2928" t="s">
        <v>11760</v>
      </c>
      <c r="Q2928">
        <v>23.26</v>
      </c>
      <c r="R2928" t="s">
        <v>1450</v>
      </c>
      <c r="S2928">
        <v>1.1200000000000001</v>
      </c>
      <c r="T2928">
        <v>51.78</v>
      </c>
      <c r="U2928" t="s">
        <v>251</v>
      </c>
      <c r="V2928" t="s">
        <v>2870</v>
      </c>
      <c r="W2928" t="s">
        <v>296</v>
      </c>
      <c r="X2928">
        <v>0.19</v>
      </c>
      <c r="Y2928" t="s">
        <v>1040</v>
      </c>
      <c r="Z2928" t="s">
        <v>4756</v>
      </c>
      <c r="AA2928" t="s">
        <v>7482</v>
      </c>
      <c r="AB2928">
        <v>1.26</v>
      </c>
      <c r="AC2928" t="s">
        <v>1052</v>
      </c>
      <c r="AD2928">
        <v>79.95</v>
      </c>
      <c r="AE2928" t="s">
        <v>3006</v>
      </c>
      <c r="AF2928">
        <v>0.96</v>
      </c>
      <c r="AG2928">
        <v>0</v>
      </c>
      <c r="AH2928">
        <v>0</v>
      </c>
      <c r="AI2928" s="4">
        <v>34323</v>
      </c>
    </row>
    <row r="2929" spans="1:35">
      <c r="A2929">
        <v>2928</v>
      </c>
      <c r="B2929" t="str">
        <f>"603969"</f>
        <v>603969</v>
      </c>
      <c r="C2929" t="s">
        <v>12857</v>
      </c>
      <c r="D2929" s="4">
        <v>43190</v>
      </c>
      <c r="E2929" t="s">
        <v>1502</v>
      </c>
      <c r="F2929" t="s">
        <v>1502</v>
      </c>
      <c r="G2929">
        <v>8631</v>
      </c>
      <c r="H2929">
        <v>0.01</v>
      </c>
      <c r="I2929">
        <v>2.71</v>
      </c>
      <c r="J2929">
        <v>0.18</v>
      </c>
      <c r="K2929" t="s">
        <v>662</v>
      </c>
      <c r="L2929">
        <v>6.39</v>
      </c>
      <c r="M2929" t="s">
        <v>2967</v>
      </c>
      <c r="N2929" t="s">
        <v>10050</v>
      </c>
      <c r="O2929" t="s">
        <v>9417</v>
      </c>
      <c r="P2929" t="s">
        <v>11043</v>
      </c>
      <c r="Q2929">
        <v>-86.51</v>
      </c>
      <c r="R2929" t="s">
        <v>2685</v>
      </c>
      <c r="S2929">
        <v>0.72</v>
      </c>
      <c r="T2929">
        <v>14.03</v>
      </c>
      <c r="U2929" t="s">
        <v>261</v>
      </c>
      <c r="V2929" t="s">
        <v>820</v>
      </c>
      <c r="W2929" t="s">
        <v>1666</v>
      </c>
      <c r="X2929">
        <v>0.18</v>
      </c>
      <c r="Y2929" t="s">
        <v>2851</v>
      </c>
      <c r="Z2929" t="s">
        <v>2398</v>
      </c>
      <c r="AA2929" t="s">
        <v>10224</v>
      </c>
      <c r="AB2929">
        <v>2.27</v>
      </c>
      <c r="AC2929" t="s">
        <v>1244</v>
      </c>
      <c r="AD2929">
        <v>73.12</v>
      </c>
      <c r="AE2929" t="s">
        <v>675</v>
      </c>
      <c r="AF2929">
        <v>0.85</v>
      </c>
      <c r="AG2929">
        <v>0</v>
      </c>
      <c r="AH2929">
        <v>0</v>
      </c>
      <c r="AI2929" s="4">
        <v>42062</v>
      </c>
    </row>
    <row r="2930" spans="1:35">
      <c r="A2930">
        <v>2929</v>
      </c>
      <c r="B2930" t="str">
        <f>"600467"</f>
        <v>600467</v>
      </c>
      <c r="C2930" t="s">
        <v>12858</v>
      </c>
      <c r="D2930" s="4">
        <v>43190</v>
      </c>
      <c r="E2930" t="s">
        <v>584</v>
      </c>
      <c r="F2930" t="s">
        <v>584</v>
      </c>
      <c r="G2930" t="s">
        <v>224</v>
      </c>
      <c r="H2930">
        <v>0.01</v>
      </c>
      <c r="I2930">
        <v>2.06</v>
      </c>
      <c r="J2930">
        <v>0.18</v>
      </c>
      <c r="K2930" t="s">
        <v>1530</v>
      </c>
      <c r="L2930">
        <v>43.66</v>
      </c>
      <c r="M2930" t="s">
        <v>12308</v>
      </c>
      <c r="N2930" t="s">
        <v>4906</v>
      </c>
      <c r="O2930" t="s">
        <v>9161</v>
      </c>
      <c r="P2930" t="s">
        <v>12859</v>
      </c>
      <c r="Q2930">
        <v>3.96</v>
      </c>
      <c r="R2930" t="s">
        <v>3184</v>
      </c>
      <c r="S2930">
        <v>0.65</v>
      </c>
      <c r="T2930">
        <v>15.99</v>
      </c>
      <c r="U2930" t="s">
        <v>2809</v>
      </c>
      <c r="V2930" t="s">
        <v>1569</v>
      </c>
      <c r="W2930" t="s">
        <v>1404</v>
      </c>
      <c r="X2930">
        <v>0.18</v>
      </c>
      <c r="Y2930" t="s">
        <v>1308</v>
      </c>
      <c r="Z2930" t="s">
        <v>1704</v>
      </c>
      <c r="AA2930" t="s">
        <v>234</v>
      </c>
      <c r="AB2930">
        <v>1.08</v>
      </c>
      <c r="AC2930" t="s">
        <v>1625</v>
      </c>
      <c r="AD2930">
        <v>52.95</v>
      </c>
      <c r="AE2930" t="s">
        <v>133</v>
      </c>
      <c r="AF2930">
        <v>0.27</v>
      </c>
      <c r="AG2930">
        <v>0</v>
      </c>
      <c r="AH2930">
        <v>0</v>
      </c>
      <c r="AI2930" s="4">
        <v>38082</v>
      </c>
    </row>
    <row r="2931" spans="1:35">
      <c r="A2931">
        <v>2930</v>
      </c>
      <c r="B2931" t="str">
        <f>"600259"</f>
        <v>600259</v>
      </c>
      <c r="C2931" t="s">
        <v>12860</v>
      </c>
      <c r="D2931" s="4">
        <v>43190</v>
      </c>
      <c r="E2931" t="s">
        <v>1206</v>
      </c>
      <c r="F2931" t="s">
        <v>1995</v>
      </c>
      <c r="G2931">
        <v>5455</v>
      </c>
      <c r="H2931">
        <v>0.01</v>
      </c>
      <c r="I2931">
        <v>6.48</v>
      </c>
      <c r="J2931">
        <v>0.18</v>
      </c>
      <c r="K2931" t="s">
        <v>1618</v>
      </c>
      <c r="L2931">
        <v>-62.04</v>
      </c>
      <c r="M2931" t="s">
        <v>129</v>
      </c>
      <c r="N2931" t="s">
        <v>12861</v>
      </c>
      <c r="O2931" t="s">
        <v>11964</v>
      </c>
      <c r="P2931" t="s">
        <v>6802</v>
      </c>
      <c r="Q2931">
        <v>104.26</v>
      </c>
      <c r="R2931" t="s">
        <v>12862</v>
      </c>
      <c r="S2931">
        <v>-1.56</v>
      </c>
      <c r="T2931">
        <v>5.28</v>
      </c>
      <c r="U2931" t="s">
        <v>2239</v>
      </c>
      <c r="V2931" t="s">
        <v>907</v>
      </c>
      <c r="W2931" t="s">
        <v>145</v>
      </c>
      <c r="X2931">
        <v>0.18</v>
      </c>
      <c r="Y2931" t="s">
        <v>1255</v>
      </c>
      <c r="Z2931" t="s">
        <v>1062</v>
      </c>
      <c r="AA2931" t="s">
        <v>2468</v>
      </c>
      <c r="AB2931">
        <v>4.43</v>
      </c>
      <c r="AC2931" t="s">
        <v>419</v>
      </c>
      <c r="AD2931">
        <v>47.11</v>
      </c>
      <c r="AE2931" t="s">
        <v>876</v>
      </c>
      <c r="AF2931">
        <v>6.95</v>
      </c>
      <c r="AG2931">
        <v>0</v>
      </c>
      <c r="AH2931">
        <v>0</v>
      </c>
      <c r="AI2931" s="4">
        <v>36671</v>
      </c>
    </row>
    <row r="2932" spans="1:35">
      <c r="A2932">
        <v>2931</v>
      </c>
      <c r="B2932" t="str">
        <f>"300280"</f>
        <v>300280</v>
      </c>
      <c r="C2932" t="s">
        <v>12863</v>
      </c>
      <c r="D2932" s="4">
        <v>43190</v>
      </c>
      <c r="E2932" t="s">
        <v>93</v>
      </c>
      <c r="F2932" t="s">
        <v>86</v>
      </c>
      <c r="G2932" t="s">
        <v>3373</v>
      </c>
      <c r="H2932">
        <v>0.01</v>
      </c>
      <c r="I2932">
        <v>7.84</v>
      </c>
      <c r="J2932">
        <v>0.18</v>
      </c>
      <c r="K2932" t="s">
        <v>443</v>
      </c>
      <c r="L2932">
        <v>97.97</v>
      </c>
      <c r="M2932" t="s">
        <v>6507</v>
      </c>
      <c r="N2932" t="s">
        <v>4489</v>
      </c>
      <c r="O2932" t="s">
        <v>4431</v>
      </c>
      <c r="P2932" t="s">
        <v>4328</v>
      </c>
      <c r="Q2932">
        <v>-68.41</v>
      </c>
      <c r="R2932" t="s">
        <v>1472</v>
      </c>
      <c r="S2932">
        <v>0.49</v>
      </c>
      <c r="T2932">
        <v>91.01</v>
      </c>
      <c r="U2932" t="s">
        <v>973</v>
      </c>
      <c r="V2932" t="s">
        <v>2304</v>
      </c>
      <c r="W2932" t="s">
        <v>1855</v>
      </c>
      <c r="X2932">
        <v>0.18</v>
      </c>
      <c r="Y2932" t="s">
        <v>647</v>
      </c>
      <c r="Z2932" t="s">
        <v>169</v>
      </c>
      <c r="AA2932" t="s">
        <v>1975</v>
      </c>
      <c r="AB2932">
        <v>4.21</v>
      </c>
      <c r="AC2932" t="s">
        <v>448</v>
      </c>
      <c r="AD2932">
        <v>55.42</v>
      </c>
      <c r="AE2932" t="s">
        <v>662</v>
      </c>
      <c r="AF2932">
        <v>6.36</v>
      </c>
      <c r="AG2932">
        <v>0</v>
      </c>
      <c r="AH2932">
        <v>0</v>
      </c>
      <c r="AI2932" s="4">
        <v>40906</v>
      </c>
    </row>
    <row r="2933" spans="1:35">
      <c r="A2933">
        <v>2932</v>
      </c>
      <c r="B2933" t="str">
        <f>"300168"</f>
        <v>300168</v>
      </c>
      <c r="C2933" t="s">
        <v>12864</v>
      </c>
      <c r="D2933" s="4">
        <v>43190</v>
      </c>
      <c r="E2933" t="s">
        <v>978</v>
      </c>
      <c r="F2933" t="s">
        <v>1496</v>
      </c>
      <c r="G2933" t="s">
        <v>1381</v>
      </c>
      <c r="H2933">
        <v>0</v>
      </c>
      <c r="I2933">
        <v>2.42</v>
      </c>
      <c r="J2933">
        <v>0.18</v>
      </c>
      <c r="K2933" t="s">
        <v>325</v>
      </c>
      <c r="L2933">
        <v>11.81</v>
      </c>
      <c r="M2933" t="s">
        <v>10864</v>
      </c>
      <c r="N2933" t="s">
        <v>12865</v>
      </c>
      <c r="O2933" t="s">
        <v>11901</v>
      </c>
      <c r="P2933" t="s">
        <v>7229</v>
      </c>
      <c r="Q2933">
        <v>11.46</v>
      </c>
      <c r="R2933" t="s">
        <v>147</v>
      </c>
      <c r="S2933">
        <v>1.05</v>
      </c>
      <c r="T2933">
        <v>47.32</v>
      </c>
      <c r="U2933" t="s">
        <v>4108</v>
      </c>
      <c r="V2933" t="s">
        <v>1925</v>
      </c>
      <c r="W2933" t="s">
        <v>1040</v>
      </c>
      <c r="X2933">
        <v>0.18</v>
      </c>
      <c r="Y2933" t="s">
        <v>430</v>
      </c>
      <c r="Z2933" t="s">
        <v>1859</v>
      </c>
      <c r="AA2933" t="s">
        <v>164</v>
      </c>
      <c r="AB2933">
        <v>8.7899999999999991</v>
      </c>
      <c r="AC2933" t="s">
        <v>2523</v>
      </c>
      <c r="AD2933">
        <v>34.44</v>
      </c>
      <c r="AE2933" t="s">
        <v>1995</v>
      </c>
      <c r="AF2933">
        <v>0.25</v>
      </c>
      <c r="AG2933">
        <v>0</v>
      </c>
      <c r="AH2933">
        <v>0</v>
      </c>
      <c r="AI2933" s="4">
        <v>40568</v>
      </c>
    </row>
    <row r="2934" spans="1:35">
      <c r="A2934">
        <v>2933</v>
      </c>
      <c r="B2934" t="str">
        <f>"300047"</f>
        <v>300047</v>
      </c>
      <c r="C2934" t="s">
        <v>12866</v>
      </c>
      <c r="D2934" s="4">
        <v>43190</v>
      </c>
      <c r="E2934" t="s">
        <v>267</v>
      </c>
      <c r="F2934" t="s">
        <v>1664</v>
      </c>
      <c r="G2934" t="s">
        <v>892</v>
      </c>
      <c r="H2934">
        <v>0.01</v>
      </c>
      <c r="I2934">
        <v>7.06</v>
      </c>
      <c r="J2934">
        <v>0.18</v>
      </c>
      <c r="K2934" t="s">
        <v>3374</v>
      </c>
      <c r="L2934">
        <v>20.39</v>
      </c>
      <c r="M2934" t="s">
        <v>10349</v>
      </c>
      <c r="N2934" t="s">
        <v>8163</v>
      </c>
      <c r="O2934" t="s">
        <v>6328</v>
      </c>
      <c r="P2934" t="s">
        <v>2108</v>
      </c>
      <c r="Q2934">
        <v>304.77999999999997</v>
      </c>
      <c r="R2934" t="s">
        <v>1714</v>
      </c>
      <c r="S2934">
        <v>1.57</v>
      </c>
      <c r="T2934">
        <v>24.27</v>
      </c>
      <c r="U2934" t="s">
        <v>5550</v>
      </c>
      <c r="V2934" t="s">
        <v>2291</v>
      </c>
      <c r="W2934" t="s">
        <v>2142</v>
      </c>
      <c r="X2934">
        <v>0.18</v>
      </c>
      <c r="Y2934" t="s">
        <v>1496</v>
      </c>
      <c r="Z2934" t="s">
        <v>4861</v>
      </c>
      <c r="AA2934" t="s">
        <v>2483</v>
      </c>
      <c r="AB2934">
        <v>1.96</v>
      </c>
      <c r="AC2934" t="s">
        <v>356</v>
      </c>
      <c r="AD2934">
        <v>71.94</v>
      </c>
      <c r="AE2934" t="s">
        <v>304</v>
      </c>
      <c r="AF2934">
        <v>4.32</v>
      </c>
      <c r="AG2934">
        <v>0</v>
      </c>
      <c r="AH2934">
        <v>0</v>
      </c>
      <c r="AI2934" s="4">
        <v>40198</v>
      </c>
    </row>
    <row r="2935" spans="1:35">
      <c r="A2935">
        <v>2934</v>
      </c>
      <c r="B2935" t="str">
        <f>"002502"</f>
        <v>002502</v>
      </c>
      <c r="C2935" t="s">
        <v>12867</v>
      </c>
      <c r="D2935" s="4">
        <v>43190</v>
      </c>
      <c r="E2935" t="s">
        <v>2683</v>
      </c>
      <c r="F2935" t="s">
        <v>2094</v>
      </c>
      <c r="G2935" t="s">
        <v>2506</v>
      </c>
      <c r="H2935">
        <v>0.01</v>
      </c>
      <c r="I2935">
        <v>4.0199999999999996</v>
      </c>
      <c r="J2935">
        <v>0.18</v>
      </c>
      <c r="K2935" t="s">
        <v>12868</v>
      </c>
      <c r="L2935">
        <v>-86.08</v>
      </c>
      <c r="M2935" t="s">
        <v>6597</v>
      </c>
      <c r="N2935" t="s">
        <v>12869</v>
      </c>
      <c r="O2935" t="s">
        <v>3225</v>
      </c>
      <c r="P2935" t="s">
        <v>2087</v>
      </c>
      <c r="Q2935">
        <v>-93.16</v>
      </c>
      <c r="R2935" t="s">
        <v>2250</v>
      </c>
      <c r="S2935">
        <v>1.0900000000000001</v>
      </c>
      <c r="T2935">
        <v>88.41</v>
      </c>
      <c r="U2935" t="s">
        <v>235</v>
      </c>
      <c r="V2935" t="s">
        <v>1307</v>
      </c>
      <c r="W2935" t="s">
        <v>12870</v>
      </c>
      <c r="X2935">
        <v>0.18</v>
      </c>
      <c r="Y2935" t="s">
        <v>1383</v>
      </c>
      <c r="Z2935" t="s">
        <v>3011</v>
      </c>
      <c r="AA2935" t="s">
        <v>12871</v>
      </c>
      <c r="AB2935">
        <v>1.45</v>
      </c>
      <c r="AC2935" t="s">
        <v>2901</v>
      </c>
      <c r="AD2935">
        <v>90.22</v>
      </c>
      <c r="AE2935" t="s">
        <v>76</v>
      </c>
      <c r="AF2935">
        <v>1.9</v>
      </c>
      <c r="AG2935">
        <v>0</v>
      </c>
      <c r="AH2935">
        <v>0</v>
      </c>
      <c r="AI2935" s="4">
        <v>40499</v>
      </c>
    </row>
    <row r="2936" spans="1:35">
      <c r="A2936">
        <v>2935</v>
      </c>
      <c r="B2936" t="str">
        <f>"000801"</f>
        <v>000801</v>
      </c>
      <c r="C2936" t="s">
        <v>12872</v>
      </c>
      <c r="D2936" s="4">
        <v>43190</v>
      </c>
      <c r="E2936" t="s">
        <v>1496</v>
      </c>
      <c r="F2936" t="s">
        <v>1496</v>
      </c>
      <c r="G2936" t="s">
        <v>5991</v>
      </c>
      <c r="H2936">
        <v>0</v>
      </c>
      <c r="I2936">
        <v>2.2599999999999998</v>
      </c>
      <c r="J2936">
        <v>0.18</v>
      </c>
      <c r="K2936" t="s">
        <v>1872</v>
      </c>
      <c r="L2936">
        <v>4.2699999999999996</v>
      </c>
      <c r="M2936" t="s">
        <v>12029</v>
      </c>
      <c r="N2936" t="s">
        <v>12873</v>
      </c>
      <c r="O2936" t="s">
        <v>9085</v>
      </c>
      <c r="P2936" t="s">
        <v>8628</v>
      </c>
      <c r="Q2936">
        <v>208.44</v>
      </c>
      <c r="R2936" t="s">
        <v>1065</v>
      </c>
      <c r="S2936">
        <v>0.93</v>
      </c>
      <c r="T2936">
        <v>17.28</v>
      </c>
      <c r="U2936" t="s">
        <v>1061</v>
      </c>
      <c r="V2936" t="s">
        <v>893</v>
      </c>
      <c r="W2936" t="s">
        <v>204</v>
      </c>
      <c r="X2936">
        <v>0.18</v>
      </c>
      <c r="Y2936" t="s">
        <v>1908</v>
      </c>
      <c r="Z2936" t="s">
        <v>2280</v>
      </c>
      <c r="AA2936" t="s">
        <v>1288</v>
      </c>
      <c r="AB2936">
        <v>2.0299999999999998</v>
      </c>
      <c r="AC2936" t="s">
        <v>242</v>
      </c>
      <c r="AD2936">
        <v>46.17</v>
      </c>
      <c r="AE2936" t="s">
        <v>91</v>
      </c>
      <c r="AF2936">
        <v>0.27</v>
      </c>
      <c r="AG2936">
        <v>0</v>
      </c>
      <c r="AH2936">
        <v>0</v>
      </c>
      <c r="AI2936" s="4">
        <v>35921</v>
      </c>
    </row>
    <row r="2937" spans="1:35">
      <c r="A2937">
        <v>2936</v>
      </c>
      <c r="B2937" t="str">
        <f>"000779"</f>
        <v>000779</v>
      </c>
      <c r="C2937" t="s">
        <v>12874</v>
      </c>
      <c r="D2937" s="4">
        <v>43190</v>
      </c>
      <c r="E2937" t="s">
        <v>383</v>
      </c>
      <c r="F2937" t="s">
        <v>383</v>
      </c>
      <c r="G2937" t="s">
        <v>5650</v>
      </c>
      <c r="H2937">
        <v>0</v>
      </c>
      <c r="I2937">
        <v>1.6</v>
      </c>
      <c r="J2937">
        <v>0.18</v>
      </c>
      <c r="K2937" t="s">
        <v>12875</v>
      </c>
      <c r="L2937">
        <v>10.9</v>
      </c>
      <c r="M2937" t="s">
        <v>12876</v>
      </c>
      <c r="N2937">
        <v>0</v>
      </c>
      <c r="O2937" t="s">
        <v>5162</v>
      </c>
      <c r="P2937" t="s">
        <v>5162</v>
      </c>
      <c r="Q2937">
        <v>104.27</v>
      </c>
      <c r="R2937" t="s">
        <v>12877</v>
      </c>
      <c r="S2937">
        <v>-1.31</v>
      </c>
      <c r="T2937">
        <v>12.45</v>
      </c>
      <c r="U2937" t="s">
        <v>3490</v>
      </c>
      <c r="V2937" t="s">
        <v>2123</v>
      </c>
      <c r="W2937" t="s">
        <v>185</v>
      </c>
      <c r="X2937">
        <v>0.18</v>
      </c>
      <c r="Y2937" t="s">
        <v>593</v>
      </c>
      <c r="Z2937" t="s">
        <v>94</v>
      </c>
      <c r="AA2937" t="s">
        <v>12878</v>
      </c>
      <c r="AB2937">
        <v>8.41</v>
      </c>
      <c r="AC2937" t="s">
        <v>1621</v>
      </c>
      <c r="AD2937">
        <v>47.65</v>
      </c>
      <c r="AE2937" t="s">
        <v>1320</v>
      </c>
      <c r="AF2937">
        <v>1.73</v>
      </c>
      <c r="AG2937">
        <v>0</v>
      </c>
      <c r="AH2937">
        <v>0</v>
      </c>
      <c r="AI2937" s="4">
        <v>35578</v>
      </c>
    </row>
    <row r="2938" spans="1:35">
      <c r="A2938">
        <v>2937</v>
      </c>
      <c r="B2938" t="str">
        <f>"000768"</f>
        <v>000768</v>
      </c>
      <c r="C2938" t="s">
        <v>12879</v>
      </c>
      <c r="D2938" s="4">
        <v>43190</v>
      </c>
      <c r="E2938" t="s">
        <v>450</v>
      </c>
      <c r="F2938" t="s">
        <v>450</v>
      </c>
      <c r="G2938" t="s">
        <v>294</v>
      </c>
      <c r="H2938">
        <v>0.01</v>
      </c>
      <c r="I2938">
        <v>5.6</v>
      </c>
      <c r="J2938">
        <v>0.18</v>
      </c>
      <c r="K2938" t="s">
        <v>1858</v>
      </c>
      <c r="L2938">
        <v>67.650000000000006</v>
      </c>
      <c r="M2938" t="s">
        <v>7901</v>
      </c>
      <c r="N2938" t="s">
        <v>6725</v>
      </c>
      <c r="O2938" t="s">
        <v>12880</v>
      </c>
      <c r="P2938" t="s">
        <v>12881</v>
      </c>
      <c r="Q2938">
        <v>130.76</v>
      </c>
      <c r="R2938" t="s">
        <v>847</v>
      </c>
      <c r="S2938">
        <v>0.49</v>
      </c>
      <c r="T2938">
        <v>6.04</v>
      </c>
      <c r="U2938" t="s">
        <v>3371</v>
      </c>
      <c r="V2938" t="s">
        <v>436</v>
      </c>
      <c r="W2938" t="s">
        <v>553</v>
      </c>
      <c r="X2938">
        <v>0.18</v>
      </c>
      <c r="Y2938" t="s">
        <v>5469</v>
      </c>
      <c r="Z2938" t="s">
        <v>1290</v>
      </c>
      <c r="AA2938" t="s">
        <v>1965</v>
      </c>
      <c r="AB2938">
        <v>2.4900000000000002</v>
      </c>
      <c r="AC2938" t="s">
        <v>587</v>
      </c>
      <c r="AD2938">
        <v>36.17</v>
      </c>
      <c r="AE2938" t="s">
        <v>232</v>
      </c>
      <c r="AF2938">
        <v>3.66</v>
      </c>
      <c r="AG2938">
        <v>0</v>
      </c>
      <c r="AH2938">
        <v>0</v>
      </c>
      <c r="AI2938" s="4">
        <v>35607</v>
      </c>
    </row>
    <row r="2939" spans="1:35">
      <c r="A2939">
        <v>2938</v>
      </c>
      <c r="B2939" t="str">
        <f>"300099"</f>
        <v>300099</v>
      </c>
      <c r="C2939" t="s">
        <v>12882</v>
      </c>
      <c r="D2939" s="4">
        <v>43190</v>
      </c>
      <c r="E2939" t="s">
        <v>1521</v>
      </c>
      <c r="F2939" t="s">
        <v>2590</v>
      </c>
      <c r="G2939" t="s">
        <v>2589</v>
      </c>
      <c r="H2939">
        <v>0</v>
      </c>
      <c r="I2939">
        <v>2.4900000000000002</v>
      </c>
      <c r="J2939">
        <v>0.17</v>
      </c>
      <c r="K2939" t="s">
        <v>9459</v>
      </c>
      <c r="L2939">
        <v>-39.369999999999997</v>
      </c>
      <c r="M2939" t="s">
        <v>5059</v>
      </c>
      <c r="N2939" t="s">
        <v>10647</v>
      </c>
      <c r="O2939" t="s">
        <v>12883</v>
      </c>
      <c r="P2939" t="s">
        <v>7398</v>
      </c>
      <c r="Q2939">
        <v>-62.86</v>
      </c>
      <c r="R2939" t="s">
        <v>94</v>
      </c>
      <c r="S2939">
        <v>0.26</v>
      </c>
      <c r="T2939">
        <v>48.82</v>
      </c>
      <c r="U2939" t="s">
        <v>389</v>
      </c>
      <c r="V2939" t="s">
        <v>1856</v>
      </c>
      <c r="W2939" t="s">
        <v>975</v>
      </c>
      <c r="X2939">
        <v>0.17</v>
      </c>
      <c r="Y2939" t="s">
        <v>711</v>
      </c>
      <c r="Z2939" t="s">
        <v>372</v>
      </c>
      <c r="AA2939" t="s">
        <v>11824</v>
      </c>
      <c r="AB2939">
        <v>1.81</v>
      </c>
      <c r="AC2939" t="s">
        <v>79</v>
      </c>
      <c r="AD2939">
        <v>90.78</v>
      </c>
      <c r="AE2939" t="s">
        <v>6159</v>
      </c>
      <c r="AF2939">
        <v>1.1599999999999999</v>
      </c>
      <c r="AG2939">
        <v>0</v>
      </c>
      <c r="AH2939">
        <v>0</v>
      </c>
      <c r="AI2939" s="4">
        <v>40396</v>
      </c>
    </row>
    <row r="2940" spans="1:35">
      <c r="A2940">
        <v>2939</v>
      </c>
      <c r="B2940" t="str">
        <f>"002906"</f>
        <v>002906</v>
      </c>
      <c r="C2940" t="s">
        <v>12884</v>
      </c>
      <c r="D2940" s="4">
        <v>43190</v>
      </c>
      <c r="E2940" t="s">
        <v>476</v>
      </c>
      <c r="F2940" t="s">
        <v>12885</v>
      </c>
      <c r="G2940">
        <v>1728</v>
      </c>
      <c r="H2940">
        <v>0.01</v>
      </c>
      <c r="I2940">
        <v>7.39</v>
      </c>
      <c r="J2940">
        <v>0.17</v>
      </c>
      <c r="K2940" t="s">
        <v>2790</v>
      </c>
      <c r="L2940">
        <v>-22.06</v>
      </c>
      <c r="M2940" t="s">
        <v>4012</v>
      </c>
      <c r="N2940" t="s">
        <v>9417</v>
      </c>
      <c r="O2940" t="s">
        <v>12886</v>
      </c>
      <c r="P2940" t="s">
        <v>10930</v>
      </c>
      <c r="Q2940">
        <v>-91.52</v>
      </c>
      <c r="R2940" t="s">
        <v>1920</v>
      </c>
      <c r="S2940">
        <v>4.33</v>
      </c>
      <c r="T2940">
        <v>19.260000000000002</v>
      </c>
      <c r="U2940" t="s">
        <v>2005</v>
      </c>
      <c r="V2940" t="s">
        <v>1248</v>
      </c>
      <c r="W2940" t="s">
        <v>353</v>
      </c>
      <c r="X2940">
        <v>0.17</v>
      </c>
      <c r="Y2940" t="s">
        <v>602</v>
      </c>
      <c r="Z2940" t="s">
        <v>919</v>
      </c>
      <c r="AA2940" t="s">
        <v>12887</v>
      </c>
      <c r="AB2940">
        <v>2.48</v>
      </c>
      <c r="AC2940" t="s">
        <v>1174</v>
      </c>
      <c r="AD2940">
        <v>76.09</v>
      </c>
      <c r="AE2940" t="s">
        <v>421</v>
      </c>
      <c r="AF2940">
        <v>1.85</v>
      </c>
      <c r="AG2940">
        <v>0</v>
      </c>
      <c r="AH2940">
        <v>0</v>
      </c>
      <c r="AI2940" s="4">
        <v>43021</v>
      </c>
    </row>
    <row r="2941" spans="1:35">
      <c r="A2941">
        <v>2940</v>
      </c>
      <c r="B2941" t="str">
        <f>"000546"</f>
        <v>000546</v>
      </c>
      <c r="C2941" t="s">
        <v>12888</v>
      </c>
      <c r="D2941" s="4">
        <v>43190</v>
      </c>
      <c r="E2941" t="s">
        <v>3802</v>
      </c>
      <c r="F2941" t="s">
        <v>2586</v>
      </c>
      <c r="G2941" t="s">
        <v>12889</v>
      </c>
      <c r="H2941">
        <v>0.01</v>
      </c>
      <c r="I2941">
        <v>4.71</v>
      </c>
      <c r="J2941">
        <v>0.17</v>
      </c>
      <c r="K2941" t="s">
        <v>124</v>
      </c>
      <c r="L2941">
        <v>816.98</v>
      </c>
      <c r="M2941" t="s">
        <v>12890</v>
      </c>
      <c r="N2941" t="s">
        <v>2624</v>
      </c>
      <c r="O2941" t="s">
        <v>12891</v>
      </c>
      <c r="P2941" t="s">
        <v>9566</v>
      </c>
      <c r="Q2941">
        <v>115.23</v>
      </c>
      <c r="R2941" t="s">
        <v>62</v>
      </c>
      <c r="S2941">
        <v>1.25</v>
      </c>
      <c r="T2941">
        <v>6.51</v>
      </c>
      <c r="U2941" t="s">
        <v>5350</v>
      </c>
      <c r="V2941" t="s">
        <v>1345</v>
      </c>
      <c r="W2941" t="s">
        <v>461</v>
      </c>
      <c r="X2941">
        <v>0.17</v>
      </c>
      <c r="Y2941" t="s">
        <v>2643</v>
      </c>
      <c r="Z2941" t="s">
        <v>2057</v>
      </c>
      <c r="AA2941" t="s">
        <v>3745</v>
      </c>
      <c r="AB2941">
        <v>2.59</v>
      </c>
      <c r="AC2941" t="s">
        <v>1127</v>
      </c>
      <c r="AD2941">
        <v>42.99</v>
      </c>
      <c r="AE2941" t="s">
        <v>1190</v>
      </c>
      <c r="AF2941">
        <v>2.33</v>
      </c>
      <c r="AG2941">
        <v>0</v>
      </c>
      <c r="AH2941">
        <v>0</v>
      </c>
      <c r="AI2941" s="4">
        <v>34318</v>
      </c>
    </row>
    <row r="2942" spans="1:35">
      <c r="A2942">
        <v>2941</v>
      </c>
      <c r="B2942" t="str">
        <f>"600787"</f>
        <v>600787</v>
      </c>
      <c r="C2942" t="s">
        <v>12892</v>
      </c>
      <c r="D2942" s="4">
        <v>43190</v>
      </c>
      <c r="E2942" t="s">
        <v>1875</v>
      </c>
      <c r="F2942" t="s">
        <v>891</v>
      </c>
      <c r="G2942" t="s">
        <v>5898</v>
      </c>
      <c r="H2942">
        <v>0.01</v>
      </c>
      <c r="I2942">
        <v>4.75</v>
      </c>
      <c r="J2942">
        <v>0.17</v>
      </c>
      <c r="K2942" t="s">
        <v>110</v>
      </c>
      <c r="L2942">
        <v>1.25</v>
      </c>
      <c r="M2942" t="s">
        <v>5437</v>
      </c>
      <c r="N2942" t="s">
        <v>12893</v>
      </c>
      <c r="O2942" t="s">
        <v>10013</v>
      </c>
      <c r="P2942" t="s">
        <v>6211</v>
      </c>
      <c r="Q2942">
        <v>-40.32</v>
      </c>
      <c r="R2942" t="s">
        <v>2339</v>
      </c>
      <c r="S2942">
        <v>1.38</v>
      </c>
      <c r="T2942">
        <v>1.62</v>
      </c>
      <c r="U2942" t="s">
        <v>1221</v>
      </c>
      <c r="V2942" t="s">
        <v>1820</v>
      </c>
      <c r="W2942" t="s">
        <v>706</v>
      </c>
      <c r="X2942">
        <v>0.17</v>
      </c>
      <c r="Y2942" t="s">
        <v>3520</v>
      </c>
      <c r="Z2942" t="s">
        <v>1532</v>
      </c>
      <c r="AA2942" t="s">
        <v>1517</v>
      </c>
      <c r="AB2942">
        <v>1.6</v>
      </c>
      <c r="AC2942" t="s">
        <v>900</v>
      </c>
      <c r="AD2942">
        <v>52.55</v>
      </c>
      <c r="AE2942" t="s">
        <v>1225</v>
      </c>
      <c r="AF2942">
        <v>1.6</v>
      </c>
      <c r="AG2942">
        <v>0</v>
      </c>
      <c r="AH2942">
        <v>0</v>
      </c>
      <c r="AI2942" s="4">
        <v>35451</v>
      </c>
    </row>
    <row r="2943" spans="1:35">
      <c r="A2943">
        <v>2942</v>
      </c>
      <c r="B2943" t="str">
        <f>"600462"</f>
        <v>600462</v>
      </c>
      <c r="C2943" t="s">
        <v>12894</v>
      </c>
      <c r="D2943" s="4">
        <v>43190</v>
      </c>
      <c r="E2943" t="s">
        <v>289</v>
      </c>
      <c r="F2943" t="s">
        <v>289</v>
      </c>
      <c r="G2943" t="s">
        <v>1122</v>
      </c>
      <c r="H2943">
        <v>0</v>
      </c>
      <c r="I2943">
        <v>0.56000000000000005</v>
      </c>
      <c r="J2943">
        <v>0.16</v>
      </c>
      <c r="K2943" t="s">
        <v>3197</v>
      </c>
      <c r="L2943">
        <v>350.07</v>
      </c>
      <c r="M2943" t="s">
        <v>11056</v>
      </c>
      <c r="N2943" t="s">
        <v>12895</v>
      </c>
      <c r="O2943" t="s">
        <v>10235</v>
      </c>
      <c r="P2943" t="s">
        <v>1299</v>
      </c>
      <c r="Q2943">
        <v>-42.47</v>
      </c>
      <c r="R2943" t="s">
        <v>12896</v>
      </c>
      <c r="S2943">
        <v>-1.68</v>
      </c>
      <c r="T2943">
        <v>3.21</v>
      </c>
      <c r="U2943" t="s">
        <v>952</v>
      </c>
      <c r="V2943" t="s">
        <v>811</v>
      </c>
      <c r="W2943" t="s">
        <v>12897</v>
      </c>
      <c r="X2943">
        <v>0.16</v>
      </c>
      <c r="Y2943" t="s">
        <v>1660</v>
      </c>
      <c r="Z2943" t="s">
        <v>3125</v>
      </c>
      <c r="AA2943" t="s">
        <v>5209</v>
      </c>
      <c r="AB2943">
        <v>7.33</v>
      </c>
      <c r="AC2943" t="s">
        <v>1810</v>
      </c>
      <c r="AD2943">
        <v>5.99</v>
      </c>
      <c r="AE2943" t="s">
        <v>1714</v>
      </c>
      <c r="AF2943">
        <v>1.2</v>
      </c>
      <c r="AG2943">
        <v>0</v>
      </c>
      <c r="AH2943">
        <v>0</v>
      </c>
      <c r="AI2943" s="4">
        <v>37867</v>
      </c>
    </row>
    <row r="2944" spans="1:35">
      <c r="A2944">
        <v>2943</v>
      </c>
      <c r="B2944" t="str">
        <f>"600267"</f>
        <v>600267</v>
      </c>
      <c r="C2944" t="s">
        <v>12898</v>
      </c>
      <c r="D2944" s="4">
        <v>43190</v>
      </c>
      <c r="E2944" t="s">
        <v>1084</v>
      </c>
      <c r="F2944" t="s">
        <v>1084</v>
      </c>
      <c r="G2944" t="s">
        <v>12899</v>
      </c>
      <c r="H2944">
        <v>0.01</v>
      </c>
      <c r="I2944">
        <v>6.93</v>
      </c>
      <c r="J2944">
        <v>0.16</v>
      </c>
      <c r="K2944" t="s">
        <v>1881</v>
      </c>
      <c r="L2944">
        <v>3.06</v>
      </c>
      <c r="M2944" t="s">
        <v>3111</v>
      </c>
      <c r="N2944" t="s">
        <v>3229</v>
      </c>
      <c r="O2944" t="s">
        <v>1936</v>
      </c>
      <c r="P2944" t="s">
        <v>10263</v>
      </c>
      <c r="Q2944">
        <v>57.95</v>
      </c>
      <c r="R2944" t="s">
        <v>1678</v>
      </c>
      <c r="S2944">
        <v>1.79</v>
      </c>
      <c r="T2944">
        <v>35.18</v>
      </c>
      <c r="U2944" t="s">
        <v>1150</v>
      </c>
      <c r="V2944" t="s">
        <v>1303</v>
      </c>
      <c r="W2944" t="s">
        <v>951</v>
      </c>
      <c r="X2944">
        <v>0.16</v>
      </c>
      <c r="Y2944" t="s">
        <v>246</v>
      </c>
      <c r="Z2944" t="s">
        <v>795</v>
      </c>
      <c r="AA2944" t="s">
        <v>4186</v>
      </c>
      <c r="AB2944">
        <v>2.08</v>
      </c>
      <c r="AC2944" t="s">
        <v>3278</v>
      </c>
      <c r="AD2944">
        <v>30.97</v>
      </c>
      <c r="AE2944" t="s">
        <v>4558</v>
      </c>
      <c r="AF2944">
        <v>3.78</v>
      </c>
      <c r="AG2944">
        <v>0</v>
      </c>
      <c r="AH2944">
        <v>0</v>
      </c>
      <c r="AI2944" s="4">
        <v>36732</v>
      </c>
    </row>
    <row r="2945" spans="1:35">
      <c r="A2945">
        <v>2944</v>
      </c>
      <c r="B2945" t="str">
        <f>"002625"</f>
        <v>002625</v>
      </c>
      <c r="C2945" t="s">
        <v>12900</v>
      </c>
      <c r="D2945" s="4">
        <v>43190</v>
      </c>
      <c r="E2945" t="s">
        <v>449</v>
      </c>
      <c r="F2945" t="s">
        <v>1317</v>
      </c>
      <c r="G2945">
        <v>7842</v>
      </c>
      <c r="H2945">
        <v>0.01</v>
      </c>
      <c r="I2945">
        <v>3.5</v>
      </c>
      <c r="J2945">
        <v>0.16</v>
      </c>
      <c r="K2945" t="s">
        <v>12901</v>
      </c>
      <c r="L2945">
        <v>-12.28</v>
      </c>
      <c r="M2945" t="s">
        <v>12708</v>
      </c>
      <c r="N2945" t="s">
        <v>904</v>
      </c>
      <c r="O2945" t="s">
        <v>12902</v>
      </c>
      <c r="P2945" t="s">
        <v>10044</v>
      </c>
      <c r="Q2945">
        <v>-37.43</v>
      </c>
      <c r="R2945" t="s">
        <v>2185</v>
      </c>
      <c r="S2945">
        <v>0.14000000000000001</v>
      </c>
      <c r="T2945">
        <v>32.06</v>
      </c>
      <c r="U2945" t="s">
        <v>6527</v>
      </c>
      <c r="V2945" t="s">
        <v>2762</v>
      </c>
      <c r="W2945" t="s">
        <v>1048</v>
      </c>
      <c r="X2945">
        <v>0.16</v>
      </c>
      <c r="Y2945" t="s">
        <v>4306</v>
      </c>
      <c r="Z2945" t="s">
        <v>2255</v>
      </c>
      <c r="AA2945" t="s">
        <v>531</v>
      </c>
      <c r="AB2945">
        <v>3.57</v>
      </c>
      <c r="AC2945" t="s">
        <v>12903</v>
      </c>
      <c r="AD2945">
        <v>90.92</v>
      </c>
      <c r="AE2945" t="s">
        <v>3982</v>
      </c>
      <c r="AF2945">
        <v>2.34</v>
      </c>
      <c r="AG2945">
        <v>0</v>
      </c>
      <c r="AH2945">
        <v>0</v>
      </c>
      <c r="AI2945" s="4">
        <v>40850</v>
      </c>
    </row>
    <row r="2946" spans="1:35">
      <c r="A2946">
        <v>2945</v>
      </c>
      <c r="B2946" t="str">
        <f>"002611"</f>
        <v>002611</v>
      </c>
      <c r="C2946" t="s">
        <v>12904</v>
      </c>
      <c r="D2946" s="4">
        <v>43190</v>
      </c>
      <c r="E2946" t="s">
        <v>973</v>
      </c>
      <c r="F2946" t="s">
        <v>424</v>
      </c>
      <c r="G2946" t="s">
        <v>1639</v>
      </c>
      <c r="H2946">
        <v>0.01</v>
      </c>
      <c r="I2946">
        <v>6.71</v>
      </c>
      <c r="J2946">
        <v>0.16</v>
      </c>
      <c r="K2946" t="s">
        <v>2444</v>
      </c>
      <c r="L2946">
        <v>225.72</v>
      </c>
      <c r="M2946" t="s">
        <v>7698</v>
      </c>
      <c r="N2946" t="s">
        <v>2011</v>
      </c>
      <c r="O2946" t="s">
        <v>12905</v>
      </c>
      <c r="P2946" t="s">
        <v>5554</v>
      </c>
      <c r="Q2946">
        <v>77.42</v>
      </c>
      <c r="R2946" t="s">
        <v>605</v>
      </c>
      <c r="S2946">
        <v>0.71</v>
      </c>
      <c r="T2946">
        <v>16.940000000000001</v>
      </c>
      <c r="U2946" t="s">
        <v>465</v>
      </c>
      <c r="V2946" t="s">
        <v>467</v>
      </c>
      <c r="W2946" t="s">
        <v>1276</v>
      </c>
      <c r="X2946">
        <v>0.16</v>
      </c>
      <c r="Y2946" t="s">
        <v>3605</v>
      </c>
      <c r="Z2946" t="s">
        <v>245</v>
      </c>
      <c r="AA2946" t="s">
        <v>1611</v>
      </c>
      <c r="AB2946">
        <v>1.48</v>
      </c>
      <c r="AC2946" t="s">
        <v>2013</v>
      </c>
      <c r="AD2946">
        <v>60.88</v>
      </c>
      <c r="AE2946" t="s">
        <v>110</v>
      </c>
      <c r="AF2946">
        <v>4.91</v>
      </c>
      <c r="AG2946">
        <v>0</v>
      </c>
      <c r="AH2946">
        <v>0</v>
      </c>
      <c r="AI2946" s="4">
        <v>40785</v>
      </c>
    </row>
    <row r="2947" spans="1:35">
      <c r="A2947">
        <v>2946</v>
      </c>
      <c r="B2947" t="str">
        <f>"002208"</f>
        <v>002208</v>
      </c>
      <c r="C2947" t="s">
        <v>12906</v>
      </c>
      <c r="D2947" s="4">
        <v>43190</v>
      </c>
      <c r="E2947" t="s">
        <v>824</v>
      </c>
      <c r="F2947" t="s">
        <v>301</v>
      </c>
      <c r="G2947">
        <v>5574</v>
      </c>
      <c r="H2947">
        <v>0.01</v>
      </c>
      <c r="I2947">
        <v>5.45</v>
      </c>
      <c r="J2947">
        <v>0.16</v>
      </c>
      <c r="K2947" t="s">
        <v>1180</v>
      </c>
      <c r="L2947">
        <v>-70.52</v>
      </c>
      <c r="M2947" t="s">
        <v>3743</v>
      </c>
      <c r="N2947">
        <v>0</v>
      </c>
      <c r="O2947" t="s">
        <v>8693</v>
      </c>
      <c r="P2947" t="s">
        <v>11908</v>
      </c>
      <c r="Q2947">
        <v>-93.54</v>
      </c>
      <c r="R2947" t="s">
        <v>1274</v>
      </c>
      <c r="S2947">
        <v>2.65</v>
      </c>
      <c r="T2947">
        <v>38.090000000000003</v>
      </c>
      <c r="U2947" t="s">
        <v>1089</v>
      </c>
      <c r="V2947" t="s">
        <v>815</v>
      </c>
      <c r="W2947" t="s">
        <v>12907</v>
      </c>
      <c r="X2947">
        <v>0.16</v>
      </c>
      <c r="Y2947" t="s">
        <v>232</v>
      </c>
      <c r="Z2947" t="s">
        <v>3807</v>
      </c>
      <c r="AA2947" t="s">
        <v>548</v>
      </c>
      <c r="AB2947">
        <v>1.97</v>
      </c>
      <c r="AC2947" t="s">
        <v>1343</v>
      </c>
      <c r="AD2947">
        <v>14.59</v>
      </c>
      <c r="AE2947" t="s">
        <v>286</v>
      </c>
      <c r="AF2947">
        <v>0.91</v>
      </c>
      <c r="AG2947">
        <v>0</v>
      </c>
      <c r="AH2947">
        <v>0</v>
      </c>
      <c r="AI2947" s="4">
        <v>39475</v>
      </c>
    </row>
    <row r="2948" spans="1:35">
      <c r="A2948">
        <v>2947</v>
      </c>
      <c r="B2948" t="str">
        <f>"002054"</f>
        <v>002054</v>
      </c>
      <c r="C2948" t="s">
        <v>12908</v>
      </c>
      <c r="D2948" s="4">
        <v>43190</v>
      </c>
      <c r="E2948" t="s">
        <v>2581</v>
      </c>
      <c r="F2948" t="s">
        <v>186</v>
      </c>
      <c r="G2948">
        <v>8628</v>
      </c>
      <c r="H2948">
        <v>0.01</v>
      </c>
      <c r="I2948">
        <v>4.21</v>
      </c>
      <c r="J2948">
        <v>0.16</v>
      </c>
      <c r="K2948" t="s">
        <v>1074</v>
      </c>
      <c r="L2948">
        <v>-46.2</v>
      </c>
      <c r="M2948" t="s">
        <v>11635</v>
      </c>
      <c r="N2948" t="s">
        <v>11010</v>
      </c>
      <c r="O2948" t="s">
        <v>11652</v>
      </c>
      <c r="P2948" t="s">
        <v>11908</v>
      </c>
      <c r="Q2948">
        <v>-35.92</v>
      </c>
      <c r="R2948" t="s">
        <v>602</v>
      </c>
      <c r="S2948">
        <v>2.57</v>
      </c>
      <c r="T2948">
        <v>26.41</v>
      </c>
      <c r="U2948" t="s">
        <v>1205</v>
      </c>
      <c r="V2948" t="s">
        <v>538</v>
      </c>
      <c r="W2948" t="s">
        <v>1002</v>
      </c>
      <c r="X2948">
        <v>0.16</v>
      </c>
      <c r="Y2948" t="s">
        <v>1065</v>
      </c>
      <c r="Z2948" t="s">
        <v>1021</v>
      </c>
      <c r="AA2948" t="s">
        <v>608</v>
      </c>
      <c r="AB2948">
        <v>1.0900000000000001</v>
      </c>
      <c r="AC2948" t="s">
        <v>1678</v>
      </c>
      <c r="AD2948">
        <v>59.92</v>
      </c>
      <c r="AE2948" t="s">
        <v>711</v>
      </c>
      <c r="AF2948">
        <v>0.33</v>
      </c>
      <c r="AG2948">
        <v>0</v>
      </c>
      <c r="AH2948">
        <v>0</v>
      </c>
      <c r="AI2948" s="4">
        <v>38923</v>
      </c>
    </row>
    <row r="2949" spans="1:35">
      <c r="A2949">
        <v>2948</v>
      </c>
      <c r="B2949" t="str">
        <f>"000514"</f>
        <v>000514</v>
      </c>
      <c r="C2949" t="s">
        <v>12909</v>
      </c>
      <c r="D2949" s="4">
        <v>43190</v>
      </c>
      <c r="E2949" t="s">
        <v>652</v>
      </c>
      <c r="F2949" t="s">
        <v>652</v>
      </c>
      <c r="G2949" t="s">
        <v>2985</v>
      </c>
      <c r="H2949">
        <v>0.01</v>
      </c>
      <c r="I2949">
        <v>3.55</v>
      </c>
      <c r="J2949">
        <v>0.16</v>
      </c>
      <c r="K2949" t="s">
        <v>920</v>
      </c>
      <c r="L2949">
        <v>-14.15</v>
      </c>
      <c r="M2949" t="s">
        <v>2650</v>
      </c>
      <c r="N2949">
        <v>0</v>
      </c>
      <c r="O2949" t="s">
        <v>5440</v>
      </c>
      <c r="P2949" t="s">
        <v>12910</v>
      </c>
      <c r="Q2949">
        <v>-71.069999999999993</v>
      </c>
      <c r="R2949" t="s">
        <v>3157</v>
      </c>
      <c r="S2949">
        <v>0.93</v>
      </c>
      <c r="T2949">
        <v>23.47</v>
      </c>
      <c r="U2949" t="s">
        <v>10780</v>
      </c>
      <c r="V2949" t="s">
        <v>732</v>
      </c>
      <c r="W2949" t="s">
        <v>2061</v>
      </c>
      <c r="X2949">
        <v>0.16</v>
      </c>
      <c r="Y2949" t="s">
        <v>1313</v>
      </c>
      <c r="Z2949" t="s">
        <v>1307</v>
      </c>
      <c r="AA2949" t="s">
        <v>759</v>
      </c>
      <c r="AB2949">
        <v>1.48</v>
      </c>
      <c r="AC2949" t="s">
        <v>1625</v>
      </c>
      <c r="AD2949">
        <v>47.98</v>
      </c>
      <c r="AE2949" t="s">
        <v>1033</v>
      </c>
      <c r="AF2949">
        <v>1.41</v>
      </c>
      <c r="AG2949">
        <v>0</v>
      </c>
      <c r="AH2949">
        <v>0</v>
      </c>
      <c r="AI2949" s="4">
        <v>34162</v>
      </c>
    </row>
    <row r="2950" spans="1:35">
      <c r="A2950">
        <v>2949</v>
      </c>
      <c r="B2950" t="str">
        <f>"600343"</f>
        <v>600343</v>
      </c>
      <c r="C2950" t="s">
        <v>12911</v>
      </c>
      <c r="D2950" s="4">
        <v>43190</v>
      </c>
      <c r="E2950" t="s">
        <v>448</v>
      </c>
      <c r="F2950" t="s">
        <v>448</v>
      </c>
      <c r="G2950">
        <v>6742</v>
      </c>
      <c r="H2950">
        <v>0.01</v>
      </c>
      <c r="I2950">
        <v>3.43</v>
      </c>
      <c r="J2950">
        <v>0.16</v>
      </c>
      <c r="K2950" t="s">
        <v>1320</v>
      </c>
      <c r="L2950">
        <v>-11.59</v>
      </c>
      <c r="M2950" t="s">
        <v>9865</v>
      </c>
      <c r="N2950">
        <v>0</v>
      </c>
      <c r="O2950" t="s">
        <v>8444</v>
      </c>
      <c r="P2950" t="s">
        <v>2325</v>
      </c>
      <c r="Q2950">
        <v>-37.01</v>
      </c>
      <c r="R2950" t="s">
        <v>52</v>
      </c>
      <c r="S2950">
        <v>0.53</v>
      </c>
      <c r="T2950">
        <v>15.4</v>
      </c>
      <c r="U2950" t="s">
        <v>2348</v>
      </c>
      <c r="V2950" t="s">
        <v>1515</v>
      </c>
      <c r="W2950" t="s">
        <v>911</v>
      </c>
      <c r="X2950">
        <v>0.16</v>
      </c>
      <c r="Y2950" t="s">
        <v>908</v>
      </c>
      <c r="Z2950" t="s">
        <v>173</v>
      </c>
      <c r="AA2950" t="s">
        <v>12912</v>
      </c>
      <c r="AB2950">
        <v>2.66</v>
      </c>
      <c r="AC2950" t="s">
        <v>2568</v>
      </c>
      <c r="AD2950">
        <v>52.16</v>
      </c>
      <c r="AE2950" t="s">
        <v>613</v>
      </c>
      <c r="AF2950">
        <v>1.82</v>
      </c>
      <c r="AG2950">
        <v>0</v>
      </c>
      <c r="AH2950">
        <v>0</v>
      </c>
      <c r="AI2950" s="4">
        <v>37719</v>
      </c>
    </row>
    <row r="2951" spans="1:35">
      <c r="A2951">
        <v>2950</v>
      </c>
      <c r="B2951" t="str">
        <f>"603616"</f>
        <v>603616</v>
      </c>
      <c r="C2951" t="s">
        <v>12913</v>
      </c>
      <c r="D2951" s="4">
        <v>43190</v>
      </c>
      <c r="E2951" t="s">
        <v>1402</v>
      </c>
      <c r="F2951" t="s">
        <v>1402</v>
      </c>
      <c r="G2951">
        <v>2884</v>
      </c>
      <c r="H2951">
        <v>0.01</v>
      </c>
      <c r="I2951">
        <v>2.65</v>
      </c>
      <c r="J2951">
        <v>0.15</v>
      </c>
      <c r="K2951" t="s">
        <v>11973</v>
      </c>
      <c r="L2951">
        <v>7.58</v>
      </c>
      <c r="M2951" t="s">
        <v>10235</v>
      </c>
      <c r="N2951" t="s">
        <v>12914</v>
      </c>
      <c r="O2951" t="s">
        <v>6768</v>
      </c>
      <c r="P2951" t="s">
        <v>2520</v>
      </c>
      <c r="Q2951">
        <v>158.75</v>
      </c>
      <c r="R2951" t="s">
        <v>1624</v>
      </c>
      <c r="S2951">
        <v>0.67</v>
      </c>
      <c r="T2951">
        <v>18.27</v>
      </c>
      <c r="U2951" t="s">
        <v>79</v>
      </c>
      <c r="V2951" t="s">
        <v>392</v>
      </c>
      <c r="W2951" t="s">
        <v>1359</v>
      </c>
      <c r="X2951">
        <v>0.15</v>
      </c>
      <c r="Y2951" t="s">
        <v>3161</v>
      </c>
      <c r="Z2951" t="s">
        <v>500</v>
      </c>
      <c r="AA2951" t="s">
        <v>454</v>
      </c>
      <c r="AB2951">
        <v>4.29</v>
      </c>
      <c r="AC2951" t="s">
        <v>515</v>
      </c>
      <c r="AD2951">
        <v>44.89</v>
      </c>
      <c r="AE2951" t="s">
        <v>998</v>
      </c>
      <c r="AF2951">
        <v>0.86</v>
      </c>
      <c r="AG2951">
        <v>0</v>
      </c>
      <c r="AH2951">
        <v>0</v>
      </c>
      <c r="AI2951" s="4">
        <v>42166</v>
      </c>
    </row>
    <row r="2952" spans="1:35">
      <c r="A2952">
        <v>2951</v>
      </c>
      <c r="B2952" t="str">
        <f>"603131"</f>
        <v>603131</v>
      </c>
      <c r="C2952" t="s">
        <v>12915</v>
      </c>
      <c r="D2952" s="4">
        <v>43190</v>
      </c>
      <c r="E2952" t="s">
        <v>293</v>
      </c>
      <c r="F2952" t="s">
        <v>2785</v>
      </c>
      <c r="G2952">
        <v>2940</v>
      </c>
      <c r="H2952">
        <v>0</v>
      </c>
      <c r="I2952">
        <v>3.27</v>
      </c>
      <c r="J2952">
        <v>0.15</v>
      </c>
      <c r="K2952" t="s">
        <v>845</v>
      </c>
      <c r="L2952">
        <v>2.67</v>
      </c>
      <c r="M2952" t="s">
        <v>4328</v>
      </c>
      <c r="N2952" t="s">
        <v>4328</v>
      </c>
      <c r="O2952" t="s">
        <v>4837</v>
      </c>
      <c r="P2952" t="s">
        <v>12916</v>
      </c>
      <c r="Q2952">
        <v>-94.68</v>
      </c>
      <c r="R2952" t="s">
        <v>219</v>
      </c>
      <c r="S2952">
        <v>1.23</v>
      </c>
      <c r="T2952">
        <v>21.71</v>
      </c>
      <c r="U2952" t="s">
        <v>4936</v>
      </c>
      <c r="V2952" t="s">
        <v>1276</v>
      </c>
      <c r="W2952" t="s">
        <v>1365</v>
      </c>
      <c r="X2952">
        <v>0.15</v>
      </c>
      <c r="Y2952" t="s">
        <v>118</v>
      </c>
      <c r="Z2952" t="s">
        <v>975</v>
      </c>
      <c r="AA2952" t="s">
        <v>9605</v>
      </c>
      <c r="AB2952">
        <v>4.58</v>
      </c>
      <c r="AC2952" t="s">
        <v>846</v>
      </c>
      <c r="AD2952">
        <v>74.81</v>
      </c>
      <c r="AE2952" t="s">
        <v>1457</v>
      </c>
      <c r="AF2952">
        <v>0.86</v>
      </c>
      <c r="AG2952">
        <v>0</v>
      </c>
      <c r="AH2952">
        <v>0</v>
      </c>
      <c r="AI2952" s="4">
        <v>42528</v>
      </c>
    </row>
    <row r="2953" spans="1:35">
      <c r="A2953">
        <v>2952</v>
      </c>
      <c r="B2953" t="str">
        <f>"600537"</f>
        <v>600537</v>
      </c>
      <c r="C2953" t="s">
        <v>12917</v>
      </c>
      <c r="D2953" s="4">
        <v>43190</v>
      </c>
      <c r="E2953" t="s">
        <v>250</v>
      </c>
      <c r="F2953" t="s">
        <v>250</v>
      </c>
      <c r="G2953" t="s">
        <v>2015</v>
      </c>
      <c r="H2953">
        <v>0</v>
      </c>
      <c r="I2953">
        <v>3.06</v>
      </c>
      <c r="J2953">
        <v>0.15</v>
      </c>
      <c r="K2953" t="s">
        <v>1563</v>
      </c>
      <c r="L2953">
        <v>-43.41</v>
      </c>
      <c r="M2953" t="s">
        <v>12095</v>
      </c>
      <c r="N2953" t="s">
        <v>5558</v>
      </c>
      <c r="O2953" t="s">
        <v>2508</v>
      </c>
      <c r="P2953" t="s">
        <v>10763</v>
      </c>
      <c r="Q2953">
        <v>-43.12</v>
      </c>
      <c r="R2953" t="s">
        <v>602</v>
      </c>
      <c r="S2953">
        <v>0.93</v>
      </c>
      <c r="T2953">
        <v>11.96</v>
      </c>
      <c r="U2953" t="s">
        <v>3316</v>
      </c>
      <c r="V2953" t="s">
        <v>1881</v>
      </c>
      <c r="W2953" t="s">
        <v>238</v>
      </c>
      <c r="X2953">
        <v>0.15</v>
      </c>
      <c r="Y2953" t="s">
        <v>450</v>
      </c>
      <c r="Z2953" t="s">
        <v>1052</v>
      </c>
      <c r="AA2953" t="s">
        <v>147</v>
      </c>
      <c r="AB2953">
        <v>1.03</v>
      </c>
      <c r="AC2953" t="s">
        <v>464</v>
      </c>
      <c r="AD2953">
        <v>56.56</v>
      </c>
      <c r="AE2953" t="s">
        <v>926</v>
      </c>
      <c r="AF2953">
        <v>1.0900000000000001</v>
      </c>
      <c r="AG2953">
        <v>0</v>
      </c>
      <c r="AH2953">
        <v>0</v>
      </c>
      <c r="AI2953" s="4">
        <v>37644</v>
      </c>
    </row>
    <row r="2954" spans="1:35">
      <c r="A2954">
        <v>2953</v>
      </c>
      <c r="B2954" t="str">
        <f>"300301"</f>
        <v>300301</v>
      </c>
      <c r="C2954" t="s">
        <v>12918</v>
      </c>
      <c r="D2954" s="4">
        <v>43190</v>
      </c>
      <c r="E2954" t="s">
        <v>285</v>
      </c>
      <c r="F2954" t="s">
        <v>1309</v>
      </c>
      <c r="G2954" t="s">
        <v>2023</v>
      </c>
      <c r="H2954">
        <v>0</v>
      </c>
      <c r="I2954">
        <v>2.74</v>
      </c>
      <c r="J2954">
        <v>0.15</v>
      </c>
      <c r="K2954" t="s">
        <v>1400</v>
      </c>
      <c r="L2954">
        <v>-17.03</v>
      </c>
      <c r="M2954" t="s">
        <v>2518</v>
      </c>
      <c r="N2954" t="s">
        <v>2469</v>
      </c>
      <c r="O2954" t="s">
        <v>12919</v>
      </c>
      <c r="P2954" t="s">
        <v>6965</v>
      </c>
      <c r="Q2954">
        <v>51.55</v>
      </c>
      <c r="R2954" t="s">
        <v>118</v>
      </c>
      <c r="S2954">
        <v>0.27</v>
      </c>
      <c r="T2954">
        <v>26.94</v>
      </c>
      <c r="U2954" t="s">
        <v>2541</v>
      </c>
      <c r="V2954" t="s">
        <v>983</v>
      </c>
      <c r="W2954" t="s">
        <v>625</v>
      </c>
      <c r="X2954">
        <v>0.15</v>
      </c>
      <c r="Y2954" t="s">
        <v>300</v>
      </c>
      <c r="Z2954" t="s">
        <v>625</v>
      </c>
      <c r="AA2954" t="s">
        <v>6847</v>
      </c>
      <c r="AB2954">
        <v>1.64</v>
      </c>
      <c r="AC2954" t="s">
        <v>2753</v>
      </c>
      <c r="AD2954">
        <v>58.08</v>
      </c>
      <c r="AE2954" t="s">
        <v>354</v>
      </c>
      <c r="AF2954">
        <v>1.44</v>
      </c>
      <c r="AG2954">
        <v>0</v>
      </c>
      <c r="AH2954">
        <v>0</v>
      </c>
      <c r="AI2954" s="4">
        <v>40989</v>
      </c>
    </row>
    <row r="2955" spans="1:35">
      <c r="A2955">
        <v>2954</v>
      </c>
      <c r="B2955" t="str">
        <f>"300141"</f>
        <v>300141</v>
      </c>
      <c r="C2955" t="s">
        <v>12920</v>
      </c>
      <c r="D2955" s="4">
        <v>43190</v>
      </c>
      <c r="E2955" t="s">
        <v>258</v>
      </c>
      <c r="F2955" t="s">
        <v>552</v>
      </c>
      <c r="G2955">
        <v>7315</v>
      </c>
      <c r="H2955">
        <v>0.02</v>
      </c>
      <c r="I2955">
        <v>2.73</v>
      </c>
      <c r="J2955">
        <v>0.15</v>
      </c>
      <c r="K2955" t="s">
        <v>1370</v>
      </c>
      <c r="L2955">
        <v>11.46</v>
      </c>
      <c r="M2955" t="s">
        <v>12921</v>
      </c>
      <c r="N2955" t="s">
        <v>6402</v>
      </c>
      <c r="O2955" t="s">
        <v>6729</v>
      </c>
      <c r="P2955" t="s">
        <v>8444</v>
      </c>
      <c r="Q2955">
        <v>2.94</v>
      </c>
      <c r="R2955" t="s">
        <v>415</v>
      </c>
      <c r="S2955">
        <v>0.8</v>
      </c>
      <c r="T2955">
        <v>23.43</v>
      </c>
      <c r="U2955" t="s">
        <v>982</v>
      </c>
      <c r="V2955" t="s">
        <v>699</v>
      </c>
      <c r="W2955" t="s">
        <v>12922</v>
      </c>
      <c r="X2955">
        <v>0.15</v>
      </c>
      <c r="Y2955" t="s">
        <v>2563</v>
      </c>
      <c r="Z2955" t="s">
        <v>104</v>
      </c>
      <c r="AA2955" t="s">
        <v>12923</v>
      </c>
      <c r="AB2955">
        <v>2.88</v>
      </c>
      <c r="AC2955" t="s">
        <v>489</v>
      </c>
      <c r="AD2955">
        <v>57.49</v>
      </c>
      <c r="AE2955" t="s">
        <v>916</v>
      </c>
      <c r="AF2955">
        <v>0.93</v>
      </c>
      <c r="AG2955">
        <v>0</v>
      </c>
      <c r="AH2955">
        <v>0</v>
      </c>
      <c r="AI2955" s="4">
        <v>40494</v>
      </c>
    </row>
    <row r="2956" spans="1:35">
      <c r="A2956">
        <v>2955</v>
      </c>
      <c r="B2956" t="str">
        <f>"002922"</f>
        <v>002922</v>
      </c>
      <c r="C2956" t="s">
        <v>12924</v>
      </c>
      <c r="D2956" s="4">
        <v>43190</v>
      </c>
      <c r="E2956" t="s">
        <v>2306</v>
      </c>
      <c r="F2956" t="s">
        <v>7354</v>
      </c>
      <c r="G2956">
        <v>1329</v>
      </c>
      <c r="H2956">
        <v>0.01</v>
      </c>
      <c r="I2956">
        <v>6.46</v>
      </c>
      <c r="J2956">
        <v>0.15</v>
      </c>
      <c r="K2956" t="s">
        <v>844</v>
      </c>
      <c r="L2956">
        <v>-15.98</v>
      </c>
      <c r="M2956" t="s">
        <v>7326</v>
      </c>
      <c r="N2956" t="s">
        <v>2748</v>
      </c>
      <c r="O2956" t="s">
        <v>2594</v>
      </c>
      <c r="P2956" t="s">
        <v>5049</v>
      </c>
      <c r="Q2956">
        <v>-92.4</v>
      </c>
      <c r="R2956" t="s">
        <v>1288</v>
      </c>
      <c r="S2956">
        <v>1.17</v>
      </c>
      <c r="T2956">
        <v>24.06</v>
      </c>
      <c r="U2956" t="s">
        <v>625</v>
      </c>
      <c r="V2956" t="s">
        <v>1649</v>
      </c>
      <c r="W2956" t="s">
        <v>90</v>
      </c>
      <c r="X2956">
        <v>0.15</v>
      </c>
      <c r="Y2956" t="s">
        <v>144</v>
      </c>
      <c r="Z2956" t="s">
        <v>121</v>
      </c>
      <c r="AA2956" t="s">
        <v>11010</v>
      </c>
      <c r="AB2956">
        <v>3.35</v>
      </c>
      <c r="AC2956" t="s">
        <v>4384</v>
      </c>
      <c r="AD2956">
        <v>73.03</v>
      </c>
      <c r="AE2956" t="s">
        <v>616</v>
      </c>
      <c r="AF2956">
        <v>3.67</v>
      </c>
      <c r="AG2956">
        <v>0</v>
      </c>
      <c r="AH2956">
        <v>0</v>
      </c>
      <c r="AI2956" s="4">
        <v>43098</v>
      </c>
    </row>
    <row r="2957" spans="1:35">
      <c r="A2957">
        <v>2956</v>
      </c>
      <c r="B2957" t="str">
        <f>"002671"</f>
        <v>002671</v>
      </c>
      <c r="C2957" t="s">
        <v>12925</v>
      </c>
      <c r="D2957" s="4">
        <v>43190</v>
      </c>
      <c r="E2957" t="s">
        <v>1695</v>
      </c>
      <c r="F2957" t="s">
        <v>499</v>
      </c>
      <c r="G2957" t="s">
        <v>4747</v>
      </c>
      <c r="H2957">
        <v>0.01</v>
      </c>
      <c r="I2957">
        <v>4.46</v>
      </c>
      <c r="J2957">
        <v>0.15</v>
      </c>
      <c r="K2957" t="s">
        <v>698</v>
      </c>
      <c r="L2957">
        <v>183.27</v>
      </c>
      <c r="M2957" t="s">
        <v>6687</v>
      </c>
      <c r="N2957">
        <v>0</v>
      </c>
      <c r="O2957" t="s">
        <v>1696</v>
      </c>
      <c r="P2957" t="s">
        <v>11163</v>
      </c>
      <c r="Q2957">
        <v>112.29</v>
      </c>
      <c r="R2957" t="s">
        <v>2665</v>
      </c>
      <c r="S2957">
        <v>0.8</v>
      </c>
      <c r="T2957">
        <v>37.69</v>
      </c>
      <c r="U2957" t="s">
        <v>1174</v>
      </c>
      <c r="V2957" t="s">
        <v>754</v>
      </c>
      <c r="W2957" t="s">
        <v>407</v>
      </c>
      <c r="X2957">
        <v>0.15</v>
      </c>
      <c r="Y2957" t="s">
        <v>624</v>
      </c>
      <c r="Z2957" t="s">
        <v>625</v>
      </c>
      <c r="AA2957" t="s">
        <v>748</v>
      </c>
      <c r="AB2957">
        <v>0.94</v>
      </c>
      <c r="AC2957" t="s">
        <v>576</v>
      </c>
      <c r="AD2957">
        <v>60.27</v>
      </c>
      <c r="AE2957" t="s">
        <v>250</v>
      </c>
      <c r="AF2957">
        <v>2.4900000000000002</v>
      </c>
      <c r="AG2957">
        <v>0</v>
      </c>
      <c r="AH2957">
        <v>0</v>
      </c>
      <c r="AI2957" s="4">
        <v>41025</v>
      </c>
    </row>
    <row r="2958" spans="1:35">
      <c r="A2958">
        <v>2957</v>
      </c>
      <c r="B2958" t="str">
        <f>"002621"</f>
        <v>002621</v>
      </c>
      <c r="C2958" t="s">
        <v>12926</v>
      </c>
      <c r="D2958" s="4">
        <v>43190</v>
      </c>
      <c r="E2958" t="s">
        <v>499</v>
      </c>
      <c r="F2958" t="s">
        <v>258</v>
      </c>
      <c r="G2958" t="s">
        <v>6568</v>
      </c>
      <c r="H2958">
        <v>0.01</v>
      </c>
      <c r="I2958">
        <v>3.4</v>
      </c>
      <c r="J2958">
        <v>0.15</v>
      </c>
      <c r="K2958" t="s">
        <v>2972</v>
      </c>
      <c r="L2958">
        <v>145.07</v>
      </c>
      <c r="M2958" t="s">
        <v>6021</v>
      </c>
      <c r="N2958" t="s">
        <v>3003</v>
      </c>
      <c r="O2958" t="s">
        <v>9735</v>
      </c>
      <c r="P2958" t="s">
        <v>2932</v>
      </c>
      <c r="Q2958">
        <v>-59.91</v>
      </c>
      <c r="R2958" t="s">
        <v>2268</v>
      </c>
      <c r="S2958">
        <v>1.0900000000000001</v>
      </c>
      <c r="T2958">
        <v>27.06</v>
      </c>
      <c r="U2958" t="s">
        <v>1307</v>
      </c>
      <c r="V2958" t="s">
        <v>3546</v>
      </c>
      <c r="W2958" t="s">
        <v>12927</v>
      </c>
      <c r="X2958">
        <v>0.15</v>
      </c>
      <c r="Y2958" t="s">
        <v>321</v>
      </c>
      <c r="Z2958" t="s">
        <v>1203</v>
      </c>
      <c r="AA2958" t="s">
        <v>4127</v>
      </c>
      <c r="AB2958">
        <v>5.73</v>
      </c>
      <c r="AC2958" t="s">
        <v>973</v>
      </c>
      <c r="AD2958">
        <v>87.19</v>
      </c>
      <c r="AE2958" t="s">
        <v>2468</v>
      </c>
      <c r="AF2958">
        <v>1.17</v>
      </c>
      <c r="AG2958">
        <v>0</v>
      </c>
      <c r="AH2958">
        <v>0</v>
      </c>
      <c r="AI2958" s="4">
        <v>40815</v>
      </c>
    </row>
    <row r="2959" spans="1:35">
      <c r="A2959">
        <v>2958</v>
      </c>
      <c r="B2959" t="str">
        <f>"002197"</f>
        <v>002197</v>
      </c>
      <c r="C2959" t="s">
        <v>12928</v>
      </c>
      <c r="D2959" s="4">
        <v>43190</v>
      </c>
      <c r="E2959" t="s">
        <v>944</v>
      </c>
      <c r="F2959" t="s">
        <v>1476</v>
      </c>
      <c r="G2959">
        <v>8541</v>
      </c>
      <c r="H2959">
        <v>0.01</v>
      </c>
      <c r="I2959">
        <v>5.38</v>
      </c>
      <c r="J2959">
        <v>0.15</v>
      </c>
      <c r="K2959" t="s">
        <v>1184</v>
      </c>
      <c r="L2959">
        <v>-22.31</v>
      </c>
      <c r="M2959" t="s">
        <v>12929</v>
      </c>
      <c r="N2959" t="s">
        <v>12930</v>
      </c>
      <c r="O2959" t="s">
        <v>6382</v>
      </c>
      <c r="P2959" t="s">
        <v>1864</v>
      </c>
      <c r="Q2959">
        <v>-17.68</v>
      </c>
      <c r="R2959" t="s">
        <v>3119</v>
      </c>
      <c r="S2959">
        <v>0.8</v>
      </c>
      <c r="T2959">
        <v>31.56</v>
      </c>
      <c r="U2959" t="s">
        <v>2419</v>
      </c>
      <c r="V2959" t="s">
        <v>733</v>
      </c>
      <c r="W2959" t="s">
        <v>2035</v>
      </c>
      <c r="X2959">
        <v>0.15</v>
      </c>
      <c r="Y2959" t="s">
        <v>685</v>
      </c>
      <c r="Z2959" t="s">
        <v>449</v>
      </c>
      <c r="AA2959" t="s">
        <v>2853</v>
      </c>
      <c r="AB2959">
        <v>1.49</v>
      </c>
      <c r="AC2959" t="s">
        <v>450</v>
      </c>
      <c r="AD2959">
        <v>48.97</v>
      </c>
      <c r="AE2959" t="s">
        <v>1455</v>
      </c>
      <c r="AF2959">
        <v>3.5</v>
      </c>
      <c r="AG2959">
        <v>0</v>
      </c>
      <c r="AH2959">
        <v>0</v>
      </c>
      <c r="AI2959" s="4">
        <v>39434</v>
      </c>
    </row>
    <row r="2960" spans="1:35">
      <c r="A2960">
        <v>2959</v>
      </c>
      <c r="B2960" t="str">
        <f>"002013"</f>
        <v>002013</v>
      </c>
      <c r="C2960" t="s">
        <v>12931</v>
      </c>
      <c r="D2960" s="4">
        <v>43190</v>
      </c>
      <c r="E2960" t="s">
        <v>940</v>
      </c>
      <c r="F2960" t="s">
        <v>1380</v>
      </c>
      <c r="G2960" t="s">
        <v>6136</v>
      </c>
      <c r="H2960">
        <v>0</v>
      </c>
      <c r="I2960">
        <v>2.35</v>
      </c>
      <c r="J2960">
        <v>0.15</v>
      </c>
      <c r="K2960" t="s">
        <v>275</v>
      </c>
      <c r="L2960">
        <v>18.86</v>
      </c>
      <c r="M2960" t="s">
        <v>6505</v>
      </c>
      <c r="N2960" t="s">
        <v>3143</v>
      </c>
      <c r="O2960" t="s">
        <v>1437</v>
      </c>
      <c r="P2960" t="s">
        <v>4519</v>
      </c>
      <c r="Q2960">
        <v>137.61000000000001</v>
      </c>
      <c r="R2960" t="s">
        <v>2499</v>
      </c>
      <c r="S2960">
        <v>0.78</v>
      </c>
      <c r="T2960">
        <v>19.63</v>
      </c>
      <c r="U2960" t="s">
        <v>2799</v>
      </c>
      <c r="V2960" t="s">
        <v>794</v>
      </c>
      <c r="W2960" t="s">
        <v>2667</v>
      </c>
      <c r="X2960">
        <v>0.15</v>
      </c>
      <c r="Y2960" t="s">
        <v>466</v>
      </c>
      <c r="Z2960" t="s">
        <v>7731</v>
      </c>
      <c r="AA2960" t="s">
        <v>418</v>
      </c>
      <c r="AB2960">
        <v>3.05</v>
      </c>
      <c r="AC2960" t="s">
        <v>12932</v>
      </c>
      <c r="AD2960">
        <v>38.99</v>
      </c>
      <c r="AE2960" t="s">
        <v>1943</v>
      </c>
      <c r="AF2960">
        <v>0.37</v>
      </c>
      <c r="AG2960">
        <v>0</v>
      </c>
      <c r="AH2960">
        <v>0</v>
      </c>
      <c r="AI2960" s="4">
        <v>38173</v>
      </c>
    </row>
    <row r="2961" spans="1:35">
      <c r="A2961">
        <v>2960</v>
      </c>
      <c r="B2961" t="str">
        <f>"000837"</f>
        <v>000837</v>
      </c>
      <c r="C2961" t="s">
        <v>12933</v>
      </c>
      <c r="D2961" s="4">
        <v>43190</v>
      </c>
      <c r="E2961" t="s">
        <v>3894</v>
      </c>
      <c r="F2961" t="s">
        <v>2739</v>
      </c>
      <c r="G2961">
        <v>8387</v>
      </c>
      <c r="H2961">
        <v>0.01</v>
      </c>
      <c r="I2961">
        <v>4.08</v>
      </c>
      <c r="J2961">
        <v>0.15</v>
      </c>
      <c r="K2961" t="s">
        <v>2454</v>
      </c>
      <c r="L2961">
        <v>-3.85</v>
      </c>
      <c r="M2961" t="s">
        <v>7114</v>
      </c>
      <c r="N2961" t="s">
        <v>10035</v>
      </c>
      <c r="O2961" t="s">
        <v>11595</v>
      </c>
      <c r="P2961" t="s">
        <v>5927</v>
      </c>
      <c r="Q2961">
        <v>-12.83</v>
      </c>
      <c r="R2961" t="s">
        <v>6809</v>
      </c>
      <c r="S2961">
        <v>0.84</v>
      </c>
      <c r="T2961">
        <v>19.29</v>
      </c>
      <c r="U2961" t="s">
        <v>1132</v>
      </c>
      <c r="V2961" t="s">
        <v>1674</v>
      </c>
      <c r="W2961" t="s">
        <v>1752</v>
      </c>
      <c r="X2961">
        <v>0.15</v>
      </c>
      <c r="Y2961" t="s">
        <v>2691</v>
      </c>
      <c r="Z2961" t="s">
        <v>1581</v>
      </c>
      <c r="AA2961" t="s">
        <v>50</v>
      </c>
      <c r="AB2961">
        <v>1.1399999999999999</v>
      </c>
      <c r="AC2961" t="s">
        <v>356</v>
      </c>
      <c r="AD2961">
        <v>30.89</v>
      </c>
      <c r="AE2961" t="s">
        <v>263</v>
      </c>
      <c r="AF2961">
        <v>2.1</v>
      </c>
      <c r="AG2961">
        <v>0</v>
      </c>
      <c r="AH2961">
        <v>0</v>
      </c>
      <c r="AI2961" s="4">
        <v>36066</v>
      </c>
    </row>
    <row r="2962" spans="1:35">
      <c r="A2962">
        <v>2961</v>
      </c>
      <c r="B2962" t="str">
        <f>"000576"</f>
        <v>000576</v>
      </c>
      <c r="C2962" t="s">
        <v>12934</v>
      </c>
      <c r="D2962" s="4">
        <v>43190</v>
      </c>
      <c r="E2962" t="s">
        <v>1563</v>
      </c>
      <c r="F2962" t="s">
        <v>1209</v>
      </c>
      <c r="G2962" t="s">
        <v>11778</v>
      </c>
      <c r="H2962">
        <v>0</v>
      </c>
      <c r="I2962">
        <v>2.2999999999999998</v>
      </c>
      <c r="J2962">
        <v>0.15</v>
      </c>
      <c r="K2962" t="s">
        <v>195</v>
      </c>
      <c r="L2962">
        <v>13.58</v>
      </c>
      <c r="M2962" t="s">
        <v>6934</v>
      </c>
      <c r="N2962" t="s">
        <v>7291</v>
      </c>
      <c r="O2962" t="s">
        <v>3524</v>
      </c>
      <c r="P2962" t="s">
        <v>4977</v>
      </c>
      <c r="Q2962">
        <v>110.8</v>
      </c>
      <c r="R2962" t="s">
        <v>12935</v>
      </c>
      <c r="S2962">
        <v>-0.72</v>
      </c>
      <c r="T2962">
        <v>2.19</v>
      </c>
      <c r="U2962" t="s">
        <v>699</v>
      </c>
      <c r="V2962" t="s">
        <v>1651</v>
      </c>
      <c r="W2962" t="s">
        <v>12606</v>
      </c>
      <c r="X2962">
        <v>0.15</v>
      </c>
      <c r="Y2962" t="s">
        <v>12936</v>
      </c>
      <c r="Z2962" t="s">
        <v>12937</v>
      </c>
      <c r="AA2962" t="s">
        <v>12938</v>
      </c>
      <c r="AB2962">
        <v>7.71</v>
      </c>
      <c r="AC2962" t="s">
        <v>1496</v>
      </c>
      <c r="AD2962">
        <v>94.78</v>
      </c>
      <c r="AE2962" t="s">
        <v>1462</v>
      </c>
      <c r="AF2962">
        <v>1.9</v>
      </c>
      <c r="AG2962">
        <v>0</v>
      </c>
      <c r="AH2962">
        <v>0</v>
      </c>
      <c r="AI2962" s="4">
        <v>34584</v>
      </c>
    </row>
    <row r="2963" spans="1:35">
      <c r="A2963">
        <v>2962</v>
      </c>
      <c r="B2963" t="str">
        <f>"000008"</f>
        <v>000008</v>
      </c>
      <c r="C2963" t="s">
        <v>12939</v>
      </c>
      <c r="D2963" s="4">
        <v>43190</v>
      </c>
      <c r="E2963" t="s">
        <v>1881</v>
      </c>
      <c r="F2963" t="s">
        <v>2542</v>
      </c>
      <c r="G2963" t="s">
        <v>1247</v>
      </c>
      <c r="H2963">
        <v>0</v>
      </c>
      <c r="I2963">
        <v>2.48</v>
      </c>
      <c r="J2963">
        <v>0.15</v>
      </c>
      <c r="K2963" t="s">
        <v>193</v>
      </c>
      <c r="L2963">
        <v>3.24</v>
      </c>
      <c r="M2963" t="s">
        <v>5224</v>
      </c>
      <c r="N2963" t="s">
        <v>6244</v>
      </c>
      <c r="O2963" t="s">
        <v>11135</v>
      </c>
      <c r="P2963" t="s">
        <v>10039</v>
      </c>
      <c r="Q2963">
        <v>12.66</v>
      </c>
      <c r="R2963" t="s">
        <v>547</v>
      </c>
      <c r="S2963">
        <v>0.49</v>
      </c>
      <c r="T2963">
        <v>57.79</v>
      </c>
      <c r="U2963" t="s">
        <v>11324</v>
      </c>
      <c r="V2963" t="s">
        <v>1177</v>
      </c>
      <c r="W2963" t="s">
        <v>94</v>
      </c>
      <c r="X2963">
        <v>0.15</v>
      </c>
      <c r="Y2963" t="s">
        <v>1675</v>
      </c>
      <c r="Z2963" t="s">
        <v>1308</v>
      </c>
      <c r="AA2963" t="s">
        <v>10575</v>
      </c>
      <c r="AB2963">
        <v>2</v>
      </c>
      <c r="AC2963" t="s">
        <v>4513</v>
      </c>
      <c r="AD2963">
        <v>71.760000000000005</v>
      </c>
      <c r="AE2963" t="s">
        <v>589</v>
      </c>
      <c r="AF2963">
        <v>1.03</v>
      </c>
      <c r="AG2963">
        <v>0</v>
      </c>
      <c r="AH2963">
        <v>0</v>
      </c>
      <c r="AI2963" s="4">
        <v>33731</v>
      </c>
    </row>
    <row r="2964" spans="1:35">
      <c r="A2964">
        <v>2963</v>
      </c>
      <c r="B2964" t="str">
        <f>"603586"</f>
        <v>603586</v>
      </c>
      <c r="C2964" t="s">
        <v>12940</v>
      </c>
      <c r="D2964" s="4">
        <v>43190</v>
      </c>
      <c r="E2964" t="s">
        <v>1287</v>
      </c>
      <c r="F2964" t="s">
        <v>2307</v>
      </c>
      <c r="G2964">
        <v>2104</v>
      </c>
      <c r="H2964">
        <v>0.01</v>
      </c>
      <c r="I2964">
        <v>9.7799999999999994</v>
      </c>
      <c r="J2964">
        <v>0.14000000000000001</v>
      </c>
      <c r="K2964" t="s">
        <v>1320</v>
      </c>
      <c r="L2964">
        <v>-8.35</v>
      </c>
      <c r="M2964" t="s">
        <v>1902</v>
      </c>
      <c r="N2964" t="s">
        <v>12941</v>
      </c>
      <c r="O2964" t="s">
        <v>2960</v>
      </c>
      <c r="P2964" t="s">
        <v>1746</v>
      </c>
      <c r="Q2964">
        <v>-93.51</v>
      </c>
      <c r="R2964" t="s">
        <v>1216</v>
      </c>
      <c r="S2964">
        <v>2.41</v>
      </c>
      <c r="T2964">
        <v>23.6</v>
      </c>
      <c r="U2964" t="s">
        <v>371</v>
      </c>
      <c r="V2964" t="s">
        <v>419</v>
      </c>
      <c r="W2964" t="s">
        <v>5080</v>
      </c>
      <c r="X2964">
        <v>0.14000000000000001</v>
      </c>
      <c r="Y2964" t="s">
        <v>491</v>
      </c>
      <c r="Z2964" t="s">
        <v>2792</v>
      </c>
      <c r="AA2964" t="s">
        <v>148</v>
      </c>
      <c r="AB2964">
        <v>1.54</v>
      </c>
      <c r="AC2964" t="s">
        <v>2568</v>
      </c>
      <c r="AD2964">
        <v>76.3</v>
      </c>
      <c r="AE2964" t="s">
        <v>840</v>
      </c>
      <c r="AF2964">
        <v>6.07</v>
      </c>
      <c r="AG2964">
        <v>0</v>
      </c>
      <c r="AH2964">
        <v>0</v>
      </c>
      <c r="AI2964" s="4">
        <v>42831</v>
      </c>
    </row>
    <row r="2965" spans="1:35">
      <c r="A2965">
        <v>2964</v>
      </c>
      <c r="B2965" t="str">
        <f>"600505"</f>
        <v>600505</v>
      </c>
      <c r="C2965" t="s">
        <v>12942</v>
      </c>
      <c r="D2965" s="4">
        <v>43190</v>
      </c>
      <c r="E2965" t="s">
        <v>340</v>
      </c>
      <c r="F2965" t="s">
        <v>340</v>
      </c>
      <c r="G2965" t="s">
        <v>2229</v>
      </c>
      <c r="H2965">
        <v>0</v>
      </c>
      <c r="I2965">
        <v>2.92</v>
      </c>
      <c r="J2965">
        <v>0.14000000000000001</v>
      </c>
      <c r="K2965" t="s">
        <v>66</v>
      </c>
      <c r="L2965">
        <v>-0.25</v>
      </c>
      <c r="M2965" t="s">
        <v>8083</v>
      </c>
      <c r="N2965">
        <v>0</v>
      </c>
      <c r="O2965" t="s">
        <v>8020</v>
      </c>
      <c r="P2965" t="s">
        <v>6934</v>
      </c>
      <c r="Q2965">
        <v>-85.43</v>
      </c>
      <c r="R2965" t="s">
        <v>999</v>
      </c>
      <c r="S2965">
        <v>1.37</v>
      </c>
      <c r="T2965">
        <v>18.760000000000002</v>
      </c>
      <c r="U2965" t="s">
        <v>1294</v>
      </c>
      <c r="V2965" t="s">
        <v>89</v>
      </c>
      <c r="W2965" t="s">
        <v>833</v>
      </c>
      <c r="X2965">
        <v>0.14000000000000001</v>
      </c>
      <c r="Y2965" t="s">
        <v>982</v>
      </c>
      <c r="Z2965" t="s">
        <v>3603</v>
      </c>
      <c r="AA2965" t="s">
        <v>1935</v>
      </c>
      <c r="AB2965">
        <v>1.55</v>
      </c>
      <c r="AC2965" t="s">
        <v>521</v>
      </c>
      <c r="AD2965">
        <v>42.76</v>
      </c>
      <c r="AE2965" t="s">
        <v>12943</v>
      </c>
      <c r="AF2965">
        <v>0.21</v>
      </c>
      <c r="AG2965">
        <v>0</v>
      </c>
      <c r="AH2965">
        <v>0</v>
      </c>
      <c r="AI2965" s="4">
        <v>37406</v>
      </c>
    </row>
    <row r="2966" spans="1:35">
      <c r="A2966">
        <v>2965</v>
      </c>
      <c r="B2966" t="str">
        <f>"600222"</f>
        <v>600222</v>
      </c>
      <c r="C2966" t="s">
        <v>12944</v>
      </c>
      <c r="D2966" s="4">
        <v>43190</v>
      </c>
      <c r="E2966" t="s">
        <v>541</v>
      </c>
      <c r="F2966" t="s">
        <v>3420</v>
      </c>
      <c r="G2966" t="s">
        <v>2305</v>
      </c>
      <c r="H2966">
        <v>0</v>
      </c>
      <c r="I2966">
        <v>2.59</v>
      </c>
      <c r="J2966">
        <v>0.14000000000000001</v>
      </c>
      <c r="K2966" t="s">
        <v>121</v>
      </c>
      <c r="L2966">
        <v>32.53</v>
      </c>
      <c r="M2966" t="s">
        <v>6502</v>
      </c>
      <c r="N2966" t="s">
        <v>12945</v>
      </c>
      <c r="O2966" t="s">
        <v>4677</v>
      </c>
      <c r="P2966" t="s">
        <v>5044</v>
      </c>
      <c r="Q2966">
        <v>29.87</v>
      </c>
      <c r="R2966" t="s">
        <v>1364</v>
      </c>
      <c r="S2966">
        <v>0.36</v>
      </c>
      <c r="T2966">
        <v>28.82</v>
      </c>
      <c r="U2966" t="s">
        <v>356</v>
      </c>
      <c r="V2966" t="s">
        <v>847</v>
      </c>
      <c r="W2966" t="s">
        <v>607</v>
      </c>
      <c r="X2966">
        <v>0.14000000000000001</v>
      </c>
      <c r="Y2966" t="s">
        <v>1307</v>
      </c>
      <c r="Z2966" t="s">
        <v>2149</v>
      </c>
      <c r="AA2966" t="s">
        <v>2851</v>
      </c>
      <c r="AB2966">
        <v>1.63</v>
      </c>
      <c r="AC2966" t="s">
        <v>759</v>
      </c>
      <c r="AD2966">
        <v>52.66</v>
      </c>
      <c r="AE2966" t="s">
        <v>1518</v>
      </c>
      <c r="AF2966">
        <v>1.1399999999999999</v>
      </c>
      <c r="AG2966">
        <v>0</v>
      </c>
      <c r="AH2966">
        <v>0</v>
      </c>
      <c r="AI2966" s="4">
        <v>36469</v>
      </c>
    </row>
    <row r="2967" spans="1:35">
      <c r="A2967">
        <v>2966</v>
      </c>
      <c r="B2967" t="str">
        <f>"600184"</f>
        <v>600184</v>
      </c>
      <c r="C2967" t="s">
        <v>12946</v>
      </c>
      <c r="D2967" s="4">
        <v>43190</v>
      </c>
      <c r="E2967" t="s">
        <v>44</v>
      </c>
      <c r="F2967" t="s">
        <v>2581</v>
      </c>
      <c r="G2967" t="s">
        <v>7516</v>
      </c>
      <c r="H2967">
        <v>0.01</v>
      </c>
      <c r="I2967">
        <v>4.49</v>
      </c>
      <c r="J2967">
        <v>0.14000000000000001</v>
      </c>
      <c r="K2967" t="s">
        <v>318</v>
      </c>
      <c r="L2967">
        <v>142.66999999999999</v>
      </c>
      <c r="M2967" t="s">
        <v>6965</v>
      </c>
      <c r="N2967" t="s">
        <v>9356</v>
      </c>
      <c r="O2967" t="s">
        <v>6965</v>
      </c>
      <c r="P2967" t="s">
        <v>11127</v>
      </c>
      <c r="Q2967">
        <v>229.67</v>
      </c>
      <c r="R2967" t="s">
        <v>160</v>
      </c>
      <c r="S2967">
        <v>0.72</v>
      </c>
      <c r="T2967">
        <v>7.36</v>
      </c>
      <c r="U2967" t="s">
        <v>948</v>
      </c>
      <c r="V2967" t="s">
        <v>1386</v>
      </c>
      <c r="W2967" t="s">
        <v>3238</v>
      </c>
      <c r="X2967">
        <v>0.14000000000000001</v>
      </c>
      <c r="Y2967" t="s">
        <v>983</v>
      </c>
      <c r="Z2967" t="s">
        <v>848</v>
      </c>
      <c r="AA2967" t="s">
        <v>5332</v>
      </c>
      <c r="AB2967">
        <v>2.73</v>
      </c>
      <c r="AC2967" t="s">
        <v>2291</v>
      </c>
      <c r="AD2967">
        <v>58.84</v>
      </c>
      <c r="AE2967" t="s">
        <v>350</v>
      </c>
      <c r="AF2967">
        <v>2.66</v>
      </c>
      <c r="AG2967">
        <v>0</v>
      </c>
      <c r="AH2967">
        <v>0</v>
      </c>
      <c r="AI2967" s="4">
        <v>37931</v>
      </c>
    </row>
    <row r="2968" spans="1:35">
      <c r="A2968">
        <v>2967</v>
      </c>
      <c r="B2968" t="str">
        <f>"600078"</f>
        <v>600078</v>
      </c>
      <c r="C2968" t="s">
        <v>12947</v>
      </c>
      <c r="D2968" s="4">
        <v>43190</v>
      </c>
      <c r="E2968" t="s">
        <v>1898</v>
      </c>
      <c r="F2968" t="s">
        <v>1898</v>
      </c>
      <c r="G2968" t="s">
        <v>268</v>
      </c>
      <c r="H2968">
        <v>0</v>
      </c>
      <c r="I2968">
        <v>2.81</v>
      </c>
      <c r="J2968">
        <v>0.14000000000000001</v>
      </c>
      <c r="K2968" t="s">
        <v>1523</v>
      </c>
      <c r="L2968">
        <v>-10.25</v>
      </c>
      <c r="M2968" t="s">
        <v>6831</v>
      </c>
      <c r="N2968">
        <v>0</v>
      </c>
      <c r="O2968" t="s">
        <v>7133</v>
      </c>
      <c r="P2968" t="s">
        <v>3133</v>
      </c>
      <c r="Q2968">
        <v>-76.72</v>
      </c>
      <c r="R2968" t="s">
        <v>675</v>
      </c>
      <c r="S2968">
        <v>0.98</v>
      </c>
      <c r="T2968">
        <v>17.170000000000002</v>
      </c>
      <c r="U2968" t="s">
        <v>2631</v>
      </c>
      <c r="V2968" t="s">
        <v>113</v>
      </c>
      <c r="W2968" t="s">
        <v>1213</v>
      </c>
      <c r="X2968">
        <v>0.14000000000000001</v>
      </c>
      <c r="Y2968" t="s">
        <v>5850</v>
      </c>
      <c r="Z2968" t="s">
        <v>1583</v>
      </c>
      <c r="AA2968" t="s">
        <v>521</v>
      </c>
      <c r="AB2968">
        <v>1.21</v>
      </c>
      <c r="AC2968" t="s">
        <v>187</v>
      </c>
      <c r="AD2968">
        <v>25.57</v>
      </c>
      <c r="AE2968" t="s">
        <v>69</v>
      </c>
      <c r="AF2968">
        <v>0.59</v>
      </c>
      <c r="AG2968">
        <v>0</v>
      </c>
      <c r="AH2968">
        <v>0</v>
      </c>
      <c r="AI2968" s="4">
        <v>35608</v>
      </c>
    </row>
    <row r="2969" spans="1:35">
      <c r="A2969">
        <v>2968</v>
      </c>
      <c r="B2969" t="str">
        <f>"002691"</f>
        <v>002691</v>
      </c>
      <c r="C2969" t="s">
        <v>12948</v>
      </c>
      <c r="D2969" s="4">
        <v>43190</v>
      </c>
      <c r="E2969" t="s">
        <v>344</v>
      </c>
      <c r="F2969" t="s">
        <v>1578</v>
      </c>
      <c r="G2969" t="s">
        <v>4156</v>
      </c>
      <c r="H2969">
        <v>0</v>
      </c>
      <c r="I2969">
        <v>2.5299999999999998</v>
      </c>
      <c r="J2969">
        <v>0.14000000000000001</v>
      </c>
      <c r="K2969" t="s">
        <v>12949</v>
      </c>
      <c r="L2969">
        <v>138.69</v>
      </c>
      <c r="M2969" t="s">
        <v>1441</v>
      </c>
      <c r="N2969">
        <v>1861</v>
      </c>
      <c r="O2969" t="s">
        <v>2906</v>
      </c>
      <c r="P2969" t="s">
        <v>854</v>
      </c>
      <c r="Q2969">
        <v>39.11</v>
      </c>
      <c r="R2969" t="s">
        <v>608</v>
      </c>
      <c r="S2969">
        <v>0.56000000000000005</v>
      </c>
      <c r="T2969">
        <v>31.22</v>
      </c>
      <c r="U2969" t="s">
        <v>3651</v>
      </c>
      <c r="V2969" t="s">
        <v>1493</v>
      </c>
      <c r="W2969" t="s">
        <v>2123</v>
      </c>
      <c r="X2969">
        <v>0.14000000000000001</v>
      </c>
      <c r="Y2969" t="s">
        <v>1475</v>
      </c>
      <c r="Z2969" t="s">
        <v>12950</v>
      </c>
      <c r="AA2969" t="s">
        <v>11391</v>
      </c>
      <c r="AB2969">
        <v>3.86</v>
      </c>
      <c r="AC2969" t="s">
        <v>102</v>
      </c>
      <c r="AD2969">
        <v>89.06</v>
      </c>
      <c r="AE2969" t="s">
        <v>540</v>
      </c>
      <c r="AF2969">
        <v>0.89</v>
      </c>
      <c r="AG2969">
        <v>0</v>
      </c>
      <c r="AH2969">
        <v>0</v>
      </c>
      <c r="AI2969" s="4">
        <v>41121</v>
      </c>
    </row>
    <row r="2970" spans="1:35">
      <c r="A2970">
        <v>2969</v>
      </c>
      <c r="B2970" t="str">
        <f>"002420"</f>
        <v>002420</v>
      </c>
      <c r="C2970" t="s">
        <v>12951</v>
      </c>
      <c r="D2970" s="4">
        <v>43190</v>
      </c>
      <c r="E2970" t="s">
        <v>241</v>
      </c>
      <c r="F2970" t="s">
        <v>2590</v>
      </c>
      <c r="G2970" t="s">
        <v>210</v>
      </c>
      <c r="H2970">
        <v>0</v>
      </c>
      <c r="I2970">
        <v>2.95</v>
      </c>
      <c r="J2970">
        <v>0.14000000000000001</v>
      </c>
      <c r="K2970" t="s">
        <v>1214</v>
      </c>
      <c r="L2970">
        <v>0.21</v>
      </c>
      <c r="M2970" t="s">
        <v>2223</v>
      </c>
      <c r="N2970" t="s">
        <v>12952</v>
      </c>
      <c r="O2970" t="s">
        <v>8071</v>
      </c>
      <c r="P2970" t="s">
        <v>10484</v>
      </c>
      <c r="Q2970">
        <v>106.35</v>
      </c>
      <c r="R2970" t="s">
        <v>12953</v>
      </c>
      <c r="S2970">
        <v>-0.14000000000000001</v>
      </c>
      <c r="T2970">
        <v>9.8699999999999992</v>
      </c>
      <c r="U2970" t="s">
        <v>3160</v>
      </c>
      <c r="V2970" t="s">
        <v>1687</v>
      </c>
      <c r="W2970" t="s">
        <v>605</v>
      </c>
      <c r="X2970">
        <v>0.14000000000000001</v>
      </c>
      <c r="Y2970" t="s">
        <v>512</v>
      </c>
      <c r="Z2970" t="s">
        <v>1516</v>
      </c>
      <c r="AA2970" t="s">
        <v>1038</v>
      </c>
      <c r="AB2970">
        <v>1.31</v>
      </c>
      <c r="AC2970" t="s">
        <v>250</v>
      </c>
      <c r="AD2970">
        <v>30.99</v>
      </c>
      <c r="AE2970" t="s">
        <v>1868</v>
      </c>
      <c r="AF2970">
        <v>2.0099999999999998</v>
      </c>
      <c r="AG2970">
        <v>0</v>
      </c>
      <c r="AH2970">
        <v>0</v>
      </c>
      <c r="AI2970" s="4">
        <v>40330</v>
      </c>
    </row>
    <row r="2971" spans="1:35">
      <c r="A2971">
        <v>2970</v>
      </c>
      <c r="B2971" t="str">
        <f>"002141"</f>
        <v>002141</v>
      </c>
      <c r="C2971" t="s">
        <v>12954</v>
      </c>
      <c r="D2971" s="4">
        <v>43190</v>
      </c>
      <c r="E2971" t="s">
        <v>835</v>
      </c>
      <c r="F2971" t="s">
        <v>1909</v>
      </c>
      <c r="G2971" t="s">
        <v>2478</v>
      </c>
      <c r="H2971">
        <v>0</v>
      </c>
      <c r="I2971">
        <v>1.1499999999999999</v>
      </c>
      <c r="J2971">
        <v>0.14000000000000001</v>
      </c>
      <c r="K2971" t="s">
        <v>4614</v>
      </c>
      <c r="L2971">
        <v>-4.8</v>
      </c>
      <c r="M2971" t="s">
        <v>11979</v>
      </c>
      <c r="N2971" t="s">
        <v>7671</v>
      </c>
      <c r="O2971" t="s">
        <v>6445</v>
      </c>
      <c r="P2971" t="s">
        <v>12955</v>
      </c>
      <c r="Q2971">
        <v>-46.55</v>
      </c>
      <c r="R2971" t="s">
        <v>12956</v>
      </c>
      <c r="S2971">
        <v>0.06</v>
      </c>
      <c r="T2971">
        <v>12.93</v>
      </c>
      <c r="U2971" t="s">
        <v>775</v>
      </c>
      <c r="V2971" t="s">
        <v>2392</v>
      </c>
      <c r="W2971" t="s">
        <v>603</v>
      </c>
      <c r="X2971">
        <v>0.14000000000000001</v>
      </c>
      <c r="Y2971" t="s">
        <v>265</v>
      </c>
      <c r="Z2971" t="s">
        <v>1918</v>
      </c>
      <c r="AA2971" t="s">
        <v>10143</v>
      </c>
      <c r="AB2971">
        <v>3.85</v>
      </c>
      <c r="AC2971" t="s">
        <v>840</v>
      </c>
      <c r="AD2971">
        <v>74.180000000000007</v>
      </c>
      <c r="AE2971" t="s">
        <v>10031</v>
      </c>
      <c r="AF2971">
        <v>0.08</v>
      </c>
      <c r="AG2971">
        <v>0</v>
      </c>
      <c r="AH2971">
        <v>0</v>
      </c>
      <c r="AI2971" s="4">
        <v>39283</v>
      </c>
    </row>
    <row r="2972" spans="1:35">
      <c r="A2972">
        <v>2971</v>
      </c>
      <c r="B2972" t="str">
        <f>"002024"</f>
        <v>002024</v>
      </c>
      <c r="C2972" t="s">
        <v>12957</v>
      </c>
      <c r="D2972" s="4">
        <v>43190</v>
      </c>
      <c r="E2972" t="s">
        <v>5302</v>
      </c>
      <c r="F2972" t="s">
        <v>2043</v>
      </c>
      <c r="G2972" t="s">
        <v>2506</v>
      </c>
      <c r="H2972">
        <v>0.01</v>
      </c>
      <c r="I2972">
        <v>8.48</v>
      </c>
      <c r="J2972">
        <v>0.14000000000000001</v>
      </c>
      <c r="K2972" t="s">
        <v>6777</v>
      </c>
      <c r="L2972">
        <v>32.76</v>
      </c>
      <c r="M2972" t="s">
        <v>600</v>
      </c>
      <c r="N2972" t="s">
        <v>443</v>
      </c>
      <c r="O2972" t="s">
        <v>2115</v>
      </c>
      <c r="P2972" t="s">
        <v>443</v>
      </c>
      <c r="Q2972">
        <v>42.15</v>
      </c>
      <c r="R2972" t="s">
        <v>1221</v>
      </c>
      <c r="S2972">
        <v>2.16</v>
      </c>
      <c r="T2972">
        <v>16.37</v>
      </c>
      <c r="U2972" t="s">
        <v>12958</v>
      </c>
      <c r="V2972" t="s">
        <v>12959</v>
      </c>
      <c r="W2972" t="s">
        <v>929</v>
      </c>
      <c r="X2972">
        <v>0.14000000000000001</v>
      </c>
      <c r="Y2972" t="s">
        <v>7417</v>
      </c>
      <c r="Z2972" t="s">
        <v>3938</v>
      </c>
      <c r="AA2972" t="s">
        <v>11035</v>
      </c>
      <c r="AB2972">
        <v>1.57</v>
      </c>
      <c r="AC2972" t="s">
        <v>12960</v>
      </c>
      <c r="AD2972">
        <v>48.75</v>
      </c>
      <c r="AE2972" t="s">
        <v>5632</v>
      </c>
      <c r="AF2972">
        <v>3.91</v>
      </c>
      <c r="AG2972">
        <v>0</v>
      </c>
      <c r="AH2972">
        <v>0</v>
      </c>
      <c r="AI2972" s="4">
        <v>38189</v>
      </c>
    </row>
    <row r="2973" spans="1:35">
      <c r="A2973">
        <v>2972</v>
      </c>
      <c r="B2973" t="str">
        <f>"000829"</f>
        <v>000829</v>
      </c>
      <c r="C2973" t="s">
        <v>12961</v>
      </c>
      <c r="D2973" s="4">
        <v>43190</v>
      </c>
      <c r="E2973" t="s">
        <v>521</v>
      </c>
      <c r="F2973" t="s">
        <v>4953</v>
      </c>
      <c r="G2973" t="s">
        <v>1381</v>
      </c>
      <c r="H2973">
        <v>0</v>
      </c>
      <c r="I2973">
        <v>2.73</v>
      </c>
      <c r="J2973">
        <v>0.14000000000000001</v>
      </c>
      <c r="K2973" t="s">
        <v>252</v>
      </c>
      <c r="L2973">
        <v>18.23</v>
      </c>
      <c r="M2973" t="s">
        <v>11163</v>
      </c>
      <c r="N2973" t="s">
        <v>8020</v>
      </c>
      <c r="O2973" t="s">
        <v>1765</v>
      </c>
      <c r="P2973" t="s">
        <v>601</v>
      </c>
      <c r="Q2973">
        <v>-35.909999999999997</v>
      </c>
      <c r="R2973" t="s">
        <v>147</v>
      </c>
      <c r="S2973">
        <v>1.04</v>
      </c>
      <c r="T2973">
        <v>3.8</v>
      </c>
      <c r="U2973" t="s">
        <v>463</v>
      </c>
      <c r="V2973" t="s">
        <v>3649</v>
      </c>
      <c r="W2973" t="s">
        <v>2507</v>
      </c>
      <c r="X2973">
        <v>0.14000000000000001</v>
      </c>
      <c r="Y2973" t="s">
        <v>900</v>
      </c>
      <c r="Z2973" t="s">
        <v>7628</v>
      </c>
      <c r="AA2973" t="s">
        <v>424</v>
      </c>
      <c r="AB2973">
        <v>2.82</v>
      </c>
      <c r="AC2973" t="s">
        <v>1158</v>
      </c>
      <c r="AD2973">
        <v>21.6</v>
      </c>
      <c r="AE2973" t="s">
        <v>2110</v>
      </c>
      <c r="AF2973">
        <v>0.62</v>
      </c>
      <c r="AG2973">
        <v>0</v>
      </c>
      <c r="AH2973">
        <v>0</v>
      </c>
      <c r="AI2973" s="4">
        <v>35766</v>
      </c>
    </row>
    <row r="2974" spans="1:35">
      <c r="A2974">
        <v>2973</v>
      </c>
      <c r="B2974" t="str">
        <f>"603029"</f>
        <v>603029</v>
      </c>
      <c r="C2974" t="s">
        <v>12962</v>
      </c>
      <c r="D2974" s="4">
        <v>43190</v>
      </c>
      <c r="E2974" t="s">
        <v>10664</v>
      </c>
      <c r="F2974" t="s">
        <v>12963</v>
      </c>
      <c r="G2974">
        <v>2360</v>
      </c>
      <c r="H2974">
        <v>0.01</v>
      </c>
      <c r="I2974">
        <v>7.56</v>
      </c>
      <c r="J2974">
        <v>0.13</v>
      </c>
      <c r="K2974" t="s">
        <v>12964</v>
      </c>
      <c r="L2974">
        <v>21.66</v>
      </c>
      <c r="M2974" t="s">
        <v>12965</v>
      </c>
      <c r="N2974" t="s">
        <v>4328</v>
      </c>
      <c r="O2974" t="s">
        <v>9796</v>
      </c>
      <c r="P2974" t="s">
        <v>12966</v>
      </c>
      <c r="Q2974">
        <v>-42.96</v>
      </c>
      <c r="R2974" t="s">
        <v>1789</v>
      </c>
      <c r="S2974">
        <v>3.64</v>
      </c>
      <c r="T2974">
        <v>33.6</v>
      </c>
      <c r="U2974" t="s">
        <v>3185</v>
      </c>
      <c r="V2974" t="s">
        <v>1652</v>
      </c>
      <c r="W2974" t="s">
        <v>345</v>
      </c>
      <c r="X2974">
        <v>0.13</v>
      </c>
      <c r="Y2974" t="s">
        <v>1264</v>
      </c>
      <c r="Z2974" t="s">
        <v>745</v>
      </c>
      <c r="AA2974" t="s">
        <v>8320</v>
      </c>
      <c r="AB2974">
        <v>2.12</v>
      </c>
      <c r="AC2974" t="s">
        <v>3196</v>
      </c>
      <c r="AD2974">
        <v>77.98</v>
      </c>
      <c r="AE2974" t="s">
        <v>682</v>
      </c>
      <c r="AF2974">
        <v>2.37</v>
      </c>
      <c r="AG2974">
        <v>0</v>
      </c>
      <c r="AH2974">
        <v>0</v>
      </c>
      <c r="AI2974" s="4">
        <v>42487</v>
      </c>
    </row>
    <row r="2975" spans="1:35">
      <c r="A2975">
        <v>2974</v>
      </c>
      <c r="B2975" t="str">
        <f>"300386"</f>
        <v>300386</v>
      </c>
      <c r="C2975" t="s">
        <v>12967</v>
      </c>
      <c r="D2975" s="4">
        <v>43190</v>
      </c>
      <c r="E2975" t="s">
        <v>1794</v>
      </c>
      <c r="F2975" t="s">
        <v>844</v>
      </c>
      <c r="G2975">
        <v>5785</v>
      </c>
      <c r="H2975">
        <v>0.01</v>
      </c>
      <c r="I2975">
        <v>3.91</v>
      </c>
      <c r="J2975">
        <v>0.13</v>
      </c>
      <c r="K2975" t="s">
        <v>1936</v>
      </c>
      <c r="L2975">
        <v>-18.739999999999998</v>
      </c>
      <c r="M2975" t="s">
        <v>5577</v>
      </c>
      <c r="N2975" t="s">
        <v>7821</v>
      </c>
      <c r="O2975" t="s">
        <v>11147</v>
      </c>
      <c r="P2975" t="s">
        <v>12968</v>
      </c>
      <c r="Q2975">
        <v>-80.47</v>
      </c>
      <c r="R2975" t="s">
        <v>3769</v>
      </c>
      <c r="S2975">
        <v>1.8</v>
      </c>
      <c r="T2975">
        <v>41.44</v>
      </c>
      <c r="U2975" t="s">
        <v>1752</v>
      </c>
      <c r="V2975" t="s">
        <v>1343</v>
      </c>
      <c r="W2975" t="s">
        <v>10018</v>
      </c>
      <c r="X2975">
        <v>0.13</v>
      </c>
      <c r="Y2975" t="s">
        <v>1977</v>
      </c>
      <c r="Z2975" t="s">
        <v>284</v>
      </c>
      <c r="AA2975" t="s">
        <v>7896</v>
      </c>
      <c r="AB2975">
        <v>2.93</v>
      </c>
      <c r="AC2975" t="s">
        <v>298</v>
      </c>
      <c r="AD2975">
        <v>85.69</v>
      </c>
      <c r="AE2975" t="s">
        <v>707</v>
      </c>
      <c r="AF2975">
        <v>0.87</v>
      </c>
      <c r="AG2975">
        <v>0</v>
      </c>
      <c r="AH2975">
        <v>0</v>
      </c>
      <c r="AI2975" s="4">
        <v>41816</v>
      </c>
    </row>
    <row r="2976" spans="1:35">
      <c r="A2976">
        <v>2975</v>
      </c>
      <c r="B2976" t="str">
        <f>"300110"</f>
        <v>300110</v>
      </c>
      <c r="C2976" t="s">
        <v>12969</v>
      </c>
      <c r="D2976" s="4">
        <v>43190</v>
      </c>
      <c r="E2976" t="s">
        <v>250</v>
      </c>
      <c r="F2976" t="s">
        <v>250</v>
      </c>
      <c r="G2976" t="s">
        <v>5991</v>
      </c>
      <c r="H2976">
        <v>0</v>
      </c>
      <c r="I2976">
        <v>1.82</v>
      </c>
      <c r="J2976">
        <v>0.13</v>
      </c>
      <c r="K2976" t="s">
        <v>1797</v>
      </c>
      <c r="L2976">
        <v>19.23</v>
      </c>
      <c r="M2976" t="s">
        <v>12095</v>
      </c>
      <c r="N2976" t="s">
        <v>12970</v>
      </c>
      <c r="O2976" t="s">
        <v>621</v>
      </c>
      <c r="P2976" t="s">
        <v>12579</v>
      </c>
      <c r="Q2976">
        <v>-45.41</v>
      </c>
      <c r="R2976" t="s">
        <v>267</v>
      </c>
      <c r="S2976">
        <v>0.32</v>
      </c>
      <c r="T2976">
        <v>57.7</v>
      </c>
      <c r="U2976" t="s">
        <v>1054</v>
      </c>
      <c r="V2976" t="s">
        <v>1244</v>
      </c>
      <c r="W2976" t="s">
        <v>264</v>
      </c>
      <c r="X2976">
        <v>0.13</v>
      </c>
      <c r="Y2976" t="s">
        <v>2421</v>
      </c>
      <c r="Z2976" t="s">
        <v>1769</v>
      </c>
      <c r="AA2976" t="s">
        <v>12971</v>
      </c>
      <c r="AB2976">
        <v>2.36</v>
      </c>
      <c r="AC2976" t="s">
        <v>2753</v>
      </c>
      <c r="AD2976">
        <v>67.7</v>
      </c>
      <c r="AE2976" t="s">
        <v>2178</v>
      </c>
      <c r="AF2976">
        <v>0.45</v>
      </c>
      <c r="AG2976">
        <v>0</v>
      </c>
      <c r="AH2976">
        <v>0</v>
      </c>
      <c r="AI2976" s="4">
        <v>40415</v>
      </c>
    </row>
    <row r="2977" spans="1:35">
      <c r="A2977">
        <v>2976</v>
      </c>
      <c r="B2977" t="str">
        <f>"300083"</f>
        <v>300083</v>
      </c>
      <c r="C2977" t="s">
        <v>12972</v>
      </c>
      <c r="D2977" s="4">
        <v>43190</v>
      </c>
      <c r="E2977" t="s">
        <v>162</v>
      </c>
      <c r="F2977" t="s">
        <v>1033</v>
      </c>
      <c r="G2977" t="s">
        <v>3163</v>
      </c>
      <c r="H2977">
        <v>0</v>
      </c>
      <c r="I2977">
        <v>3.91</v>
      </c>
      <c r="J2977">
        <v>0.13</v>
      </c>
      <c r="K2977" t="s">
        <v>1082</v>
      </c>
      <c r="L2977">
        <v>-21.91</v>
      </c>
      <c r="M2977" t="s">
        <v>12973</v>
      </c>
      <c r="N2977" t="s">
        <v>8235</v>
      </c>
      <c r="O2977" t="s">
        <v>11658</v>
      </c>
      <c r="P2977" t="s">
        <v>12756</v>
      </c>
      <c r="Q2977">
        <v>-95.16</v>
      </c>
      <c r="R2977" t="s">
        <v>545</v>
      </c>
      <c r="S2977">
        <v>0.31</v>
      </c>
      <c r="T2977">
        <v>17.899999999999999</v>
      </c>
      <c r="U2977" t="s">
        <v>3449</v>
      </c>
      <c r="V2977" t="s">
        <v>1617</v>
      </c>
      <c r="W2977" t="s">
        <v>1244</v>
      </c>
      <c r="X2977">
        <v>0.13</v>
      </c>
      <c r="Y2977" t="s">
        <v>1110</v>
      </c>
      <c r="Z2977" t="s">
        <v>1050</v>
      </c>
      <c r="AA2977" t="s">
        <v>4863</v>
      </c>
      <c r="AB2977">
        <v>1.1299999999999999</v>
      </c>
      <c r="AC2977" t="s">
        <v>1177</v>
      </c>
      <c r="AD2977">
        <v>49.94</v>
      </c>
      <c r="AE2977" t="s">
        <v>2866</v>
      </c>
      <c r="AF2977">
        <v>2.56</v>
      </c>
      <c r="AG2977">
        <v>0</v>
      </c>
      <c r="AH2977">
        <v>0</v>
      </c>
      <c r="AI2977" s="4">
        <v>40318</v>
      </c>
    </row>
    <row r="2978" spans="1:35">
      <c r="A2978">
        <v>2977</v>
      </c>
      <c r="B2978" t="str">
        <f>"002494"</f>
        <v>002494</v>
      </c>
      <c r="C2978" t="s">
        <v>12974</v>
      </c>
      <c r="D2978" s="4">
        <v>43190</v>
      </c>
      <c r="E2978" t="s">
        <v>501</v>
      </c>
      <c r="F2978" t="s">
        <v>535</v>
      </c>
      <c r="G2978">
        <v>5485</v>
      </c>
      <c r="H2978">
        <v>0.01</v>
      </c>
      <c r="I2978">
        <v>4.96</v>
      </c>
      <c r="J2978">
        <v>0.13</v>
      </c>
      <c r="K2978" t="s">
        <v>71</v>
      </c>
      <c r="L2978">
        <v>-13.75</v>
      </c>
      <c r="M2978" t="s">
        <v>12975</v>
      </c>
      <c r="N2978" t="s">
        <v>5905</v>
      </c>
      <c r="O2978" t="s">
        <v>1824</v>
      </c>
      <c r="P2978" t="s">
        <v>5921</v>
      </c>
      <c r="Q2978">
        <v>-71.39</v>
      </c>
      <c r="R2978" t="s">
        <v>1210</v>
      </c>
      <c r="S2978">
        <v>0.6</v>
      </c>
      <c r="T2978">
        <v>33.049999999999997</v>
      </c>
      <c r="U2978" t="s">
        <v>1308</v>
      </c>
      <c r="V2978" t="s">
        <v>926</v>
      </c>
      <c r="W2978" t="s">
        <v>1706</v>
      </c>
      <c r="X2978">
        <v>0.13</v>
      </c>
      <c r="Y2978" t="s">
        <v>568</v>
      </c>
      <c r="Z2978" t="s">
        <v>792</v>
      </c>
      <c r="AA2978" t="s">
        <v>2115</v>
      </c>
      <c r="AB2978">
        <v>1.34</v>
      </c>
      <c r="AC2978" t="s">
        <v>389</v>
      </c>
      <c r="AD2978">
        <v>71.849999999999994</v>
      </c>
      <c r="AE2978" t="s">
        <v>300</v>
      </c>
      <c r="AF2978">
        <v>3.24</v>
      </c>
      <c r="AG2978">
        <v>0</v>
      </c>
      <c r="AH2978">
        <v>0</v>
      </c>
      <c r="AI2978" s="4">
        <v>40484</v>
      </c>
    </row>
    <row r="2979" spans="1:35">
      <c r="A2979">
        <v>2978</v>
      </c>
      <c r="B2979" t="str">
        <f>"600192"</f>
        <v>600192</v>
      </c>
      <c r="C2979" t="s">
        <v>12976</v>
      </c>
      <c r="D2979" s="4">
        <v>43190</v>
      </c>
      <c r="E2979" t="s">
        <v>540</v>
      </c>
      <c r="F2979" t="s">
        <v>540</v>
      </c>
      <c r="G2979" t="s">
        <v>4216</v>
      </c>
      <c r="H2979">
        <v>0.01</v>
      </c>
      <c r="I2979">
        <v>4.42</v>
      </c>
      <c r="J2979">
        <v>0.12</v>
      </c>
      <c r="K2979" t="s">
        <v>1028</v>
      </c>
      <c r="L2979">
        <v>-6.76</v>
      </c>
      <c r="M2979" t="s">
        <v>2566</v>
      </c>
      <c r="N2979" t="s">
        <v>6021</v>
      </c>
      <c r="O2979" t="s">
        <v>7770</v>
      </c>
      <c r="P2979" t="s">
        <v>1848</v>
      </c>
      <c r="Q2979">
        <v>-23.35</v>
      </c>
      <c r="R2979" t="s">
        <v>1382</v>
      </c>
      <c r="S2979">
        <v>1.19</v>
      </c>
      <c r="T2979">
        <v>23.07</v>
      </c>
      <c r="U2979" t="s">
        <v>1090</v>
      </c>
      <c r="V2979" t="s">
        <v>2028</v>
      </c>
      <c r="W2979" t="s">
        <v>2264</v>
      </c>
      <c r="X2979">
        <v>0.12</v>
      </c>
      <c r="Y2979" t="s">
        <v>2280</v>
      </c>
      <c r="Z2979" t="s">
        <v>789</v>
      </c>
      <c r="AA2979" t="s">
        <v>89</v>
      </c>
      <c r="AB2979">
        <v>0.99</v>
      </c>
      <c r="AC2979" t="s">
        <v>275</v>
      </c>
      <c r="AD2979">
        <v>42.64</v>
      </c>
      <c r="AE2979" t="s">
        <v>2250</v>
      </c>
      <c r="AF2979">
        <v>2.12</v>
      </c>
      <c r="AG2979">
        <v>0</v>
      </c>
      <c r="AH2979">
        <v>0</v>
      </c>
      <c r="AI2979" s="4">
        <v>36153</v>
      </c>
    </row>
    <row r="2980" spans="1:35">
      <c r="A2980">
        <v>2979</v>
      </c>
      <c r="B2980" t="str">
        <f>"601008"</f>
        <v>601008</v>
      </c>
      <c r="C2980" t="s">
        <v>12977</v>
      </c>
      <c r="D2980" s="4">
        <v>43190</v>
      </c>
      <c r="E2980" t="s">
        <v>1496</v>
      </c>
      <c r="F2980" t="s">
        <v>1496</v>
      </c>
      <c r="G2980">
        <v>9187</v>
      </c>
      <c r="H2980">
        <v>0</v>
      </c>
      <c r="I2980">
        <v>3.16</v>
      </c>
      <c r="J2980">
        <v>0.12</v>
      </c>
      <c r="K2980" t="s">
        <v>325</v>
      </c>
      <c r="L2980">
        <v>4.16</v>
      </c>
      <c r="M2980" t="s">
        <v>5059</v>
      </c>
      <c r="N2980" t="s">
        <v>12978</v>
      </c>
      <c r="O2980" t="s">
        <v>12979</v>
      </c>
      <c r="P2980" t="s">
        <v>7542</v>
      </c>
      <c r="Q2980">
        <v>-12.23</v>
      </c>
      <c r="R2980" t="s">
        <v>335</v>
      </c>
      <c r="S2980">
        <v>0.43</v>
      </c>
      <c r="T2980">
        <v>25.75</v>
      </c>
      <c r="U2980" t="s">
        <v>3147</v>
      </c>
      <c r="V2980" t="s">
        <v>548</v>
      </c>
      <c r="W2980" t="s">
        <v>4509</v>
      </c>
      <c r="X2980">
        <v>0.12</v>
      </c>
      <c r="Y2980" t="s">
        <v>1545</v>
      </c>
      <c r="Z2980" t="s">
        <v>1347</v>
      </c>
      <c r="AA2980" t="s">
        <v>391</v>
      </c>
      <c r="AB2980">
        <v>1.0900000000000001</v>
      </c>
      <c r="AC2980" t="s">
        <v>2535</v>
      </c>
      <c r="AD2980">
        <v>43.93</v>
      </c>
      <c r="AE2980" t="s">
        <v>50</v>
      </c>
      <c r="AF2980">
        <v>1.59</v>
      </c>
      <c r="AG2980">
        <v>0</v>
      </c>
      <c r="AH2980">
        <v>0</v>
      </c>
      <c r="AI2980" s="4">
        <v>39198</v>
      </c>
    </row>
    <row r="2981" spans="1:35">
      <c r="A2981">
        <v>2980</v>
      </c>
      <c r="B2981" t="str">
        <f>"600792"</f>
        <v>600792</v>
      </c>
      <c r="C2981" t="s">
        <v>12980</v>
      </c>
      <c r="D2981" s="4">
        <v>43190</v>
      </c>
      <c r="E2981" t="s">
        <v>1856</v>
      </c>
      <c r="F2981" t="s">
        <v>1856</v>
      </c>
      <c r="G2981" t="s">
        <v>4573</v>
      </c>
      <c r="H2981">
        <v>0.01</v>
      </c>
      <c r="I2981">
        <v>2.95</v>
      </c>
      <c r="J2981">
        <v>0.12</v>
      </c>
      <c r="K2981" t="s">
        <v>264</v>
      </c>
      <c r="L2981">
        <v>54.91</v>
      </c>
      <c r="M2981" t="s">
        <v>3970</v>
      </c>
      <c r="N2981">
        <v>4088</v>
      </c>
      <c r="O2981" t="s">
        <v>11975</v>
      </c>
      <c r="P2981" t="s">
        <v>12539</v>
      </c>
      <c r="Q2981">
        <v>702.17</v>
      </c>
      <c r="R2981" t="s">
        <v>12981</v>
      </c>
      <c r="S2981">
        <v>-0.48</v>
      </c>
      <c r="T2981">
        <v>8.91</v>
      </c>
      <c r="U2981" t="s">
        <v>1494</v>
      </c>
      <c r="V2981" t="s">
        <v>187</v>
      </c>
      <c r="W2981" t="s">
        <v>251</v>
      </c>
      <c r="X2981">
        <v>0.12</v>
      </c>
      <c r="Y2981" t="s">
        <v>1029</v>
      </c>
      <c r="Z2981" t="s">
        <v>1126</v>
      </c>
      <c r="AA2981" t="s">
        <v>174</v>
      </c>
      <c r="AB2981">
        <v>1.18</v>
      </c>
      <c r="AC2981" t="s">
        <v>1158</v>
      </c>
      <c r="AD2981">
        <v>55.2</v>
      </c>
      <c r="AE2981" t="s">
        <v>578</v>
      </c>
      <c r="AF2981">
        <v>2.2999999999999998</v>
      </c>
      <c r="AG2981">
        <v>0</v>
      </c>
      <c r="AH2981">
        <v>0</v>
      </c>
      <c r="AI2981" s="4">
        <v>35453</v>
      </c>
    </row>
    <row r="2982" spans="1:35">
      <c r="A2982">
        <v>2981</v>
      </c>
      <c r="B2982" t="str">
        <f>"600448"</f>
        <v>600448</v>
      </c>
      <c r="C2982" t="s">
        <v>12982</v>
      </c>
      <c r="D2982" s="4">
        <v>43190</v>
      </c>
      <c r="E2982" t="s">
        <v>1565</v>
      </c>
      <c r="F2982" t="s">
        <v>662</v>
      </c>
      <c r="G2982" t="s">
        <v>950</v>
      </c>
      <c r="H2982">
        <v>0</v>
      </c>
      <c r="I2982">
        <v>2.76</v>
      </c>
      <c r="J2982">
        <v>0.12</v>
      </c>
      <c r="K2982" t="s">
        <v>4306</v>
      </c>
      <c r="L2982">
        <v>27.87</v>
      </c>
      <c r="M2982" t="s">
        <v>12983</v>
      </c>
      <c r="N2982">
        <v>0</v>
      </c>
      <c r="O2982" t="s">
        <v>2724</v>
      </c>
      <c r="P2982" t="s">
        <v>1824</v>
      </c>
      <c r="Q2982">
        <v>-19.260000000000002</v>
      </c>
      <c r="R2982" t="s">
        <v>12984</v>
      </c>
      <c r="S2982">
        <v>-0.43</v>
      </c>
      <c r="T2982">
        <v>5.12</v>
      </c>
      <c r="U2982" t="s">
        <v>312</v>
      </c>
      <c r="V2982" t="s">
        <v>877</v>
      </c>
      <c r="W2982" t="s">
        <v>4514</v>
      </c>
      <c r="X2982">
        <v>0.12</v>
      </c>
      <c r="Y2982" t="s">
        <v>712</v>
      </c>
      <c r="Z2982" t="s">
        <v>308</v>
      </c>
      <c r="AA2982" t="s">
        <v>745</v>
      </c>
      <c r="AB2982">
        <v>1.1499999999999999</v>
      </c>
      <c r="AC2982" t="s">
        <v>263</v>
      </c>
      <c r="AD2982">
        <v>41.64</v>
      </c>
      <c r="AE2982" t="s">
        <v>973</v>
      </c>
      <c r="AF2982">
        <v>2.1800000000000002</v>
      </c>
      <c r="AG2982">
        <v>0</v>
      </c>
      <c r="AH2982">
        <v>0</v>
      </c>
      <c r="AI2982" s="4">
        <v>37137</v>
      </c>
    </row>
    <row r="2983" spans="1:35">
      <c r="A2983">
        <v>2982</v>
      </c>
      <c r="B2983" t="str">
        <f>"600246"</f>
        <v>600246</v>
      </c>
      <c r="C2983" t="s">
        <v>12985</v>
      </c>
      <c r="D2983" s="4">
        <v>43190</v>
      </c>
      <c r="E2983" t="s">
        <v>1920</v>
      </c>
      <c r="F2983" t="s">
        <v>982</v>
      </c>
      <c r="G2983" t="s">
        <v>1755</v>
      </c>
      <c r="H2983">
        <v>0</v>
      </c>
      <c r="I2983">
        <v>3.38</v>
      </c>
      <c r="J2983">
        <v>0.12</v>
      </c>
      <c r="K2983" t="s">
        <v>2953</v>
      </c>
      <c r="L2983">
        <v>-41.78</v>
      </c>
      <c r="M2983" t="s">
        <v>12986</v>
      </c>
      <c r="N2983" t="s">
        <v>12987</v>
      </c>
      <c r="O2983" t="s">
        <v>6377</v>
      </c>
      <c r="P2983" t="s">
        <v>3508</v>
      </c>
      <c r="Q2983">
        <v>-89.15</v>
      </c>
      <c r="R2983" t="s">
        <v>613</v>
      </c>
      <c r="S2983">
        <v>0.56999999999999995</v>
      </c>
      <c r="T2983">
        <v>40.909999999999997</v>
      </c>
      <c r="U2983" t="s">
        <v>311</v>
      </c>
      <c r="V2983" t="s">
        <v>12988</v>
      </c>
      <c r="W2983" t="s">
        <v>12989</v>
      </c>
      <c r="X2983">
        <v>0.12</v>
      </c>
      <c r="Y2983" t="s">
        <v>1177</v>
      </c>
      <c r="Z2983" t="s">
        <v>1738</v>
      </c>
      <c r="AA2983" t="s">
        <v>392</v>
      </c>
      <c r="AB2983">
        <v>1.06</v>
      </c>
      <c r="AC2983" t="s">
        <v>4205</v>
      </c>
      <c r="AD2983">
        <v>54.29</v>
      </c>
      <c r="AE2983" t="s">
        <v>431</v>
      </c>
      <c r="AF2983">
        <v>1.73</v>
      </c>
      <c r="AG2983">
        <v>0</v>
      </c>
      <c r="AH2983">
        <v>0</v>
      </c>
      <c r="AI2983" s="4">
        <v>36791</v>
      </c>
    </row>
    <row r="2984" spans="1:35">
      <c r="A2984">
        <v>2983</v>
      </c>
      <c r="B2984" t="str">
        <f>"600051"</f>
        <v>600051</v>
      </c>
      <c r="C2984" t="s">
        <v>12990</v>
      </c>
      <c r="D2984" s="4">
        <v>43190</v>
      </c>
      <c r="E2984" t="s">
        <v>679</v>
      </c>
      <c r="F2984" t="s">
        <v>679</v>
      </c>
      <c r="G2984" t="s">
        <v>4389</v>
      </c>
      <c r="H2984">
        <v>0.01</v>
      </c>
      <c r="I2984">
        <v>7.65</v>
      </c>
      <c r="J2984">
        <v>0.12</v>
      </c>
      <c r="K2984" t="s">
        <v>568</v>
      </c>
      <c r="L2984">
        <v>43.64</v>
      </c>
      <c r="M2984" t="s">
        <v>7136</v>
      </c>
      <c r="N2984" t="s">
        <v>12991</v>
      </c>
      <c r="O2984" t="s">
        <v>6818</v>
      </c>
      <c r="P2984" t="s">
        <v>2008</v>
      </c>
      <c r="Q2984">
        <v>-66.66</v>
      </c>
      <c r="R2984" t="s">
        <v>1307</v>
      </c>
      <c r="S2984">
        <v>4.26</v>
      </c>
      <c r="T2984">
        <v>11.6</v>
      </c>
      <c r="U2984" t="s">
        <v>2186</v>
      </c>
      <c r="V2984" t="s">
        <v>1277</v>
      </c>
      <c r="W2984" t="s">
        <v>2010</v>
      </c>
      <c r="X2984">
        <v>0.12</v>
      </c>
      <c r="Y2984" t="s">
        <v>1412</v>
      </c>
      <c r="Z2984" t="s">
        <v>431</v>
      </c>
      <c r="AA2984" t="s">
        <v>1044</v>
      </c>
      <c r="AB2984">
        <v>0.93</v>
      </c>
      <c r="AC2984" t="s">
        <v>1704</v>
      </c>
      <c r="AD2984">
        <v>34.700000000000003</v>
      </c>
      <c r="AE2984" t="s">
        <v>745</v>
      </c>
      <c r="AF2984">
        <v>0.47</v>
      </c>
      <c r="AG2984">
        <v>0</v>
      </c>
      <c r="AH2984">
        <v>0</v>
      </c>
      <c r="AI2984" s="4">
        <v>35530</v>
      </c>
    </row>
    <row r="2985" spans="1:35">
      <c r="A2985">
        <v>2984</v>
      </c>
      <c r="B2985" t="str">
        <f>"300465"</f>
        <v>300465</v>
      </c>
      <c r="C2985" t="s">
        <v>12992</v>
      </c>
      <c r="D2985" s="4">
        <v>43190</v>
      </c>
      <c r="E2985" t="s">
        <v>3321</v>
      </c>
      <c r="F2985" t="s">
        <v>325</v>
      </c>
      <c r="G2985">
        <v>5104</v>
      </c>
      <c r="H2985">
        <v>0</v>
      </c>
      <c r="I2985">
        <v>2.39</v>
      </c>
      <c r="J2985">
        <v>0.12</v>
      </c>
      <c r="K2985" t="s">
        <v>1124</v>
      </c>
      <c r="L2985">
        <v>29.66</v>
      </c>
      <c r="M2985" t="s">
        <v>2724</v>
      </c>
      <c r="N2985" t="s">
        <v>1239</v>
      </c>
      <c r="O2985" t="s">
        <v>4557</v>
      </c>
      <c r="P2985" t="s">
        <v>5473</v>
      </c>
      <c r="Q2985">
        <v>108.84</v>
      </c>
      <c r="R2985" t="s">
        <v>478</v>
      </c>
      <c r="S2985">
        <v>0.63</v>
      </c>
      <c r="T2985">
        <v>22.08</v>
      </c>
      <c r="U2985" t="s">
        <v>728</v>
      </c>
      <c r="V2985" t="s">
        <v>1496</v>
      </c>
      <c r="W2985" t="s">
        <v>804</v>
      </c>
      <c r="X2985">
        <v>0.12</v>
      </c>
      <c r="Y2985" t="s">
        <v>147</v>
      </c>
      <c r="Z2985" t="s">
        <v>2094</v>
      </c>
      <c r="AA2985" t="s">
        <v>2587</v>
      </c>
      <c r="AB2985">
        <v>3.45</v>
      </c>
      <c r="AC2985" t="s">
        <v>699</v>
      </c>
      <c r="AD2985">
        <v>48.53</v>
      </c>
      <c r="AE2985" t="s">
        <v>139</v>
      </c>
      <c r="AF2985">
        <v>0.79</v>
      </c>
      <c r="AG2985">
        <v>0</v>
      </c>
      <c r="AH2985">
        <v>0</v>
      </c>
      <c r="AI2985" s="4">
        <v>42152</v>
      </c>
    </row>
    <row r="2986" spans="1:35">
      <c r="A2986">
        <v>2985</v>
      </c>
      <c r="B2986" t="str">
        <f>"002547"</f>
        <v>002547</v>
      </c>
      <c r="C2986" t="s">
        <v>12993</v>
      </c>
      <c r="D2986" s="4">
        <v>43190</v>
      </c>
      <c r="E2986" t="s">
        <v>835</v>
      </c>
      <c r="F2986" t="s">
        <v>539</v>
      </c>
      <c r="G2986" t="s">
        <v>1122</v>
      </c>
      <c r="H2986">
        <v>0</v>
      </c>
      <c r="I2986">
        <v>2.37</v>
      </c>
      <c r="J2986">
        <v>0.12</v>
      </c>
      <c r="K2986" t="s">
        <v>1094</v>
      </c>
      <c r="L2986">
        <v>52.35</v>
      </c>
      <c r="M2986" t="s">
        <v>9617</v>
      </c>
      <c r="N2986" t="s">
        <v>12994</v>
      </c>
      <c r="O2986" t="s">
        <v>10695</v>
      </c>
      <c r="P2986" t="s">
        <v>7246</v>
      </c>
      <c r="Q2986">
        <v>-87.18</v>
      </c>
      <c r="R2986" t="s">
        <v>3142</v>
      </c>
      <c r="S2986">
        <v>7.0000000000000007E-2</v>
      </c>
      <c r="T2986">
        <v>19.47</v>
      </c>
      <c r="U2986" t="s">
        <v>2765</v>
      </c>
      <c r="V2986" t="s">
        <v>113</v>
      </c>
      <c r="W2986" t="s">
        <v>3356</v>
      </c>
      <c r="X2986">
        <v>0.12</v>
      </c>
      <c r="Y2986" t="s">
        <v>2167</v>
      </c>
      <c r="Z2986" t="s">
        <v>1388</v>
      </c>
      <c r="AA2986" t="s">
        <v>12995</v>
      </c>
      <c r="AB2986">
        <v>3.38</v>
      </c>
      <c r="AC2986" t="s">
        <v>260</v>
      </c>
      <c r="AD2986">
        <v>32.479999999999997</v>
      </c>
      <c r="AE2986" t="s">
        <v>161</v>
      </c>
      <c r="AF2986">
        <v>1.28</v>
      </c>
      <c r="AG2986">
        <v>0</v>
      </c>
      <c r="AH2986">
        <v>0</v>
      </c>
      <c r="AI2986" s="4">
        <v>40592</v>
      </c>
    </row>
    <row r="2987" spans="1:35">
      <c r="A2987">
        <v>2986</v>
      </c>
      <c r="B2987" t="str">
        <f>"002274"</f>
        <v>002274</v>
      </c>
      <c r="C2987" t="s">
        <v>12996</v>
      </c>
      <c r="D2987" s="4">
        <v>43190</v>
      </c>
      <c r="E2987" t="s">
        <v>1567</v>
      </c>
      <c r="F2987" t="s">
        <v>2036</v>
      </c>
      <c r="G2987" t="s">
        <v>4294</v>
      </c>
      <c r="H2987">
        <v>0</v>
      </c>
      <c r="I2987">
        <v>4.18</v>
      </c>
      <c r="J2987">
        <v>0.12</v>
      </c>
      <c r="K2987" t="s">
        <v>124</v>
      </c>
      <c r="L2987">
        <v>-1.52</v>
      </c>
      <c r="M2987" t="s">
        <v>5298</v>
      </c>
      <c r="N2987" t="s">
        <v>12383</v>
      </c>
      <c r="O2987" t="s">
        <v>10562</v>
      </c>
      <c r="P2987" t="s">
        <v>10187</v>
      </c>
      <c r="Q2987">
        <v>-93.72</v>
      </c>
      <c r="R2987" t="s">
        <v>668</v>
      </c>
      <c r="S2987">
        <v>0.38</v>
      </c>
      <c r="T2987">
        <v>8.7799999999999994</v>
      </c>
      <c r="U2987" t="s">
        <v>2942</v>
      </c>
      <c r="V2987" t="s">
        <v>50</v>
      </c>
      <c r="W2987" t="s">
        <v>907</v>
      </c>
      <c r="X2987">
        <v>0.12</v>
      </c>
      <c r="Y2987" t="s">
        <v>2301</v>
      </c>
      <c r="Z2987" t="s">
        <v>2212</v>
      </c>
      <c r="AA2987" t="s">
        <v>362</v>
      </c>
      <c r="AB2987">
        <v>1.45</v>
      </c>
      <c r="AC2987" t="s">
        <v>1661</v>
      </c>
      <c r="AD2987">
        <v>39.83</v>
      </c>
      <c r="AE2987" t="s">
        <v>747</v>
      </c>
      <c r="AF2987">
        <v>2.44</v>
      </c>
      <c r="AG2987">
        <v>0</v>
      </c>
      <c r="AH2987">
        <v>0</v>
      </c>
      <c r="AI2987" s="4">
        <v>39716</v>
      </c>
    </row>
    <row r="2988" spans="1:35">
      <c r="A2988">
        <v>2987</v>
      </c>
      <c r="B2988" t="str">
        <f>"002132"</f>
        <v>002132</v>
      </c>
      <c r="C2988" t="s">
        <v>12997</v>
      </c>
      <c r="D2988" s="4">
        <v>43190</v>
      </c>
      <c r="E2988" t="s">
        <v>164</v>
      </c>
      <c r="F2988" t="s">
        <v>1496</v>
      </c>
      <c r="G2988" t="s">
        <v>4301</v>
      </c>
      <c r="H2988">
        <v>0</v>
      </c>
      <c r="I2988">
        <v>2.3199999999999998</v>
      </c>
      <c r="J2988">
        <v>0.12</v>
      </c>
      <c r="K2988" t="s">
        <v>504</v>
      </c>
      <c r="L2988">
        <v>0.76</v>
      </c>
      <c r="M2988" t="s">
        <v>4944</v>
      </c>
      <c r="N2988" t="s">
        <v>9140</v>
      </c>
      <c r="O2988" t="s">
        <v>6076</v>
      </c>
      <c r="P2988" t="s">
        <v>567</v>
      </c>
      <c r="Q2988">
        <v>-89.13</v>
      </c>
      <c r="R2988" t="s">
        <v>806</v>
      </c>
      <c r="S2988">
        <v>0.34</v>
      </c>
      <c r="T2988">
        <v>14.98</v>
      </c>
      <c r="U2988" t="s">
        <v>5286</v>
      </c>
      <c r="V2988" t="s">
        <v>940</v>
      </c>
      <c r="W2988" t="s">
        <v>547</v>
      </c>
      <c r="X2988">
        <v>0.12</v>
      </c>
      <c r="Y2988" t="s">
        <v>1127</v>
      </c>
      <c r="Z2988" t="s">
        <v>1350</v>
      </c>
      <c r="AA2988" t="s">
        <v>1706</v>
      </c>
      <c r="AB2988">
        <v>1.3</v>
      </c>
      <c r="AC2988" t="s">
        <v>1158</v>
      </c>
      <c r="AD2988">
        <v>43.68</v>
      </c>
      <c r="AE2988" t="s">
        <v>973</v>
      </c>
      <c r="AF2988">
        <v>0.91</v>
      </c>
      <c r="AG2988">
        <v>0</v>
      </c>
      <c r="AH2988">
        <v>0</v>
      </c>
      <c r="AI2988" s="4">
        <v>39199</v>
      </c>
    </row>
    <row r="2989" spans="1:35">
      <c r="A2989">
        <v>2988</v>
      </c>
      <c r="B2989" t="str">
        <f>"000589"</f>
        <v>000589</v>
      </c>
      <c r="C2989" t="s">
        <v>12998</v>
      </c>
      <c r="D2989" s="4">
        <v>43190</v>
      </c>
      <c r="E2989" t="s">
        <v>2790</v>
      </c>
      <c r="F2989" t="s">
        <v>2790</v>
      </c>
      <c r="G2989" t="s">
        <v>915</v>
      </c>
      <c r="H2989">
        <v>0.01</v>
      </c>
      <c r="I2989">
        <v>4.3</v>
      </c>
      <c r="J2989">
        <v>0.12</v>
      </c>
      <c r="K2989" t="s">
        <v>1052</v>
      </c>
      <c r="L2989">
        <v>50.99</v>
      </c>
      <c r="M2989" t="s">
        <v>11295</v>
      </c>
      <c r="N2989">
        <v>0</v>
      </c>
      <c r="O2989" t="s">
        <v>7979</v>
      </c>
      <c r="P2989" t="s">
        <v>8409</v>
      </c>
      <c r="Q2989">
        <v>-96.39</v>
      </c>
      <c r="R2989" t="s">
        <v>1806</v>
      </c>
      <c r="S2989">
        <v>0.61</v>
      </c>
      <c r="T2989">
        <v>11.72</v>
      </c>
      <c r="U2989" t="s">
        <v>1254</v>
      </c>
      <c r="V2989" t="s">
        <v>1050</v>
      </c>
      <c r="W2989" t="s">
        <v>2866</v>
      </c>
      <c r="X2989">
        <v>0.12</v>
      </c>
      <c r="Y2989" t="s">
        <v>1469</v>
      </c>
      <c r="Z2989" t="s">
        <v>1134</v>
      </c>
      <c r="AA2989" t="s">
        <v>277</v>
      </c>
      <c r="AB2989">
        <v>0.76</v>
      </c>
      <c r="AC2989" t="s">
        <v>2283</v>
      </c>
      <c r="AD2989">
        <v>33.22</v>
      </c>
      <c r="AE2989" t="s">
        <v>980</v>
      </c>
      <c r="AF2989">
        <v>2.37</v>
      </c>
      <c r="AG2989">
        <v>0</v>
      </c>
      <c r="AH2989">
        <v>0</v>
      </c>
      <c r="AI2989" s="4">
        <v>35132</v>
      </c>
    </row>
    <row r="2990" spans="1:35">
      <c r="A2990">
        <v>2989</v>
      </c>
      <c r="B2990" t="str">
        <f>"603636"</f>
        <v>603636</v>
      </c>
      <c r="C2990" t="s">
        <v>12999</v>
      </c>
      <c r="D2990" s="4">
        <v>43190</v>
      </c>
      <c r="E2990" t="s">
        <v>1382</v>
      </c>
      <c r="F2990" t="s">
        <v>269</v>
      </c>
      <c r="G2990" t="s">
        <v>1381</v>
      </c>
      <c r="H2990">
        <v>0</v>
      </c>
      <c r="I2990">
        <v>2.96</v>
      </c>
      <c r="J2990">
        <v>0.11</v>
      </c>
      <c r="K2990" t="s">
        <v>13000</v>
      </c>
      <c r="L2990">
        <v>-9.65</v>
      </c>
      <c r="M2990" t="s">
        <v>13001</v>
      </c>
      <c r="N2990" t="s">
        <v>10954</v>
      </c>
      <c r="O2990" t="s">
        <v>13002</v>
      </c>
      <c r="P2990" t="s">
        <v>12628</v>
      </c>
      <c r="Q2990">
        <v>108.69</v>
      </c>
      <c r="R2990" t="s">
        <v>1235</v>
      </c>
      <c r="S2990">
        <v>0.57999999999999996</v>
      </c>
      <c r="T2990">
        <v>39.04</v>
      </c>
      <c r="U2990" t="s">
        <v>1348</v>
      </c>
      <c r="V2990" t="s">
        <v>820</v>
      </c>
      <c r="W2990" t="s">
        <v>1203</v>
      </c>
      <c r="X2990">
        <v>0.11</v>
      </c>
      <c r="Y2990" t="s">
        <v>2646</v>
      </c>
      <c r="Z2990" t="s">
        <v>2921</v>
      </c>
      <c r="AA2990" t="s">
        <v>13003</v>
      </c>
      <c r="AB2990">
        <v>3.38</v>
      </c>
      <c r="AC2990" t="s">
        <v>298</v>
      </c>
      <c r="AD2990">
        <v>69.22</v>
      </c>
      <c r="AE2990" t="s">
        <v>2569</v>
      </c>
      <c r="AF2990">
        <v>1.35</v>
      </c>
      <c r="AG2990">
        <v>0</v>
      </c>
      <c r="AH2990">
        <v>0</v>
      </c>
      <c r="AI2990" s="4">
        <v>42003</v>
      </c>
    </row>
    <row r="2991" spans="1:35">
      <c r="A2991">
        <v>2990</v>
      </c>
      <c r="B2991" t="str">
        <f>"603559"</f>
        <v>603559</v>
      </c>
      <c r="C2991" t="s">
        <v>13004</v>
      </c>
      <c r="D2991" s="4">
        <v>43190</v>
      </c>
      <c r="E2991" t="s">
        <v>657</v>
      </c>
      <c r="F2991" t="s">
        <v>13005</v>
      </c>
      <c r="G2991">
        <v>1938</v>
      </c>
      <c r="H2991">
        <v>0</v>
      </c>
      <c r="I2991">
        <v>5.44</v>
      </c>
      <c r="J2991">
        <v>0.11</v>
      </c>
      <c r="K2991" t="s">
        <v>622</v>
      </c>
      <c r="L2991">
        <v>29.61</v>
      </c>
      <c r="M2991" t="s">
        <v>9418</v>
      </c>
      <c r="N2991">
        <v>0</v>
      </c>
      <c r="O2991" t="s">
        <v>7271</v>
      </c>
      <c r="P2991" t="s">
        <v>13006</v>
      </c>
      <c r="Q2991">
        <v>284.60000000000002</v>
      </c>
      <c r="R2991" t="s">
        <v>1200</v>
      </c>
      <c r="S2991">
        <v>1.21</v>
      </c>
      <c r="T2991">
        <v>12.68</v>
      </c>
      <c r="U2991" t="s">
        <v>1025</v>
      </c>
      <c r="V2991" t="s">
        <v>605</v>
      </c>
      <c r="W2991" t="s">
        <v>5283</v>
      </c>
      <c r="X2991">
        <v>0.11</v>
      </c>
      <c r="Y2991" t="s">
        <v>174</v>
      </c>
      <c r="Z2991" t="s">
        <v>943</v>
      </c>
      <c r="AA2991" t="s">
        <v>4848</v>
      </c>
      <c r="AB2991">
        <v>4.37</v>
      </c>
      <c r="AC2991" t="s">
        <v>7533</v>
      </c>
      <c r="AD2991">
        <v>58.71</v>
      </c>
      <c r="AE2991" t="s">
        <v>2915</v>
      </c>
      <c r="AF2991">
        <v>2.86</v>
      </c>
      <c r="AG2991">
        <v>0</v>
      </c>
      <c r="AH2991">
        <v>0</v>
      </c>
      <c r="AI2991" s="4">
        <v>42706</v>
      </c>
    </row>
    <row r="2992" spans="1:35">
      <c r="A2992">
        <v>2991</v>
      </c>
      <c r="B2992" t="str">
        <f>"600290"</f>
        <v>600290</v>
      </c>
      <c r="C2992" t="s">
        <v>13007</v>
      </c>
      <c r="D2992" s="4">
        <v>43190</v>
      </c>
      <c r="E2992" t="s">
        <v>1903</v>
      </c>
      <c r="F2992" t="s">
        <v>1382</v>
      </c>
      <c r="G2992" t="s">
        <v>11852</v>
      </c>
      <c r="H2992">
        <v>0.01</v>
      </c>
      <c r="I2992">
        <v>5.48</v>
      </c>
      <c r="J2992">
        <v>0.11</v>
      </c>
      <c r="K2992" t="s">
        <v>293</v>
      </c>
      <c r="L2992">
        <v>4.8099999999999996</v>
      </c>
      <c r="M2992" t="s">
        <v>7677</v>
      </c>
      <c r="N2992" t="s">
        <v>8170</v>
      </c>
      <c r="O2992" t="s">
        <v>6429</v>
      </c>
      <c r="P2992" t="s">
        <v>10065</v>
      </c>
      <c r="Q2992">
        <v>203.9</v>
      </c>
      <c r="R2992" t="s">
        <v>1483</v>
      </c>
      <c r="S2992">
        <v>0.65</v>
      </c>
      <c r="T2992">
        <v>30.91</v>
      </c>
      <c r="U2992" t="s">
        <v>7536</v>
      </c>
      <c r="V2992" t="s">
        <v>5850</v>
      </c>
      <c r="W2992" t="s">
        <v>602</v>
      </c>
      <c r="X2992">
        <v>0.11</v>
      </c>
      <c r="Y2992" t="s">
        <v>907</v>
      </c>
      <c r="Z2992" t="s">
        <v>2499</v>
      </c>
      <c r="AA2992" t="s">
        <v>122</v>
      </c>
      <c r="AB2992">
        <v>1.79</v>
      </c>
      <c r="AC2992" t="s">
        <v>351</v>
      </c>
      <c r="AD2992">
        <v>56.48</v>
      </c>
      <c r="AE2992" t="s">
        <v>239</v>
      </c>
      <c r="AF2992">
        <v>3.62</v>
      </c>
      <c r="AG2992">
        <v>0</v>
      </c>
      <c r="AH2992">
        <v>0</v>
      </c>
      <c r="AI2992" s="4">
        <v>36836</v>
      </c>
    </row>
    <row r="2993" spans="1:35">
      <c r="A2993">
        <v>2992</v>
      </c>
      <c r="B2993" t="str">
        <f>"600119"</f>
        <v>600119</v>
      </c>
      <c r="C2993" t="s">
        <v>13008</v>
      </c>
      <c r="D2993" s="4">
        <v>43190</v>
      </c>
      <c r="E2993" t="s">
        <v>3297</v>
      </c>
      <c r="F2993" t="s">
        <v>3297</v>
      </c>
      <c r="G2993">
        <v>7123</v>
      </c>
      <c r="H2993">
        <v>0</v>
      </c>
      <c r="I2993">
        <v>2.06</v>
      </c>
      <c r="J2993">
        <v>0.11</v>
      </c>
      <c r="K2993" t="s">
        <v>91</v>
      </c>
      <c r="L2993">
        <v>-63.87</v>
      </c>
      <c r="M2993" t="s">
        <v>11824</v>
      </c>
      <c r="N2993" t="s">
        <v>13009</v>
      </c>
      <c r="O2993" t="s">
        <v>10065</v>
      </c>
      <c r="P2993" t="s">
        <v>13010</v>
      </c>
      <c r="Q2993">
        <v>-93.57</v>
      </c>
      <c r="R2993" t="s">
        <v>1349</v>
      </c>
      <c r="S2993">
        <v>0.37</v>
      </c>
      <c r="T2993">
        <v>13.01</v>
      </c>
      <c r="U2993" t="s">
        <v>187</v>
      </c>
      <c r="V2993" t="s">
        <v>295</v>
      </c>
      <c r="W2993" t="s">
        <v>330</v>
      </c>
      <c r="X2993">
        <v>0.11</v>
      </c>
      <c r="Y2993" t="s">
        <v>323</v>
      </c>
      <c r="Z2993" t="s">
        <v>1223</v>
      </c>
      <c r="AA2993" t="s">
        <v>5091</v>
      </c>
      <c r="AB2993">
        <v>4.1100000000000003</v>
      </c>
      <c r="AC2993" t="s">
        <v>1779</v>
      </c>
      <c r="AD2993">
        <v>33.6</v>
      </c>
      <c r="AE2993" t="s">
        <v>1672</v>
      </c>
      <c r="AF2993">
        <v>1.08</v>
      </c>
      <c r="AG2993">
        <v>0</v>
      </c>
      <c r="AH2993">
        <v>0</v>
      </c>
      <c r="AI2993" s="4">
        <v>35810</v>
      </c>
    </row>
    <row r="2994" spans="1:35">
      <c r="A2994">
        <v>2993</v>
      </c>
      <c r="B2994" t="str">
        <f>"300678"</f>
        <v>300678</v>
      </c>
      <c r="C2994" t="s">
        <v>13011</v>
      </c>
      <c r="D2994" s="4">
        <v>43190</v>
      </c>
      <c r="E2994" t="s">
        <v>2307</v>
      </c>
      <c r="F2994" t="s">
        <v>534</v>
      </c>
      <c r="G2994">
        <v>1176</v>
      </c>
      <c r="H2994">
        <v>0.01</v>
      </c>
      <c r="I2994">
        <v>5.25</v>
      </c>
      <c r="J2994">
        <v>0.11</v>
      </c>
      <c r="K2994" t="s">
        <v>10928</v>
      </c>
      <c r="L2994">
        <v>64.02</v>
      </c>
      <c r="M2994" t="s">
        <v>13012</v>
      </c>
      <c r="N2994" t="s">
        <v>13013</v>
      </c>
      <c r="O2994" t="s">
        <v>2605</v>
      </c>
      <c r="P2994" t="s">
        <v>13014</v>
      </c>
      <c r="Q2994">
        <v>151.12</v>
      </c>
      <c r="R2994" t="s">
        <v>657</v>
      </c>
      <c r="S2994">
        <v>1.39</v>
      </c>
      <c r="T2994">
        <v>20.67</v>
      </c>
      <c r="U2994" t="s">
        <v>1521</v>
      </c>
      <c r="V2994" t="s">
        <v>174</v>
      </c>
      <c r="W2994" t="s">
        <v>9885</v>
      </c>
      <c r="X2994">
        <v>0.11</v>
      </c>
      <c r="Y2994" t="s">
        <v>1016</v>
      </c>
      <c r="Z2994" t="s">
        <v>1974</v>
      </c>
      <c r="AA2994" t="s">
        <v>10019</v>
      </c>
      <c r="AB2994">
        <v>8.9</v>
      </c>
      <c r="AC2994" t="s">
        <v>1565</v>
      </c>
      <c r="AD2994">
        <v>78.53</v>
      </c>
      <c r="AE2994" t="s">
        <v>726</v>
      </c>
      <c r="AF2994">
        <v>2.58</v>
      </c>
      <c r="AG2994">
        <v>0</v>
      </c>
      <c r="AH2994">
        <v>0</v>
      </c>
      <c r="AI2994" s="4">
        <v>42944</v>
      </c>
    </row>
    <row r="2995" spans="1:35">
      <c r="A2995">
        <v>2994</v>
      </c>
      <c r="B2995" t="str">
        <f>"300643"</f>
        <v>300643</v>
      </c>
      <c r="C2995" t="s">
        <v>13015</v>
      </c>
      <c r="D2995" s="4">
        <v>43190</v>
      </c>
      <c r="E2995" t="s">
        <v>293</v>
      </c>
      <c r="F2995" t="s">
        <v>13016</v>
      </c>
      <c r="G2995">
        <v>2799</v>
      </c>
      <c r="H2995">
        <v>0</v>
      </c>
      <c r="I2995">
        <v>1.96</v>
      </c>
      <c r="J2995">
        <v>0.11</v>
      </c>
      <c r="K2995" t="s">
        <v>13017</v>
      </c>
      <c r="L2995">
        <v>-4.54</v>
      </c>
      <c r="M2995" t="s">
        <v>13018</v>
      </c>
      <c r="N2995" t="s">
        <v>5824</v>
      </c>
      <c r="O2995" t="s">
        <v>10694</v>
      </c>
      <c r="P2995" t="s">
        <v>13019</v>
      </c>
      <c r="Q2995">
        <v>-94.65</v>
      </c>
      <c r="R2995" t="s">
        <v>1906</v>
      </c>
      <c r="S2995">
        <v>0.23</v>
      </c>
      <c r="T2995">
        <v>26.56</v>
      </c>
      <c r="U2995" t="s">
        <v>347</v>
      </c>
      <c r="V2995" t="s">
        <v>1359</v>
      </c>
      <c r="W2995" t="s">
        <v>13020</v>
      </c>
      <c r="X2995">
        <v>0.11</v>
      </c>
      <c r="Y2995" t="s">
        <v>13021</v>
      </c>
      <c r="Z2995" t="s">
        <v>13022</v>
      </c>
      <c r="AA2995" t="s">
        <v>5916</v>
      </c>
      <c r="AB2995">
        <v>5.71</v>
      </c>
      <c r="AC2995" t="s">
        <v>2608</v>
      </c>
      <c r="AD2995">
        <v>85.21</v>
      </c>
      <c r="AE2995" t="s">
        <v>45</v>
      </c>
      <c r="AF2995">
        <v>0.66</v>
      </c>
      <c r="AG2995">
        <v>0</v>
      </c>
      <c r="AH2995">
        <v>0</v>
      </c>
      <c r="AI2995" s="4">
        <v>42860</v>
      </c>
    </row>
    <row r="2996" spans="1:35">
      <c r="A2996">
        <v>2995</v>
      </c>
      <c r="B2996" t="str">
        <f>"002428"</f>
        <v>002428</v>
      </c>
      <c r="C2996" t="s">
        <v>13023</v>
      </c>
      <c r="D2996" s="4">
        <v>43190</v>
      </c>
      <c r="E2996" t="s">
        <v>504</v>
      </c>
      <c r="F2996" t="s">
        <v>941</v>
      </c>
      <c r="G2996" t="s">
        <v>2258</v>
      </c>
      <c r="H2996">
        <v>0</v>
      </c>
      <c r="I2996">
        <v>2.27</v>
      </c>
      <c r="J2996">
        <v>0.11</v>
      </c>
      <c r="K2996" t="s">
        <v>651</v>
      </c>
      <c r="L2996">
        <v>26.22</v>
      </c>
      <c r="M2996" t="s">
        <v>2594</v>
      </c>
      <c r="N2996">
        <v>0</v>
      </c>
      <c r="O2996" t="s">
        <v>12983</v>
      </c>
      <c r="P2996" t="s">
        <v>2538</v>
      </c>
      <c r="Q2996">
        <v>18.82</v>
      </c>
      <c r="R2996" t="s">
        <v>104</v>
      </c>
      <c r="S2996">
        <v>0.64</v>
      </c>
      <c r="T2996">
        <v>26.95</v>
      </c>
      <c r="U2996" t="s">
        <v>183</v>
      </c>
      <c r="V2996" t="s">
        <v>3006</v>
      </c>
      <c r="W2996" t="s">
        <v>1998</v>
      </c>
      <c r="X2996">
        <v>0.11</v>
      </c>
      <c r="Y2996" t="s">
        <v>5614</v>
      </c>
      <c r="Z2996" t="s">
        <v>1124</v>
      </c>
      <c r="AA2996" t="s">
        <v>2411</v>
      </c>
      <c r="AB2996">
        <v>3.31</v>
      </c>
      <c r="AC2996" t="s">
        <v>141</v>
      </c>
      <c r="AD2996">
        <v>78.290000000000006</v>
      </c>
      <c r="AE2996" t="s">
        <v>593</v>
      </c>
      <c r="AF2996">
        <v>0.5</v>
      </c>
      <c r="AG2996">
        <v>0</v>
      </c>
      <c r="AH2996">
        <v>0</v>
      </c>
      <c r="AI2996" s="4">
        <v>40337</v>
      </c>
    </row>
    <row r="2997" spans="1:35">
      <c r="A2997">
        <v>2996</v>
      </c>
      <c r="B2997" t="str">
        <f>"002232"</f>
        <v>002232</v>
      </c>
      <c r="C2997" t="s">
        <v>13024</v>
      </c>
      <c r="D2997" s="4">
        <v>43190</v>
      </c>
      <c r="E2997" t="s">
        <v>1235</v>
      </c>
      <c r="F2997" t="s">
        <v>498</v>
      </c>
      <c r="G2997">
        <v>8508</v>
      </c>
      <c r="H2997">
        <v>0</v>
      </c>
      <c r="I2997">
        <v>2.56</v>
      </c>
      <c r="J2997">
        <v>0.11</v>
      </c>
      <c r="K2997" t="s">
        <v>1435</v>
      </c>
      <c r="L2997">
        <v>-15.07</v>
      </c>
      <c r="M2997" t="s">
        <v>11261</v>
      </c>
      <c r="N2997">
        <v>0</v>
      </c>
      <c r="O2997" t="s">
        <v>12763</v>
      </c>
      <c r="P2997" t="s">
        <v>7036</v>
      </c>
      <c r="Q2997">
        <v>-7.66</v>
      </c>
      <c r="R2997" t="s">
        <v>976</v>
      </c>
      <c r="S2997">
        <v>0.77</v>
      </c>
      <c r="T2997">
        <v>18.649999999999999</v>
      </c>
      <c r="U2997" t="s">
        <v>79</v>
      </c>
      <c r="V2997" t="s">
        <v>1307</v>
      </c>
      <c r="W2997" t="s">
        <v>342</v>
      </c>
      <c r="X2997">
        <v>0.11</v>
      </c>
      <c r="Y2997" t="s">
        <v>872</v>
      </c>
      <c r="Z2997" t="s">
        <v>1018</v>
      </c>
      <c r="AA2997" t="s">
        <v>13025</v>
      </c>
      <c r="AB2997">
        <v>2.99</v>
      </c>
      <c r="AC2997" t="s">
        <v>521</v>
      </c>
      <c r="AD2997">
        <v>61.65</v>
      </c>
      <c r="AE2997" t="s">
        <v>1995</v>
      </c>
      <c r="AF2997">
        <v>0.64</v>
      </c>
      <c r="AG2997">
        <v>0</v>
      </c>
      <c r="AH2997">
        <v>0</v>
      </c>
      <c r="AI2997" s="4">
        <v>39577</v>
      </c>
    </row>
    <row r="2998" spans="1:35">
      <c r="A2998">
        <v>2997</v>
      </c>
      <c r="B2998" t="str">
        <f>"601519"</f>
        <v>601519</v>
      </c>
      <c r="C2998" t="s">
        <v>13026</v>
      </c>
      <c r="D2998" s="4">
        <v>43190</v>
      </c>
      <c r="E2998" t="s">
        <v>119</v>
      </c>
      <c r="F2998" t="s">
        <v>119</v>
      </c>
      <c r="G2998" t="s">
        <v>1639</v>
      </c>
      <c r="H2998">
        <v>0</v>
      </c>
      <c r="I2998">
        <v>0.68</v>
      </c>
      <c r="J2998">
        <v>0.1</v>
      </c>
      <c r="K2998" t="s">
        <v>86</v>
      </c>
      <c r="L2998">
        <v>-12.04</v>
      </c>
      <c r="M2998" t="s">
        <v>6058</v>
      </c>
      <c r="N2998" t="s">
        <v>10288</v>
      </c>
      <c r="O2998" t="s">
        <v>3175</v>
      </c>
      <c r="P2998" t="s">
        <v>5049</v>
      </c>
      <c r="Q2998">
        <v>101.75</v>
      </c>
      <c r="R2998" t="s">
        <v>13027</v>
      </c>
      <c r="S2998">
        <v>-0.94</v>
      </c>
      <c r="T2998">
        <v>55.28</v>
      </c>
      <c r="U2998" t="s">
        <v>891</v>
      </c>
      <c r="V2998" t="s">
        <v>3570</v>
      </c>
      <c r="W2998" t="s">
        <v>2822</v>
      </c>
      <c r="X2998">
        <v>0.1</v>
      </c>
      <c r="Y2998" t="s">
        <v>1076</v>
      </c>
      <c r="Z2998" t="s">
        <v>1699</v>
      </c>
      <c r="AA2998" t="s">
        <v>66</v>
      </c>
      <c r="AB2998">
        <v>5.52</v>
      </c>
      <c r="AC2998" t="s">
        <v>1214</v>
      </c>
      <c r="AD2998">
        <v>72.56</v>
      </c>
      <c r="AE2998" t="s">
        <v>1033</v>
      </c>
      <c r="AF2998">
        <v>0.6</v>
      </c>
      <c r="AG2998">
        <v>0</v>
      </c>
      <c r="AH2998">
        <v>0</v>
      </c>
      <c r="AI2998" s="4">
        <v>40571</v>
      </c>
    </row>
    <row r="2999" spans="1:35">
      <c r="A2999">
        <v>2998</v>
      </c>
      <c r="B2999" t="str">
        <f>"600321"</f>
        <v>600321</v>
      </c>
      <c r="C2999" t="s">
        <v>13028</v>
      </c>
      <c r="D2999" s="4">
        <v>43190</v>
      </c>
      <c r="E2999" t="s">
        <v>547</v>
      </c>
      <c r="F2999" t="s">
        <v>547</v>
      </c>
      <c r="G2999" t="s">
        <v>1340</v>
      </c>
      <c r="H2999">
        <v>0</v>
      </c>
      <c r="I2999">
        <v>1.76</v>
      </c>
      <c r="J2999">
        <v>0.1</v>
      </c>
      <c r="K2999" t="s">
        <v>165</v>
      </c>
      <c r="L2999">
        <v>218.69</v>
      </c>
      <c r="M2999" t="s">
        <v>3581</v>
      </c>
      <c r="N2999" t="s">
        <v>13029</v>
      </c>
      <c r="O2999" t="s">
        <v>2720</v>
      </c>
      <c r="P2999" t="s">
        <v>10983</v>
      </c>
      <c r="Q2999">
        <v>114.13</v>
      </c>
      <c r="R2999" t="s">
        <v>11255</v>
      </c>
      <c r="S2999">
        <v>0.02</v>
      </c>
      <c r="T2999">
        <v>7.66</v>
      </c>
      <c r="U2999" t="s">
        <v>457</v>
      </c>
      <c r="V2999" t="s">
        <v>607</v>
      </c>
      <c r="W2999" t="s">
        <v>1052</v>
      </c>
      <c r="X2999">
        <v>0.1</v>
      </c>
      <c r="Y2999" t="s">
        <v>3769</v>
      </c>
      <c r="Z2999" t="s">
        <v>1794</v>
      </c>
      <c r="AA2999" t="s">
        <v>139</v>
      </c>
      <c r="AB2999">
        <v>0.91</v>
      </c>
      <c r="AC2999" t="s">
        <v>1308</v>
      </c>
      <c r="AD2999">
        <v>77.5</v>
      </c>
      <c r="AE2999" t="s">
        <v>1496</v>
      </c>
      <c r="AF2999">
        <v>0.68</v>
      </c>
      <c r="AG2999">
        <v>0</v>
      </c>
      <c r="AH2999">
        <v>0</v>
      </c>
      <c r="AI2999" s="4">
        <v>37035</v>
      </c>
    </row>
    <row r="3000" spans="1:35">
      <c r="A3000">
        <v>2999</v>
      </c>
      <c r="B3000" t="str">
        <f>"600212"</f>
        <v>600212</v>
      </c>
      <c r="C3000" t="s">
        <v>13030</v>
      </c>
      <c r="D3000" s="4">
        <v>43190</v>
      </c>
      <c r="E3000" t="s">
        <v>2255</v>
      </c>
      <c r="F3000" t="s">
        <v>2255</v>
      </c>
      <c r="G3000" t="s">
        <v>1440</v>
      </c>
      <c r="H3000">
        <v>0</v>
      </c>
      <c r="I3000">
        <v>1.48</v>
      </c>
      <c r="J3000">
        <v>0.1</v>
      </c>
      <c r="K3000" t="s">
        <v>13031</v>
      </c>
      <c r="L3000">
        <v>-21.02</v>
      </c>
      <c r="M3000" t="s">
        <v>3908</v>
      </c>
      <c r="N3000" t="s">
        <v>2623</v>
      </c>
      <c r="O3000" t="s">
        <v>13032</v>
      </c>
      <c r="P3000" t="s">
        <v>13032</v>
      </c>
      <c r="Q3000">
        <v>-84.26</v>
      </c>
      <c r="R3000" t="s">
        <v>13033</v>
      </c>
      <c r="S3000">
        <v>-0.63</v>
      </c>
      <c r="T3000">
        <v>14.7</v>
      </c>
      <c r="U3000" t="s">
        <v>3925</v>
      </c>
      <c r="V3000" t="s">
        <v>1489</v>
      </c>
      <c r="W3000" t="s">
        <v>443</v>
      </c>
      <c r="X3000">
        <v>0.1</v>
      </c>
      <c r="Y3000" t="s">
        <v>11924</v>
      </c>
      <c r="Z3000" t="s">
        <v>11924</v>
      </c>
      <c r="AA3000">
        <v>0</v>
      </c>
      <c r="AB3000">
        <v>3.78</v>
      </c>
      <c r="AC3000" t="s">
        <v>2358</v>
      </c>
      <c r="AD3000">
        <v>96.3</v>
      </c>
      <c r="AE3000" t="s">
        <v>735</v>
      </c>
      <c r="AF3000">
        <v>0.91</v>
      </c>
      <c r="AG3000">
        <v>0</v>
      </c>
      <c r="AH3000">
        <v>0</v>
      </c>
      <c r="AI3000" s="4">
        <v>36389</v>
      </c>
    </row>
    <row r="3001" spans="1:35">
      <c r="A3001">
        <v>3000</v>
      </c>
      <c r="B3001" t="str">
        <f>"002738"</f>
        <v>002738</v>
      </c>
      <c r="C3001" t="s">
        <v>13034</v>
      </c>
      <c r="D3001" s="4">
        <v>43190</v>
      </c>
      <c r="E3001" t="s">
        <v>255</v>
      </c>
      <c r="F3001" t="s">
        <v>1376</v>
      </c>
      <c r="G3001">
        <v>9338</v>
      </c>
      <c r="H3001">
        <v>0</v>
      </c>
      <c r="I3001">
        <v>3.54</v>
      </c>
      <c r="J3001">
        <v>0.1</v>
      </c>
      <c r="K3001" t="s">
        <v>600</v>
      </c>
      <c r="L3001">
        <v>45.17</v>
      </c>
      <c r="M3001" t="s">
        <v>9735</v>
      </c>
      <c r="N3001">
        <v>0</v>
      </c>
      <c r="O3001" t="s">
        <v>9999</v>
      </c>
      <c r="P3001" t="s">
        <v>13035</v>
      </c>
      <c r="Q3001">
        <v>73.14</v>
      </c>
      <c r="R3001" t="s">
        <v>338</v>
      </c>
      <c r="S3001">
        <v>2.1</v>
      </c>
      <c r="T3001">
        <v>29.96</v>
      </c>
      <c r="U3001" t="s">
        <v>1223</v>
      </c>
      <c r="V3001" t="s">
        <v>632</v>
      </c>
      <c r="W3001" t="s">
        <v>1624</v>
      </c>
      <c r="X3001">
        <v>0.1</v>
      </c>
      <c r="Y3001" t="s">
        <v>2953</v>
      </c>
      <c r="Z3001" t="s">
        <v>188</v>
      </c>
      <c r="AA3001" t="s">
        <v>71</v>
      </c>
      <c r="AB3001">
        <v>5.03</v>
      </c>
      <c r="AC3001" t="s">
        <v>1238</v>
      </c>
      <c r="AD3001">
        <v>62.53</v>
      </c>
      <c r="AE3001" t="s">
        <v>1511</v>
      </c>
      <c r="AF3001">
        <v>1.41</v>
      </c>
      <c r="AG3001">
        <v>0</v>
      </c>
      <c r="AH3001">
        <v>0</v>
      </c>
      <c r="AI3001" s="4">
        <v>42003</v>
      </c>
    </row>
    <row r="3002" spans="1:35">
      <c r="A3002">
        <v>3001</v>
      </c>
      <c r="B3002" t="str">
        <f>"002086"</f>
        <v>002086</v>
      </c>
      <c r="C3002" t="s">
        <v>13036</v>
      </c>
      <c r="D3002" s="4">
        <v>43190</v>
      </c>
      <c r="E3002" t="s">
        <v>2358</v>
      </c>
      <c r="F3002" t="s">
        <v>2685</v>
      </c>
      <c r="G3002" t="s">
        <v>3258</v>
      </c>
      <c r="H3002">
        <v>0</v>
      </c>
      <c r="I3002">
        <v>4.68</v>
      </c>
      <c r="J3002">
        <v>0.1</v>
      </c>
      <c r="K3002" t="s">
        <v>1936</v>
      </c>
      <c r="L3002">
        <v>8.4</v>
      </c>
      <c r="M3002" t="s">
        <v>11212</v>
      </c>
      <c r="N3002">
        <v>0</v>
      </c>
      <c r="O3002" t="s">
        <v>11212</v>
      </c>
      <c r="P3002" t="s">
        <v>2171</v>
      </c>
      <c r="Q3002">
        <v>12.73</v>
      </c>
      <c r="R3002" t="s">
        <v>2532</v>
      </c>
      <c r="S3002">
        <v>0.83</v>
      </c>
      <c r="T3002">
        <v>22.98</v>
      </c>
      <c r="U3002" t="s">
        <v>1517</v>
      </c>
      <c r="V3002" t="s">
        <v>516</v>
      </c>
      <c r="W3002" t="s">
        <v>350</v>
      </c>
      <c r="X3002">
        <v>0.1</v>
      </c>
      <c r="Y3002" t="s">
        <v>699</v>
      </c>
      <c r="Z3002" t="s">
        <v>4000</v>
      </c>
      <c r="AA3002" t="s">
        <v>4871</v>
      </c>
      <c r="AB3002">
        <v>1.43</v>
      </c>
      <c r="AC3002" t="s">
        <v>1350</v>
      </c>
      <c r="AD3002">
        <v>72.95</v>
      </c>
      <c r="AE3002" t="s">
        <v>1367</v>
      </c>
      <c r="AF3002">
        <v>2.74</v>
      </c>
      <c r="AG3002">
        <v>0</v>
      </c>
      <c r="AH3002">
        <v>0</v>
      </c>
      <c r="AI3002" s="4">
        <v>39049</v>
      </c>
    </row>
    <row r="3003" spans="1:35">
      <c r="A3003">
        <v>3002</v>
      </c>
      <c r="B3003" t="str">
        <f>"000020"</f>
        <v>000020</v>
      </c>
      <c r="C3003" t="s">
        <v>13037</v>
      </c>
      <c r="D3003" s="4">
        <v>43190</v>
      </c>
      <c r="E3003" t="s">
        <v>1067</v>
      </c>
      <c r="F3003" t="s">
        <v>1288</v>
      </c>
      <c r="G3003">
        <v>0</v>
      </c>
      <c r="H3003">
        <v>0</v>
      </c>
      <c r="I3003">
        <v>1.1299999999999999</v>
      </c>
      <c r="J3003">
        <v>0.1</v>
      </c>
      <c r="K3003" t="s">
        <v>1457</v>
      </c>
      <c r="L3003">
        <v>-10.54</v>
      </c>
      <c r="M3003" t="s">
        <v>13038</v>
      </c>
      <c r="N3003" t="s">
        <v>7401</v>
      </c>
      <c r="O3003" t="s">
        <v>7016</v>
      </c>
      <c r="P3003" t="s">
        <v>13039</v>
      </c>
      <c r="Q3003">
        <v>-27.02</v>
      </c>
      <c r="R3003" t="s">
        <v>13040</v>
      </c>
      <c r="S3003">
        <v>-0.66</v>
      </c>
      <c r="T3003">
        <v>11.01</v>
      </c>
      <c r="U3003" t="s">
        <v>494</v>
      </c>
      <c r="V3003" t="s">
        <v>1320</v>
      </c>
      <c r="W3003" t="s">
        <v>7994</v>
      </c>
      <c r="X3003">
        <v>0.1</v>
      </c>
      <c r="Y3003" t="s">
        <v>234</v>
      </c>
      <c r="Z3003" t="s">
        <v>234</v>
      </c>
      <c r="AA3003" t="s">
        <v>13041</v>
      </c>
      <c r="AB3003">
        <v>12.13</v>
      </c>
      <c r="AC3003" t="s">
        <v>559</v>
      </c>
      <c r="AD3003">
        <v>53.48</v>
      </c>
      <c r="AE3003" t="s">
        <v>745</v>
      </c>
      <c r="AF3003">
        <v>0.52</v>
      </c>
      <c r="AG3003" t="s">
        <v>533</v>
      </c>
      <c r="AH3003">
        <v>0</v>
      </c>
      <c r="AI3003" s="4">
        <v>33722</v>
      </c>
    </row>
    <row r="3004" spans="1:35">
      <c r="A3004">
        <v>3003</v>
      </c>
      <c r="B3004" t="str">
        <f>"603758"</f>
        <v>603758</v>
      </c>
      <c r="C3004" t="s">
        <v>13042</v>
      </c>
      <c r="D3004" s="4">
        <v>43190</v>
      </c>
      <c r="E3004" t="s">
        <v>142</v>
      </c>
      <c r="F3004" t="s">
        <v>45</v>
      </c>
      <c r="G3004">
        <v>2682</v>
      </c>
      <c r="H3004">
        <v>0.01</v>
      </c>
      <c r="I3004">
        <v>5.48</v>
      </c>
      <c r="J3004">
        <v>0.09</v>
      </c>
      <c r="K3004" t="s">
        <v>975</v>
      </c>
      <c r="L3004">
        <v>-37</v>
      </c>
      <c r="M3004" t="s">
        <v>5529</v>
      </c>
      <c r="N3004" t="s">
        <v>5894</v>
      </c>
      <c r="O3004" t="s">
        <v>2566</v>
      </c>
      <c r="P3004" t="s">
        <v>875</v>
      </c>
      <c r="Q3004">
        <v>-96.19</v>
      </c>
      <c r="R3004" t="s">
        <v>1033</v>
      </c>
      <c r="S3004">
        <v>2.58</v>
      </c>
      <c r="T3004">
        <v>10.33</v>
      </c>
      <c r="U3004" t="s">
        <v>512</v>
      </c>
      <c r="V3004" t="s">
        <v>840</v>
      </c>
      <c r="W3004" t="s">
        <v>2731</v>
      </c>
      <c r="X3004">
        <v>0.09</v>
      </c>
      <c r="Y3004" t="s">
        <v>595</v>
      </c>
      <c r="Z3004" t="s">
        <v>595</v>
      </c>
      <c r="AA3004">
        <v>0</v>
      </c>
      <c r="AB3004">
        <v>1.56</v>
      </c>
      <c r="AC3004" t="s">
        <v>1516</v>
      </c>
      <c r="AD3004">
        <v>94.84</v>
      </c>
      <c r="AE3004" t="s">
        <v>3716</v>
      </c>
      <c r="AF3004">
        <v>1.67</v>
      </c>
      <c r="AG3004">
        <v>0</v>
      </c>
      <c r="AH3004">
        <v>0</v>
      </c>
      <c r="AI3004" s="4">
        <v>42872</v>
      </c>
    </row>
    <row r="3005" spans="1:35">
      <c r="A3005">
        <v>3004</v>
      </c>
      <c r="B3005" t="str">
        <f>"601616"</f>
        <v>601616</v>
      </c>
      <c r="C3005" t="s">
        <v>13043</v>
      </c>
      <c r="D3005" s="4">
        <v>43190</v>
      </c>
      <c r="E3005" t="s">
        <v>6052</v>
      </c>
      <c r="F3005" t="s">
        <v>6052</v>
      </c>
      <c r="G3005" t="s">
        <v>2572</v>
      </c>
      <c r="H3005">
        <v>0</v>
      </c>
      <c r="I3005">
        <v>2.5299999999999998</v>
      </c>
      <c r="J3005">
        <v>0.09</v>
      </c>
      <c r="K3005" t="s">
        <v>993</v>
      </c>
      <c r="L3005">
        <v>-2.94</v>
      </c>
      <c r="M3005" t="s">
        <v>5044</v>
      </c>
      <c r="N3005" t="s">
        <v>13044</v>
      </c>
      <c r="O3005" t="s">
        <v>3460</v>
      </c>
      <c r="P3005" t="s">
        <v>11824</v>
      </c>
      <c r="Q3005">
        <v>52.91</v>
      </c>
      <c r="R3005" t="s">
        <v>13045</v>
      </c>
      <c r="S3005">
        <v>-0.02</v>
      </c>
      <c r="T3005">
        <v>26.11</v>
      </c>
      <c r="U3005" t="s">
        <v>1329</v>
      </c>
      <c r="V3005" t="s">
        <v>980</v>
      </c>
      <c r="W3005" t="s">
        <v>509</v>
      </c>
      <c r="X3005">
        <v>0.09</v>
      </c>
      <c r="Y3005" t="s">
        <v>2811</v>
      </c>
      <c r="Z3005" t="s">
        <v>2590</v>
      </c>
      <c r="AA3005" t="s">
        <v>13046</v>
      </c>
      <c r="AB3005">
        <v>1.1299999999999999</v>
      </c>
      <c r="AC3005" t="s">
        <v>2273</v>
      </c>
      <c r="AD3005">
        <v>83.45</v>
      </c>
      <c r="AE3005" t="s">
        <v>1214</v>
      </c>
      <c r="AF3005">
        <v>1.44</v>
      </c>
      <c r="AG3005">
        <v>0</v>
      </c>
      <c r="AH3005">
        <v>0</v>
      </c>
      <c r="AI3005" s="4">
        <v>40575</v>
      </c>
    </row>
    <row r="3006" spans="1:35">
      <c r="A3006">
        <v>3005</v>
      </c>
      <c r="B3006" t="str">
        <f>"600770"</f>
        <v>600770</v>
      </c>
      <c r="C3006" t="s">
        <v>13047</v>
      </c>
      <c r="D3006" s="4">
        <v>43190</v>
      </c>
      <c r="E3006" t="s">
        <v>1025</v>
      </c>
      <c r="F3006" t="s">
        <v>1025</v>
      </c>
      <c r="G3006" t="s">
        <v>5991</v>
      </c>
      <c r="H3006">
        <v>0</v>
      </c>
      <c r="I3006">
        <v>2.64</v>
      </c>
      <c r="J3006">
        <v>0.09</v>
      </c>
      <c r="K3006" t="s">
        <v>711</v>
      </c>
      <c r="L3006">
        <v>-0.91</v>
      </c>
      <c r="M3006" t="s">
        <v>497</v>
      </c>
      <c r="N3006" t="s">
        <v>7577</v>
      </c>
      <c r="O3006" t="s">
        <v>12254</v>
      </c>
      <c r="P3006" t="s">
        <v>6438</v>
      </c>
      <c r="Q3006">
        <v>-69.150000000000006</v>
      </c>
      <c r="R3006" t="s">
        <v>13048</v>
      </c>
      <c r="S3006">
        <v>-0.06</v>
      </c>
      <c r="T3006">
        <v>23.66</v>
      </c>
      <c r="U3006" t="s">
        <v>1713</v>
      </c>
      <c r="V3006" t="s">
        <v>1039</v>
      </c>
      <c r="W3006" t="s">
        <v>548</v>
      </c>
      <c r="X3006">
        <v>0.09</v>
      </c>
      <c r="Y3006" t="s">
        <v>162</v>
      </c>
      <c r="Z3006" t="s">
        <v>405</v>
      </c>
      <c r="AA3006" t="s">
        <v>1860</v>
      </c>
      <c r="AB3006">
        <v>2.17</v>
      </c>
      <c r="AC3006" t="s">
        <v>457</v>
      </c>
      <c r="AD3006">
        <v>54.84</v>
      </c>
      <c r="AE3006" t="s">
        <v>261</v>
      </c>
      <c r="AF3006">
        <v>1.71</v>
      </c>
      <c r="AG3006">
        <v>0</v>
      </c>
      <c r="AH3006">
        <v>0</v>
      </c>
      <c r="AI3006" s="4">
        <v>35389</v>
      </c>
    </row>
    <row r="3007" spans="1:35">
      <c r="A3007">
        <v>3006</v>
      </c>
      <c r="B3007" t="str">
        <f>"600732"</f>
        <v>600732</v>
      </c>
      <c r="C3007" t="s">
        <v>13049</v>
      </c>
      <c r="D3007" s="4">
        <v>43190</v>
      </c>
      <c r="E3007" t="s">
        <v>4044</v>
      </c>
      <c r="F3007" t="s">
        <v>4044</v>
      </c>
      <c r="G3007" t="s">
        <v>5386</v>
      </c>
      <c r="H3007">
        <v>0</v>
      </c>
      <c r="I3007">
        <v>1</v>
      </c>
      <c r="J3007">
        <v>0.09</v>
      </c>
      <c r="K3007" t="s">
        <v>10534</v>
      </c>
      <c r="L3007">
        <v>43.31</v>
      </c>
      <c r="M3007" t="s">
        <v>13050</v>
      </c>
      <c r="N3007">
        <v>0</v>
      </c>
      <c r="O3007" t="s">
        <v>13051</v>
      </c>
      <c r="P3007" t="s">
        <v>13052</v>
      </c>
      <c r="Q3007">
        <v>-98.53</v>
      </c>
      <c r="R3007" t="s">
        <v>13053</v>
      </c>
      <c r="S3007">
        <v>-0.08</v>
      </c>
      <c r="T3007">
        <v>-22.92</v>
      </c>
      <c r="U3007" t="s">
        <v>1565</v>
      </c>
      <c r="V3007" t="s">
        <v>1484</v>
      </c>
      <c r="W3007" t="s">
        <v>5927</v>
      </c>
      <c r="X3007">
        <v>0.09</v>
      </c>
      <c r="Y3007" t="s">
        <v>7758</v>
      </c>
      <c r="Z3007" t="s">
        <v>7758</v>
      </c>
      <c r="AA3007">
        <v>0</v>
      </c>
      <c r="AB3007">
        <v>5.21</v>
      </c>
      <c r="AC3007" t="s">
        <v>545</v>
      </c>
      <c r="AD3007">
        <v>85.39</v>
      </c>
      <c r="AE3007" t="s">
        <v>6948</v>
      </c>
      <c r="AF3007">
        <v>0.03</v>
      </c>
      <c r="AG3007">
        <v>0</v>
      </c>
      <c r="AH3007">
        <v>0</v>
      </c>
      <c r="AI3007" s="4">
        <v>35293</v>
      </c>
    </row>
    <row r="3008" spans="1:35">
      <c r="A3008">
        <v>3007</v>
      </c>
      <c r="B3008" t="str">
        <f>"300520"</f>
        <v>300520</v>
      </c>
      <c r="C3008" t="s">
        <v>13054</v>
      </c>
      <c r="D3008" s="4">
        <v>43190</v>
      </c>
      <c r="E3008" t="s">
        <v>1853</v>
      </c>
      <c r="F3008" t="s">
        <v>1349</v>
      </c>
      <c r="G3008">
        <v>4163</v>
      </c>
      <c r="H3008">
        <v>0</v>
      </c>
      <c r="I3008">
        <v>2.76</v>
      </c>
      <c r="J3008">
        <v>0.09</v>
      </c>
      <c r="K3008" t="s">
        <v>1525</v>
      </c>
      <c r="L3008">
        <v>7.29</v>
      </c>
      <c r="M3008" t="s">
        <v>7048</v>
      </c>
      <c r="N3008" t="s">
        <v>13055</v>
      </c>
      <c r="O3008" t="s">
        <v>7048</v>
      </c>
      <c r="P3008" t="s">
        <v>11767</v>
      </c>
      <c r="Q3008">
        <v>106.95</v>
      </c>
      <c r="R3008" t="s">
        <v>1288</v>
      </c>
      <c r="S3008">
        <v>0.87</v>
      </c>
      <c r="T3008">
        <v>40.729999999999997</v>
      </c>
      <c r="U3008" t="s">
        <v>602</v>
      </c>
      <c r="V3008" t="s">
        <v>1817</v>
      </c>
      <c r="W3008" t="s">
        <v>4927</v>
      </c>
      <c r="X3008">
        <v>0.09</v>
      </c>
      <c r="Y3008" t="s">
        <v>2111</v>
      </c>
      <c r="Z3008" t="s">
        <v>4427</v>
      </c>
      <c r="AA3008" t="s">
        <v>13056</v>
      </c>
      <c r="AB3008">
        <v>6.86</v>
      </c>
      <c r="AC3008" t="s">
        <v>1121</v>
      </c>
      <c r="AD3008">
        <v>51.07</v>
      </c>
      <c r="AE3008" t="s">
        <v>64</v>
      </c>
      <c r="AF3008">
        <v>0.81</v>
      </c>
      <c r="AG3008">
        <v>0</v>
      </c>
      <c r="AH3008">
        <v>0</v>
      </c>
      <c r="AI3008" s="4">
        <v>42559</v>
      </c>
    </row>
    <row r="3009" spans="1:35">
      <c r="A3009">
        <v>3008</v>
      </c>
      <c r="B3009" t="str">
        <f>"300229"</f>
        <v>300229</v>
      </c>
      <c r="C3009" t="s">
        <v>13057</v>
      </c>
      <c r="D3009" s="4">
        <v>43190</v>
      </c>
      <c r="E3009" t="s">
        <v>2686</v>
      </c>
      <c r="F3009" t="s">
        <v>922</v>
      </c>
      <c r="G3009" t="s">
        <v>2221</v>
      </c>
      <c r="H3009">
        <v>0</v>
      </c>
      <c r="I3009">
        <v>3.79</v>
      </c>
      <c r="J3009">
        <v>0.09</v>
      </c>
      <c r="K3009" t="s">
        <v>1203</v>
      </c>
      <c r="L3009">
        <v>31.11</v>
      </c>
      <c r="M3009" t="s">
        <v>4566</v>
      </c>
      <c r="N3009" t="s">
        <v>13058</v>
      </c>
      <c r="O3009" t="s">
        <v>2011</v>
      </c>
      <c r="P3009" t="s">
        <v>2075</v>
      </c>
      <c r="Q3009">
        <v>133.34</v>
      </c>
      <c r="R3009" t="s">
        <v>5080</v>
      </c>
      <c r="S3009">
        <v>1.38</v>
      </c>
      <c r="T3009">
        <v>52.65</v>
      </c>
      <c r="U3009" t="s">
        <v>789</v>
      </c>
      <c r="V3009" t="s">
        <v>1496</v>
      </c>
      <c r="W3009" t="s">
        <v>552</v>
      </c>
      <c r="X3009">
        <v>0.09</v>
      </c>
      <c r="Y3009" t="s">
        <v>121</v>
      </c>
      <c r="Z3009" t="s">
        <v>296</v>
      </c>
      <c r="AA3009" t="s">
        <v>12594</v>
      </c>
      <c r="AB3009">
        <v>4.1900000000000004</v>
      </c>
      <c r="AC3009" t="s">
        <v>757</v>
      </c>
      <c r="AD3009">
        <v>82.88</v>
      </c>
      <c r="AE3009" t="s">
        <v>3900</v>
      </c>
      <c r="AF3009">
        <v>1.32</v>
      </c>
      <c r="AG3009">
        <v>0</v>
      </c>
      <c r="AH3009">
        <v>0</v>
      </c>
      <c r="AI3009" s="4">
        <v>40709</v>
      </c>
    </row>
    <row r="3010" spans="1:35">
      <c r="A3010">
        <v>3009</v>
      </c>
      <c r="B3010" t="str">
        <f>"002639"</f>
        <v>002639</v>
      </c>
      <c r="C3010" t="s">
        <v>13059</v>
      </c>
      <c r="D3010" s="4">
        <v>43190</v>
      </c>
      <c r="E3010" t="s">
        <v>2089</v>
      </c>
      <c r="F3010" t="s">
        <v>1563</v>
      </c>
      <c r="G3010" t="s">
        <v>708</v>
      </c>
      <c r="H3010">
        <v>0</v>
      </c>
      <c r="I3010">
        <v>3.32</v>
      </c>
      <c r="J3010">
        <v>0.09</v>
      </c>
      <c r="K3010" t="s">
        <v>986</v>
      </c>
      <c r="L3010">
        <v>26.17</v>
      </c>
      <c r="M3010" t="s">
        <v>4977</v>
      </c>
      <c r="N3010" t="s">
        <v>791</v>
      </c>
      <c r="O3010" t="s">
        <v>13060</v>
      </c>
      <c r="P3010" t="s">
        <v>5255</v>
      </c>
      <c r="Q3010">
        <v>52.48</v>
      </c>
      <c r="R3010" t="s">
        <v>863</v>
      </c>
      <c r="S3010">
        <v>0.23</v>
      </c>
      <c r="T3010">
        <v>27.53</v>
      </c>
      <c r="U3010" t="s">
        <v>2498</v>
      </c>
      <c r="V3010" t="s">
        <v>80</v>
      </c>
      <c r="W3010" t="s">
        <v>3643</v>
      </c>
      <c r="X3010">
        <v>0.09</v>
      </c>
      <c r="Y3010" t="s">
        <v>405</v>
      </c>
      <c r="Z3010" t="s">
        <v>323</v>
      </c>
      <c r="AA3010" t="s">
        <v>1627</v>
      </c>
      <c r="AB3010">
        <v>1.96</v>
      </c>
      <c r="AC3010" t="s">
        <v>243</v>
      </c>
      <c r="AD3010">
        <v>63.45</v>
      </c>
      <c r="AE3010" t="s">
        <v>924</v>
      </c>
      <c r="AF3010">
        <v>1.98</v>
      </c>
      <c r="AG3010">
        <v>0</v>
      </c>
      <c r="AH3010">
        <v>0</v>
      </c>
      <c r="AI3010" s="4">
        <v>40882</v>
      </c>
    </row>
    <row r="3011" spans="1:35">
      <c r="A3011">
        <v>3010</v>
      </c>
      <c r="B3011" t="str">
        <f>"002431"</f>
        <v>002431</v>
      </c>
      <c r="C3011" t="s">
        <v>13061</v>
      </c>
      <c r="D3011" s="4">
        <v>43190</v>
      </c>
      <c r="E3011" t="s">
        <v>759</v>
      </c>
      <c r="F3011" t="s">
        <v>192</v>
      </c>
      <c r="G3011" t="s">
        <v>5650</v>
      </c>
      <c r="H3011">
        <v>0</v>
      </c>
      <c r="I3011">
        <v>3.66</v>
      </c>
      <c r="J3011">
        <v>0.09</v>
      </c>
      <c r="K3011" t="s">
        <v>1714</v>
      </c>
      <c r="L3011">
        <v>21.99</v>
      </c>
      <c r="M3011" t="s">
        <v>6563</v>
      </c>
      <c r="N3011" t="s">
        <v>1860</v>
      </c>
      <c r="O3011" t="s">
        <v>13062</v>
      </c>
      <c r="P3011" t="s">
        <v>10963</v>
      </c>
      <c r="Q3011">
        <v>109.64</v>
      </c>
      <c r="R3011" t="s">
        <v>759</v>
      </c>
      <c r="S3011">
        <v>0.98</v>
      </c>
      <c r="T3011">
        <v>11.43</v>
      </c>
      <c r="U3011" t="s">
        <v>1540</v>
      </c>
      <c r="V3011" t="s">
        <v>2066</v>
      </c>
      <c r="W3011" t="s">
        <v>1162</v>
      </c>
      <c r="X3011">
        <v>0.09</v>
      </c>
      <c r="Y3011" t="s">
        <v>1820</v>
      </c>
      <c r="Z3011" t="s">
        <v>1030</v>
      </c>
      <c r="AA3011" t="s">
        <v>1920</v>
      </c>
      <c r="AB3011">
        <v>1.83</v>
      </c>
      <c r="AC3011" t="s">
        <v>1674</v>
      </c>
      <c r="AD3011">
        <v>34.01</v>
      </c>
      <c r="AE3011" t="s">
        <v>1039</v>
      </c>
      <c r="AF3011">
        <v>1.56</v>
      </c>
      <c r="AG3011">
        <v>0</v>
      </c>
      <c r="AH3011">
        <v>0</v>
      </c>
      <c r="AI3011" s="4">
        <v>40339</v>
      </c>
    </row>
    <row r="3012" spans="1:35">
      <c r="A3012">
        <v>3011</v>
      </c>
      <c r="B3012" t="str">
        <f>"002379"</f>
        <v>002379</v>
      </c>
      <c r="C3012" t="s">
        <v>13063</v>
      </c>
      <c r="D3012" s="4">
        <v>43190</v>
      </c>
      <c r="E3012" t="s">
        <v>2383</v>
      </c>
      <c r="F3012" t="s">
        <v>1058</v>
      </c>
      <c r="G3012" t="s">
        <v>6659</v>
      </c>
      <c r="H3012">
        <v>0</v>
      </c>
      <c r="I3012">
        <v>1.35</v>
      </c>
      <c r="J3012">
        <v>0.09</v>
      </c>
      <c r="K3012" t="s">
        <v>2551</v>
      </c>
      <c r="L3012">
        <v>3.4</v>
      </c>
      <c r="M3012" t="s">
        <v>13064</v>
      </c>
      <c r="N3012">
        <v>0</v>
      </c>
      <c r="O3012" t="s">
        <v>7036</v>
      </c>
      <c r="P3012" t="s">
        <v>7036</v>
      </c>
      <c r="Q3012">
        <v>-94.97</v>
      </c>
      <c r="R3012" t="s">
        <v>13065</v>
      </c>
      <c r="S3012">
        <v>-0.28000000000000003</v>
      </c>
      <c r="T3012">
        <v>1.8</v>
      </c>
      <c r="U3012" t="s">
        <v>1214</v>
      </c>
      <c r="V3012" t="s">
        <v>1394</v>
      </c>
      <c r="W3012" t="s">
        <v>452</v>
      </c>
      <c r="X3012">
        <v>0.09</v>
      </c>
      <c r="Y3012" t="s">
        <v>1119</v>
      </c>
      <c r="Z3012" t="s">
        <v>1119</v>
      </c>
      <c r="AA3012">
        <v>0</v>
      </c>
      <c r="AB3012">
        <v>2.52</v>
      </c>
      <c r="AC3012" t="s">
        <v>300</v>
      </c>
      <c r="AD3012">
        <v>92.29</v>
      </c>
      <c r="AE3012" t="s">
        <v>2304</v>
      </c>
      <c r="AF3012">
        <v>0.61</v>
      </c>
      <c r="AG3012">
        <v>0</v>
      </c>
      <c r="AH3012">
        <v>0</v>
      </c>
      <c r="AI3012" s="4">
        <v>40268</v>
      </c>
    </row>
    <row r="3013" spans="1:35">
      <c r="A3013">
        <v>3012</v>
      </c>
      <c r="B3013" t="str">
        <f>"002310"</f>
        <v>002310</v>
      </c>
      <c r="C3013" t="s">
        <v>13066</v>
      </c>
      <c r="D3013" s="4">
        <v>43190</v>
      </c>
      <c r="E3013" t="s">
        <v>2100</v>
      </c>
      <c r="F3013" t="s">
        <v>1062</v>
      </c>
      <c r="G3013" t="s">
        <v>4074</v>
      </c>
      <c r="H3013">
        <v>0</v>
      </c>
      <c r="I3013">
        <v>4.22</v>
      </c>
      <c r="J3013">
        <v>0.09</v>
      </c>
      <c r="K3013" t="s">
        <v>2542</v>
      </c>
      <c r="L3013">
        <v>106.65</v>
      </c>
      <c r="M3013" t="s">
        <v>12676</v>
      </c>
      <c r="N3013" t="s">
        <v>13067</v>
      </c>
      <c r="O3013" t="s">
        <v>10127</v>
      </c>
      <c r="P3013" t="s">
        <v>8911</v>
      </c>
      <c r="Q3013">
        <v>127.81</v>
      </c>
      <c r="R3013" t="s">
        <v>2868</v>
      </c>
      <c r="S3013">
        <v>2.33</v>
      </c>
      <c r="T3013">
        <v>28.95</v>
      </c>
      <c r="U3013" t="s">
        <v>4454</v>
      </c>
      <c r="V3013" t="s">
        <v>2543</v>
      </c>
      <c r="W3013" t="s">
        <v>1678</v>
      </c>
      <c r="X3013">
        <v>0.09</v>
      </c>
      <c r="Y3013" t="s">
        <v>4461</v>
      </c>
      <c r="Z3013" t="s">
        <v>3242</v>
      </c>
      <c r="AA3013" t="s">
        <v>1700</v>
      </c>
      <c r="AB3013">
        <v>3.56</v>
      </c>
      <c r="AC3013" t="s">
        <v>466</v>
      </c>
      <c r="AD3013">
        <v>29.53</v>
      </c>
      <c r="AE3013" t="s">
        <v>1678</v>
      </c>
      <c r="AF3013">
        <v>0.66</v>
      </c>
      <c r="AG3013">
        <v>0</v>
      </c>
      <c r="AH3013">
        <v>0</v>
      </c>
      <c r="AI3013" s="4">
        <v>40144</v>
      </c>
    </row>
    <row r="3014" spans="1:35">
      <c r="A3014">
        <v>3013</v>
      </c>
      <c r="B3014" t="str">
        <f>"002151"</f>
        <v>002151</v>
      </c>
      <c r="C3014" t="s">
        <v>13068</v>
      </c>
      <c r="D3014" s="4">
        <v>43190</v>
      </c>
      <c r="E3014" t="s">
        <v>647</v>
      </c>
      <c r="F3014" t="s">
        <v>258</v>
      </c>
      <c r="G3014">
        <v>3258</v>
      </c>
      <c r="H3014">
        <v>0.01</v>
      </c>
      <c r="I3014">
        <v>8.43</v>
      </c>
      <c r="J3014">
        <v>0.09</v>
      </c>
      <c r="K3014" t="s">
        <v>857</v>
      </c>
      <c r="L3014">
        <v>91.64</v>
      </c>
      <c r="M3014" t="s">
        <v>5948</v>
      </c>
      <c r="N3014" t="s">
        <v>13069</v>
      </c>
      <c r="O3014" t="s">
        <v>1057</v>
      </c>
      <c r="P3014" t="s">
        <v>2469</v>
      </c>
      <c r="Q3014">
        <v>10.47</v>
      </c>
      <c r="R3014" t="s">
        <v>36</v>
      </c>
      <c r="S3014">
        <v>0.57999999999999996</v>
      </c>
      <c r="T3014">
        <v>26.36</v>
      </c>
      <c r="U3014" t="s">
        <v>1591</v>
      </c>
      <c r="V3014" t="s">
        <v>2238</v>
      </c>
      <c r="W3014" t="s">
        <v>494</v>
      </c>
      <c r="X3014">
        <v>0.09</v>
      </c>
      <c r="Y3014" t="s">
        <v>876</v>
      </c>
      <c r="Z3014" t="s">
        <v>187</v>
      </c>
      <c r="AA3014" t="s">
        <v>509</v>
      </c>
      <c r="AB3014">
        <v>2.9</v>
      </c>
      <c r="AC3014" t="s">
        <v>1170</v>
      </c>
      <c r="AD3014">
        <v>64.84</v>
      </c>
      <c r="AE3014" t="s">
        <v>940</v>
      </c>
      <c r="AF3014">
        <v>7.04</v>
      </c>
      <c r="AG3014">
        <v>0</v>
      </c>
      <c r="AH3014">
        <v>0</v>
      </c>
      <c r="AI3014" s="4">
        <v>39307</v>
      </c>
    </row>
    <row r="3015" spans="1:35">
      <c r="A3015">
        <v>3014</v>
      </c>
      <c r="B3015" t="str">
        <f>"600868"</f>
        <v>600868</v>
      </c>
      <c r="C3015" t="s">
        <v>13070</v>
      </c>
      <c r="D3015" s="4">
        <v>43190</v>
      </c>
      <c r="E3015" t="s">
        <v>183</v>
      </c>
      <c r="F3015" t="s">
        <v>183</v>
      </c>
      <c r="G3015">
        <v>5148</v>
      </c>
      <c r="H3015">
        <v>0</v>
      </c>
      <c r="I3015">
        <v>1.19</v>
      </c>
      <c r="J3015">
        <v>0.08</v>
      </c>
      <c r="K3015" t="s">
        <v>13071</v>
      </c>
      <c r="L3015">
        <v>-13.92</v>
      </c>
      <c r="M3015" t="s">
        <v>567</v>
      </c>
      <c r="N3015" t="s">
        <v>2508</v>
      </c>
      <c r="O3015" t="s">
        <v>8651</v>
      </c>
      <c r="P3015" t="s">
        <v>12416</v>
      </c>
      <c r="Q3015">
        <v>-79.17</v>
      </c>
      <c r="R3015" t="s">
        <v>13072</v>
      </c>
      <c r="S3015">
        <v>-0.05</v>
      </c>
      <c r="T3015">
        <v>26.48</v>
      </c>
      <c r="U3015" t="s">
        <v>440</v>
      </c>
      <c r="V3015" t="s">
        <v>1995</v>
      </c>
      <c r="W3015" t="s">
        <v>162</v>
      </c>
      <c r="X3015">
        <v>0.08</v>
      </c>
      <c r="Y3015" t="s">
        <v>13073</v>
      </c>
      <c r="Z3015" t="s">
        <v>12347</v>
      </c>
      <c r="AA3015" t="s">
        <v>8966</v>
      </c>
      <c r="AB3015">
        <v>2.59</v>
      </c>
      <c r="AC3015" t="s">
        <v>1029</v>
      </c>
      <c r="AD3015">
        <v>96.29</v>
      </c>
      <c r="AE3015" t="s">
        <v>623</v>
      </c>
      <c r="AF3015">
        <v>0.22</v>
      </c>
      <c r="AG3015">
        <v>0</v>
      </c>
      <c r="AH3015">
        <v>0</v>
      </c>
      <c r="AI3015" s="4">
        <v>34589</v>
      </c>
    </row>
    <row r="3016" spans="1:35">
      <c r="A3016">
        <v>3015</v>
      </c>
      <c r="B3016" t="str">
        <f>"600501"</f>
        <v>600501</v>
      </c>
      <c r="C3016" t="s">
        <v>13074</v>
      </c>
      <c r="D3016" s="4">
        <v>43190</v>
      </c>
      <c r="E3016" t="s">
        <v>202</v>
      </c>
      <c r="F3016" t="s">
        <v>48</v>
      </c>
      <c r="G3016">
        <v>9308</v>
      </c>
      <c r="H3016">
        <v>0</v>
      </c>
      <c r="I3016">
        <v>5.25</v>
      </c>
      <c r="J3016">
        <v>0.08</v>
      </c>
      <c r="K3016" t="s">
        <v>1295</v>
      </c>
      <c r="L3016">
        <v>2.14</v>
      </c>
      <c r="M3016" t="s">
        <v>13075</v>
      </c>
      <c r="N3016" t="s">
        <v>5255</v>
      </c>
      <c r="O3016" t="s">
        <v>631</v>
      </c>
      <c r="P3016" t="s">
        <v>10484</v>
      </c>
      <c r="Q3016">
        <v>497.6</v>
      </c>
      <c r="R3016" t="s">
        <v>470</v>
      </c>
      <c r="S3016">
        <v>0.55000000000000004</v>
      </c>
      <c r="T3016">
        <v>27.78</v>
      </c>
      <c r="U3016" t="s">
        <v>2694</v>
      </c>
      <c r="V3016" t="s">
        <v>370</v>
      </c>
      <c r="W3016" t="s">
        <v>6799</v>
      </c>
      <c r="X3016">
        <v>0.08</v>
      </c>
      <c r="Y3016" t="s">
        <v>1455</v>
      </c>
      <c r="Z3016" t="s">
        <v>908</v>
      </c>
      <c r="AA3016" t="s">
        <v>1067</v>
      </c>
      <c r="AB3016">
        <v>1.4</v>
      </c>
      <c r="AC3016" t="s">
        <v>1390</v>
      </c>
      <c r="AD3016">
        <v>52.34</v>
      </c>
      <c r="AE3016" t="s">
        <v>141</v>
      </c>
      <c r="AF3016">
        <v>3.5</v>
      </c>
      <c r="AG3016">
        <v>0</v>
      </c>
      <c r="AH3016">
        <v>0</v>
      </c>
      <c r="AI3016" s="4">
        <v>37057</v>
      </c>
    </row>
    <row r="3017" spans="1:35">
      <c r="A3017">
        <v>3016</v>
      </c>
      <c r="B3017" t="str">
        <f>"600206"</f>
        <v>600206</v>
      </c>
      <c r="C3017" t="s">
        <v>13076</v>
      </c>
      <c r="D3017" s="4">
        <v>43190</v>
      </c>
      <c r="E3017" t="s">
        <v>1173</v>
      </c>
      <c r="F3017" t="s">
        <v>1375</v>
      </c>
      <c r="G3017" t="s">
        <v>2449</v>
      </c>
      <c r="H3017">
        <v>0</v>
      </c>
      <c r="I3017">
        <v>3.38</v>
      </c>
      <c r="J3017">
        <v>0.08</v>
      </c>
      <c r="K3017" t="s">
        <v>1094</v>
      </c>
      <c r="L3017">
        <v>7.47</v>
      </c>
      <c r="M3017" t="s">
        <v>2476</v>
      </c>
      <c r="N3017" t="s">
        <v>3198</v>
      </c>
      <c r="O3017" t="s">
        <v>3693</v>
      </c>
      <c r="P3017" t="s">
        <v>6395</v>
      </c>
      <c r="Q3017">
        <v>-75.73</v>
      </c>
      <c r="R3017" t="s">
        <v>127</v>
      </c>
      <c r="S3017">
        <v>0.64</v>
      </c>
      <c r="T3017">
        <v>6.1</v>
      </c>
      <c r="U3017" t="s">
        <v>1127</v>
      </c>
      <c r="V3017" t="s">
        <v>1908</v>
      </c>
      <c r="W3017" t="s">
        <v>1402</v>
      </c>
      <c r="X3017">
        <v>0.08</v>
      </c>
      <c r="Y3017" t="s">
        <v>2751</v>
      </c>
      <c r="Z3017" t="s">
        <v>1999</v>
      </c>
      <c r="AA3017" t="s">
        <v>711</v>
      </c>
      <c r="AB3017">
        <v>2.5499999999999998</v>
      </c>
      <c r="AC3017" t="s">
        <v>2941</v>
      </c>
      <c r="AD3017">
        <v>84.17</v>
      </c>
      <c r="AE3017" t="s">
        <v>1384</v>
      </c>
      <c r="AF3017">
        <v>1.66</v>
      </c>
      <c r="AG3017">
        <v>0</v>
      </c>
      <c r="AH3017">
        <v>0</v>
      </c>
      <c r="AI3017" s="4">
        <v>36238</v>
      </c>
    </row>
    <row r="3018" spans="1:35">
      <c r="A3018">
        <v>3017</v>
      </c>
      <c r="B3018" t="str">
        <f>"300587"</f>
        <v>300587</v>
      </c>
      <c r="C3018" t="s">
        <v>13077</v>
      </c>
      <c r="D3018" s="4">
        <v>43190</v>
      </c>
      <c r="E3018" t="s">
        <v>1475</v>
      </c>
      <c r="F3018" t="s">
        <v>5223</v>
      </c>
      <c r="G3018">
        <v>3910</v>
      </c>
      <c r="H3018">
        <v>0.01</v>
      </c>
      <c r="I3018">
        <v>8.2200000000000006</v>
      </c>
      <c r="J3018">
        <v>0.08</v>
      </c>
      <c r="K3018" t="s">
        <v>12577</v>
      </c>
      <c r="L3018">
        <v>72.400000000000006</v>
      </c>
      <c r="M3018" t="s">
        <v>2473</v>
      </c>
      <c r="N3018" t="s">
        <v>12543</v>
      </c>
      <c r="O3018" t="s">
        <v>992</v>
      </c>
      <c r="P3018" t="s">
        <v>1840</v>
      </c>
      <c r="Q3018">
        <v>115.64</v>
      </c>
      <c r="R3018" t="s">
        <v>1999</v>
      </c>
      <c r="S3018">
        <v>2.21</v>
      </c>
      <c r="T3018">
        <v>45.7</v>
      </c>
      <c r="U3018" t="s">
        <v>392</v>
      </c>
      <c r="V3018" t="s">
        <v>3802</v>
      </c>
      <c r="W3018" t="s">
        <v>9862</v>
      </c>
      <c r="X3018">
        <v>0.08</v>
      </c>
      <c r="Y3018" t="s">
        <v>13078</v>
      </c>
      <c r="Z3018" t="s">
        <v>5885</v>
      </c>
      <c r="AA3018" t="s">
        <v>12029</v>
      </c>
      <c r="AB3018">
        <v>2.31</v>
      </c>
      <c r="AC3018" t="s">
        <v>4936</v>
      </c>
      <c r="AD3018">
        <v>89.05</v>
      </c>
      <c r="AE3018" t="s">
        <v>999</v>
      </c>
      <c r="AF3018">
        <v>4.7</v>
      </c>
      <c r="AG3018">
        <v>0</v>
      </c>
      <c r="AH3018">
        <v>0</v>
      </c>
      <c r="AI3018" s="4">
        <v>42740</v>
      </c>
    </row>
    <row r="3019" spans="1:35">
      <c r="A3019">
        <v>3018</v>
      </c>
      <c r="B3019" t="str">
        <f>"002594"</f>
        <v>002594</v>
      </c>
      <c r="C3019" t="s">
        <v>13079</v>
      </c>
      <c r="D3019" s="4">
        <v>43190</v>
      </c>
      <c r="E3019" t="s">
        <v>426</v>
      </c>
      <c r="F3019" t="s">
        <v>354</v>
      </c>
      <c r="G3019">
        <v>9623</v>
      </c>
      <c r="H3019">
        <v>0.04</v>
      </c>
      <c r="I3019">
        <v>18.75</v>
      </c>
      <c r="J3019">
        <v>0.08</v>
      </c>
      <c r="K3019" t="s">
        <v>1882</v>
      </c>
      <c r="L3019">
        <v>17.54</v>
      </c>
      <c r="M3019" t="s">
        <v>3535</v>
      </c>
      <c r="N3019" t="s">
        <v>13080</v>
      </c>
      <c r="O3019" t="s">
        <v>1152</v>
      </c>
      <c r="P3019" t="s">
        <v>533</v>
      </c>
      <c r="Q3019">
        <v>-83.09</v>
      </c>
      <c r="R3019" t="s">
        <v>5133</v>
      </c>
      <c r="S3019">
        <v>7.52</v>
      </c>
      <c r="T3019">
        <v>17.14</v>
      </c>
      <c r="U3019" t="s">
        <v>13081</v>
      </c>
      <c r="V3019" t="s">
        <v>13082</v>
      </c>
      <c r="W3019" t="s">
        <v>12492</v>
      </c>
      <c r="X3019">
        <v>0.08</v>
      </c>
      <c r="Y3019" t="s">
        <v>13083</v>
      </c>
      <c r="Z3019" t="s">
        <v>13084</v>
      </c>
      <c r="AA3019" t="s">
        <v>716</v>
      </c>
      <c r="AB3019">
        <v>2.4</v>
      </c>
      <c r="AC3019" t="s">
        <v>13085</v>
      </c>
      <c r="AD3019">
        <v>30.22</v>
      </c>
      <c r="AE3019" t="s">
        <v>3748</v>
      </c>
      <c r="AF3019">
        <v>8.9700000000000006</v>
      </c>
      <c r="AG3019">
        <v>0</v>
      </c>
      <c r="AH3019" t="s">
        <v>3290</v>
      </c>
      <c r="AI3019" s="4">
        <v>40724</v>
      </c>
    </row>
    <row r="3020" spans="1:35">
      <c r="A3020">
        <v>3019</v>
      </c>
      <c r="B3020" t="str">
        <f>"000882"</f>
        <v>000882</v>
      </c>
      <c r="C3020" t="s">
        <v>13086</v>
      </c>
      <c r="D3020" s="4">
        <v>43190</v>
      </c>
      <c r="E3020" t="s">
        <v>725</v>
      </c>
      <c r="F3020" t="s">
        <v>253</v>
      </c>
      <c r="G3020" t="s">
        <v>5991</v>
      </c>
      <c r="H3020">
        <v>0</v>
      </c>
      <c r="I3020">
        <v>2.84</v>
      </c>
      <c r="J3020">
        <v>0.08</v>
      </c>
      <c r="K3020" t="s">
        <v>2551</v>
      </c>
      <c r="L3020">
        <v>36.299999999999997</v>
      </c>
      <c r="M3020" t="s">
        <v>1564</v>
      </c>
      <c r="N3020" t="s">
        <v>13087</v>
      </c>
      <c r="O3020" t="s">
        <v>4221</v>
      </c>
      <c r="P3020" t="s">
        <v>4791</v>
      </c>
      <c r="Q3020">
        <v>-42.08</v>
      </c>
      <c r="R3020" t="s">
        <v>1457</v>
      </c>
      <c r="S3020">
        <v>0.06</v>
      </c>
      <c r="T3020">
        <v>45.03</v>
      </c>
      <c r="U3020" t="s">
        <v>229</v>
      </c>
      <c r="V3020" t="s">
        <v>1211</v>
      </c>
      <c r="W3020" t="s">
        <v>12417</v>
      </c>
      <c r="X3020">
        <v>0.08</v>
      </c>
      <c r="Y3020" t="s">
        <v>2390</v>
      </c>
      <c r="Z3020" t="s">
        <v>1219</v>
      </c>
      <c r="AA3020" t="s">
        <v>451</v>
      </c>
      <c r="AB3020">
        <v>0.92</v>
      </c>
      <c r="AC3020" t="s">
        <v>3458</v>
      </c>
      <c r="AD3020">
        <v>55.84</v>
      </c>
      <c r="AE3020" t="s">
        <v>1277</v>
      </c>
      <c r="AF3020">
        <v>1.7</v>
      </c>
      <c r="AG3020">
        <v>0</v>
      </c>
      <c r="AH3020">
        <v>0</v>
      </c>
      <c r="AI3020" s="4">
        <v>35962</v>
      </c>
    </row>
    <row r="3021" spans="1:35">
      <c r="A3021">
        <v>3020</v>
      </c>
      <c r="B3021" t="str">
        <f>"600169"</f>
        <v>600169</v>
      </c>
      <c r="C3021" t="s">
        <v>13088</v>
      </c>
      <c r="D3021" s="4">
        <v>43190</v>
      </c>
      <c r="E3021" t="s">
        <v>402</v>
      </c>
      <c r="F3021" t="s">
        <v>402</v>
      </c>
      <c r="G3021" t="s">
        <v>6102</v>
      </c>
      <c r="H3021">
        <v>0</v>
      </c>
      <c r="I3021">
        <v>1.61</v>
      </c>
      <c r="J3021">
        <v>7.0000000000000007E-2</v>
      </c>
      <c r="K3021" t="s">
        <v>973</v>
      </c>
      <c r="L3021">
        <v>-16.510000000000002</v>
      </c>
      <c r="M3021" t="s">
        <v>7507</v>
      </c>
      <c r="N3021">
        <v>0</v>
      </c>
      <c r="O3021" t="s">
        <v>13089</v>
      </c>
      <c r="P3021" t="s">
        <v>10445</v>
      </c>
      <c r="Q3021">
        <v>173.68</v>
      </c>
      <c r="R3021" t="s">
        <v>13090</v>
      </c>
      <c r="S3021">
        <v>-0.14000000000000001</v>
      </c>
      <c r="T3021">
        <v>31.58</v>
      </c>
      <c r="U3021" t="s">
        <v>2065</v>
      </c>
      <c r="V3021" t="s">
        <v>409</v>
      </c>
      <c r="W3021" t="s">
        <v>1427</v>
      </c>
      <c r="X3021">
        <v>7.0000000000000007E-2</v>
      </c>
      <c r="Y3021" t="s">
        <v>927</v>
      </c>
      <c r="Z3021" t="s">
        <v>2446</v>
      </c>
      <c r="AA3021" t="s">
        <v>5126</v>
      </c>
      <c r="AB3021">
        <v>1.39</v>
      </c>
      <c r="AC3021" t="s">
        <v>1443</v>
      </c>
      <c r="AD3021">
        <v>13.28</v>
      </c>
      <c r="AE3021" t="s">
        <v>1052</v>
      </c>
      <c r="AF3021">
        <v>0.64</v>
      </c>
      <c r="AG3021">
        <v>0</v>
      </c>
      <c r="AH3021">
        <v>0</v>
      </c>
      <c r="AI3021" s="4">
        <v>36042</v>
      </c>
    </row>
    <row r="3022" spans="1:35">
      <c r="A3022">
        <v>3021</v>
      </c>
      <c r="B3022" t="str">
        <f>"300250"</f>
        <v>300250</v>
      </c>
      <c r="C3022" t="s">
        <v>13091</v>
      </c>
      <c r="D3022" s="4">
        <v>43190</v>
      </c>
      <c r="E3022" t="s">
        <v>985</v>
      </c>
      <c r="F3022" t="s">
        <v>711</v>
      </c>
      <c r="G3022">
        <v>6740</v>
      </c>
      <c r="H3022">
        <v>0.01</v>
      </c>
      <c r="I3022">
        <v>7.14</v>
      </c>
      <c r="J3022">
        <v>7.0000000000000007E-2</v>
      </c>
      <c r="K3022" t="s">
        <v>1472</v>
      </c>
      <c r="L3022">
        <v>49.57</v>
      </c>
      <c r="M3022" t="s">
        <v>5003</v>
      </c>
      <c r="N3022">
        <v>0</v>
      </c>
      <c r="O3022" t="s">
        <v>12181</v>
      </c>
      <c r="P3022" t="s">
        <v>2473</v>
      </c>
      <c r="Q3022">
        <v>108.78</v>
      </c>
      <c r="R3022" t="s">
        <v>342</v>
      </c>
      <c r="S3022">
        <v>1.1299999999999999</v>
      </c>
      <c r="T3022">
        <v>61.96</v>
      </c>
      <c r="U3022" t="s">
        <v>510</v>
      </c>
      <c r="V3022" t="s">
        <v>7139</v>
      </c>
      <c r="W3022" t="s">
        <v>8207</v>
      </c>
      <c r="X3022">
        <v>7.0000000000000007E-2</v>
      </c>
      <c r="Y3022" t="s">
        <v>136</v>
      </c>
      <c r="Z3022" t="s">
        <v>382</v>
      </c>
      <c r="AA3022" t="s">
        <v>12402</v>
      </c>
      <c r="AB3022">
        <v>1.6</v>
      </c>
      <c r="AC3022" t="s">
        <v>115</v>
      </c>
      <c r="AD3022">
        <v>91.29</v>
      </c>
      <c r="AE3022" t="s">
        <v>323</v>
      </c>
      <c r="AF3022">
        <v>4.84</v>
      </c>
      <c r="AG3022">
        <v>0</v>
      </c>
      <c r="AH3022">
        <v>0</v>
      </c>
      <c r="AI3022" s="4">
        <v>40758</v>
      </c>
    </row>
    <row r="3023" spans="1:35">
      <c r="A3023">
        <v>3022</v>
      </c>
      <c r="B3023" t="str">
        <f>"002261"</f>
        <v>002261</v>
      </c>
      <c r="C3023" t="s">
        <v>13092</v>
      </c>
      <c r="D3023" s="4">
        <v>43190</v>
      </c>
      <c r="E3023" t="s">
        <v>323</v>
      </c>
      <c r="F3023" t="s">
        <v>59</v>
      </c>
      <c r="G3023" t="s">
        <v>4665</v>
      </c>
      <c r="H3023">
        <v>0</v>
      </c>
      <c r="I3023">
        <v>3.48</v>
      </c>
      <c r="J3023">
        <v>7.0000000000000007E-2</v>
      </c>
      <c r="K3023" t="s">
        <v>916</v>
      </c>
      <c r="L3023">
        <v>-19.72</v>
      </c>
      <c r="M3023" t="s">
        <v>8204</v>
      </c>
      <c r="N3023" t="s">
        <v>11371</v>
      </c>
      <c r="O3023" t="s">
        <v>2075</v>
      </c>
      <c r="P3023" t="s">
        <v>8630</v>
      </c>
      <c r="Q3023">
        <v>-96.25</v>
      </c>
      <c r="R3023" t="s">
        <v>869</v>
      </c>
      <c r="S3023">
        <v>0.69</v>
      </c>
      <c r="T3023">
        <v>51.22</v>
      </c>
      <c r="U3023" t="s">
        <v>527</v>
      </c>
      <c r="V3023" t="s">
        <v>538</v>
      </c>
      <c r="W3023" t="s">
        <v>844</v>
      </c>
      <c r="X3023">
        <v>7.0000000000000007E-2</v>
      </c>
      <c r="Y3023" t="s">
        <v>216</v>
      </c>
      <c r="Z3023" t="s">
        <v>1791</v>
      </c>
      <c r="AA3023" t="s">
        <v>345</v>
      </c>
      <c r="AB3023">
        <v>1.28</v>
      </c>
      <c r="AC3023" t="s">
        <v>113</v>
      </c>
      <c r="AD3023">
        <v>88.78</v>
      </c>
      <c r="AE3023" t="s">
        <v>702</v>
      </c>
      <c r="AF3023">
        <v>1.73</v>
      </c>
      <c r="AG3023">
        <v>0</v>
      </c>
      <c r="AH3023">
        <v>0</v>
      </c>
      <c r="AI3023" s="4">
        <v>39652</v>
      </c>
    </row>
    <row r="3024" spans="1:35">
      <c r="A3024">
        <v>3023</v>
      </c>
      <c r="B3024" t="str">
        <f>"603918"</f>
        <v>603918</v>
      </c>
      <c r="C3024" t="s">
        <v>13093</v>
      </c>
      <c r="D3024" s="4">
        <v>43190</v>
      </c>
      <c r="E3024" t="s">
        <v>345</v>
      </c>
      <c r="F3024" t="s">
        <v>1597</v>
      </c>
      <c r="G3024">
        <v>6354</v>
      </c>
      <c r="H3024">
        <v>0</v>
      </c>
      <c r="I3024">
        <v>2.99</v>
      </c>
      <c r="J3024">
        <v>0.06</v>
      </c>
      <c r="K3024" t="s">
        <v>11962</v>
      </c>
      <c r="L3024">
        <v>1.21</v>
      </c>
      <c r="M3024" t="s">
        <v>13094</v>
      </c>
      <c r="N3024" t="s">
        <v>9547</v>
      </c>
      <c r="O3024" t="s">
        <v>13094</v>
      </c>
      <c r="P3024" t="s">
        <v>12553</v>
      </c>
      <c r="Q3024">
        <v>108.1</v>
      </c>
      <c r="R3024" t="s">
        <v>37</v>
      </c>
      <c r="S3024">
        <v>1.03</v>
      </c>
      <c r="T3024">
        <v>33.520000000000003</v>
      </c>
      <c r="U3024" t="s">
        <v>1769</v>
      </c>
      <c r="V3024" t="s">
        <v>1238</v>
      </c>
      <c r="W3024" t="s">
        <v>13095</v>
      </c>
      <c r="X3024">
        <v>0.06</v>
      </c>
      <c r="Y3024" t="s">
        <v>1934</v>
      </c>
      <c r="Z3024" t="s">
        <v>1934</v>
      </c>
      <c r="AA3024">
        <v>0</v>
      </c>
      <c r="AB3024">
        <v>4.9800000000000004</v>
      </c>
      <c r="AC3024" t="s">
        <v>944</v>
      </c>
      <c r="AD3024">
        <v>56.99</v>
      </c>
      <c r="AE3024" t="s">
        <v>609</v>
      </c>
      <c r="AF3024">
        <v>0.95</v>
      </c>
      <c r="AG3024">
        <v>0</v>
      </c>
      <c r="AH3024">
        <v>0</v>
      </c>
      <c r="AI3024" s="4">
        <v>42152</v>
      </c>
    </row>
    <row r="3025" spans="1:35">
      <c r="A3025">
        <v>3024</v>
      </c>
      <c r="B3025" t="str">
        <f>"603628"</f>
        <v>603628</v>
      </c>
      <c r="C3025" t="s">
        <v>13096</v>
      </c>
      <c r="D3025" s="4">
        <v>43190</v>
      </c>
      <c r="E3025" t="s">
        <v>594</v>
      </c>
      <c r="F3025" t="s">
        <v>13097</v>
      </c>
      <c r="G3025">
        <v>3100</v>
      </c>
      <c r="H3025">
        <v>0.01</v>
      </c>
      <c r="I3025">
        <v>3.4</v>
      </c>
      <c r="J3025">
        <v>0.06</v>
      </c>
      <c r="K3025" t="s">
        <v>993</v>
      </c>
      <c r="L3025">
        <v>26.44</v>
      </c>
      <c r="M3025" t="s">
        <v>834</v>
      </c>
      <c r="N3025" t="s">
        <v>13098</v>
      </c>
      <c r="O3025" t="s">
        <v>12378</v>
      </c>
      <c r="P3025" t="s">
        <v>2874</v>
      </c>
      <c r="Q3025">
        <v>-74.86</v>
      </c>
      <c r="R3025" t="s">
        <v>1489</v>
      </c>
      <c r="S3025">
        <v>0.88</v>
      </c>
      <c r="T3025">
        <v>32.340000000000003</v>
      </c>
      <c r="U3025" t="s">
        <v>565</v>
      </c>
      <c r="V3025" t="s">
        <v>855</v>
      </c>
      <c r="W3025" t="s">
        <v>852</v>
      </c>
      <c r="X3025">
        <v>0.06</v>
      </c>
      <c r="Y3025" t="s">
        <v>926</v>
      </c>
      <c r="Z3025" t="s">
        <v>407</v>
      </c>
      <c r="AA3025" t="s">
        <v>4614</v>
      </c>
      <c r="AB3025">
        <v>3.02</v>
      </c>
      <c r="AC3025" t="s">
        <v>903</v>
      </c>
      <c r="AD3025">
        <v>41.42</v>
      </c>
      <c r="AE3025" t="s">
        <v>2953</v>
      </c>
      <c r="AF3025">
        <v>1.45</v>
      </c>
      <c r="AG3025">
        <v>0</v>
      </c>
      <c r="AH3025">
        <v>0</v>
      </c>
      <c r="AI3025" s="4">
        <v>42747</v>
      </c>
    </row>
    <row r="3026" spans="1:35">
      <c r="A3026">
        <v>3025</v>
      </c>
      <c r="B3026" t="str">
        <f>"600584"</f>
        <v>600584</v>
      </c>
      <c r="C3026" t="s">
        <v>13099</v>
      </c>
      <c r="D3026" s="4">
        <v>43190</v>
      </c>
      <c r="E3026" t="s">
        <v>350</v>
      </c>
      <c r="F3026" t="s">
        <v>2813</v>
      </c>
      <c r="G3026" t="s">
        <v>3064</v>
      </c>
      <c r="H3026">
        <v>0</v>
      </c>
      <c r="I3026">
        <v>6.71</v>
      </c>
      <c r="J3026">
        <v>0.06</v>
      </c>
      <c r="K3026" t="s">
        <v>1674</v>
      </c>
      <c r="L3026">
        <v>9.27</v>
      </c>
      <c r="M3026" t="s">
        <v>12161</v>
      </c>
      <c r="N3026" t="s">
        <v>5916</v>
      </c>
      <c r="O3026" t="s">
        <v>11138</v>
      </c>
      <c r="P3026" t="s">
        <v>12059</v>
      </c>
      <c r="Q3026">
        <v>-86.29</v>
      </c>
      <c r="R3026" t="s">
        <v>147</v>
      </c>
      <c r="S3026">
        <v>0.8</v>
      </c>
      <c r="T3026">
        <v>12.26</v>
      </c>
      <c r="U3026" t="s">
        <v>3563</v>
      </c>
      <c r="V3026" t="s">
        <v>2801</v>
      </c>
      <c r="W3026" t="s">
        <v>1894</v>
      </c>
      <c r="X3026">
        <v>0.06</v>
      </c>
      <c r="Y3026" t="s">
        <v>5133</v>
      </c>
      <c r="Z3026" t="s">
        <v>311</v>
      </c>
      <c r="AA3026" t="s">
        <v>836</v>
      </c>
      <c r="AB3026">
        <v>2.48</v>
      </c>
      <c r="AC3026" t="s">
        <v>4347</v>
      </c>
      <c r="AD3026">
        <v>30.76</v>
      </c>
      <c r="AE3026" t="s">
        <v>951</v>
      </c>
      <c r="AF3026">
        <v>5.07</v>
      </c>
      <c r="AG3026">
        <v>0</v>
      </c>
      <c r="AH3026">
        <v>0</v>
      </c>
      <c r="AI3026" s="4">
        <v>37775</v>
      </c>
    </row>
    <row r="3027" spans="1:35">
      <c r="A3027">
        <v>3026</v>
      </c>
      <c r="B3027" t="str">
        <f>"300352"</f>
        <v>300352</v>
      </c>
      <c r="C3027" t="s">
        <v>13100</v>
      </c>
      <c r="D3027" s="4">
        <v>43190</v>
      </c>
      <c r="E3027" t="s">
        <v>263</v>
      </c>
      <c r="F3027" t="s">
        <v>919</v>
      </c>
      <c r="G3027" t="s">
        <v>1105</v>
      </c>
      <c r="H3027">
        <v>0</v>
      </c>
      <c r="I3027">
        <v>1.52</v>
      </c>
      <c r="J3027">
        <v>0.06</v>
      </c>
      <c r="K3027" t="s">
        <v>13101</v>
      </c>
      <c r="L3027">
        <v>38.85</v>
      </c>
      <c r="M3027" t="s">
        <v>13102</v>
      </c>
      <c r="N3027" t="s">
        <v>2782</v>
      </c>
      <c r="O3027" t="s">
        <v>3615</v>
      </c>
      <c r="P3027" t="s">
        <v>1673</v>
      </c>
      <c r="Q3027">
        <v>48.82</v>
      </c>
      <c r="R3027" t="s">
        <v>133</v>
      </c>
      <c r="S3027">
        <v>0.26</v>
      </c>
      <c r="T3027">
        <v>84.64</v>
      </c>
      <c r="U3027" t="s">
        <v>1294</v>
      </c>
      <c r="V3027" t="s">
        <v>1255</v>
      </c>
      <c r="W3027" t="s">
        <v>2308</v>
      </c>
      <c r="X3027">
        <v>0.06</v>
      </c>
      <c r="Y3027" t="s">
        <v>1732</v>
      </c>
      <c r="Z3027" t="s">
        <v>1733</v>
      </c>
      <c r="AA3027" t="s">
        <v>12581</v>
      </c>
      <c r="AB3027">
        <v>2.38</v>
      </c>
      <c r="AC3027" t="s">
        <v>1390</v>
      </c>
      <c r="AD3027">
        <v>88.82</v>
      </c>
      <c r="AE3027" t="s">
        <v>167</v>
      </c>
      <c r="AF3027">
        <v>0.22</v>
      </c>
      <c r="AG3027">
        <v>0</v>
      </c>
      <c r="AH3027">
        <v>0</v>
      </c>
      <c r="AI3027" s="4">
        <v>41164</v>
      </c>
    </row>
    <row r="3028" spans="1:35">
      <c r="A3028">
        <v>3027</v>
      </c>
      <c r="B3028" t="str">
        <f>"300162"</f>
        <v>300162</v>
      </c>
      <c r="C3028" t="s">
        <v>13103</v>
      </c>
      <c r="D3028" s="4">
        <v>43190</v>
      </c>
      <c r="E3028" t="s">
        <v>218</v>
      </c>
      <c r="F3028" t="s">
        <v>66</v>
      </c>
      <c r="G3028">
        <v>8279</v>
      </c>
      <c r="H3028">
        <v>0</v>
      </c>
      <c r="I3028">
        <v>3.01</v>
      </c>
      <c r="J3028">
        <v>0.06</v>
      </c>
      <c r="K3028" t="s">
        <v>1936</v>
      </c>
      <c r="L3028">
        <v>9.09</v>
      </c>
      <c r="M3028" t="s">
        <v>13104</v>
      </c>
      <c r="N3028" t="s">
        <v>3493</v>
      </c>
      <c r="O3028" t="s">
        <v>13105</v>
      </c>
      <c r="P3028" t="s">
        <v>13106</v>
      </c>
      <c r="Q3028">
        <v>-91.96</v>
      </c>
      <c r="R3028" t="s">
        <v>4646</v>
      </c>
      <c r="S3028">
        <v>0.16</v>
      </c>
      <c r="T3028">
        <v>21.43</v>
      </c>
      <c r="U3028" t="s">
        <v>840</v>
      </c>
      <c r="V3028" t="s">
        <v>3603</v>
      </c>
      <c r="W3028" t="s">
        <v>284</v>
      </c>
      <c r="X3028">
        <v>0.06</v>
      </c>
      <c r="Y3028" t="s">
        <v>1264</v>
      </c>
      <c r="Z3028" t="s">
        <v>2769</v>
      </c>
      <c r="AA3028" t="s">
        <v>11208</v>
      </c>
      <c r="AB3028">
        <v>2.4</v>
      </c>
      <c r="AC3028" t="s">
        <v>1223</v>
      </c>
      <c r="AD3028">
        <v>82.96</v>
      </c>
      <c r="AE3028" t="s">
        <v>1491</v>
      </c>
      <c r="AF3028">
        <v>1.81</v>
      </c>
      <c r="AG3028">
        <v>0</v>
      </c>
      <c r="AH3028">
        <v>0</v>
      </c>
      <c r="AI3028" s="4">
        <v>40556</v>
      </c>
    </row>
    <row r="3029" spans="1:35">
      <c r="A3029">
        <v>3028</v>
      </c>
      <c r="B3029" t="str">
        <f>"002149"</f>
        <v>002149</v>
      </c>
      <c r="C3029" t="s">
        <v>13107</v>
      </c>
      <c r="D3029" s="4">
        <v>43190</v>
      </c>
      <c r="E3029" t="s">
        <v>599</v>
      </c>
      <c r="F3029" t="s">
        <v>599</v>
      </c>
      <c r="G3029" t="s">
        <v>915</v>
      </c>
      <c r="H3029">
        <v>0</v>
      </c>
      <c r="I3029">
        <v>4.09</v>
      </c>
      <c r="J3029">
        <v>0.06</v>
      </c>
      <c r="K3029" t="s">
        <v>1732</v>
      </c>
      <c r="L3029">
        <v>-12.15</v>
      </c>
      <c r="M3029" t="s">
        <v>13108</v>
      </c>
      <c r="N3029">
        <v>0</v>
      </c>
      <c r="O3029" t="s">
        <v>13109</v>
      </c>
      <c r="P3029" t="s">
        <v>8406</v>
      </c>
      <c r="Q3029">
        <v>214.14</v>
      </c>
      <c r="R3029" t="s">
        <v>13110</v>
      </c>
      <c r="S3029">
        <v>0.01</v>
      </c>
      <c r="T3029">
        <v>14.53</v>
      </c>
      <c r="U3029" t="s">
        <v>2694</v>
      </c>
      <c r="V3029" t="s">
        <v>1516</v>
      </c>
      <c r="W3029" t="s">
        <v>300</v>
      </c>
      <c r="X3029">
        <v>0.06</v>
      </c>
      <c r="Y3029" t="s">
        <v>1390</v>
      </c>
      <c r="Z3029" t="s">
        <v>833</v>
      </c>
      <c r="AA3029" t="s">
        <v>1898</v>
      </c>
      <c r="AB3029">
        <v>1.81</v>
      </c>
      <c r="AC3029" t="s">
        <v>1678</v>
      </c>
      <c r="AD3029">
        <v>42.12</v>
      </c>
      <c r="AE3029" t="s">
        <v>164</v>
      </c>
      <c r="AF3029">
        <v>2.97</v>
      </c>
      <c r="AG3029">
        <v>0</v>
      </c>
      <c r="AH3029">
        <v>0</v>
      </c>
      <c r="AI3029" s="4">
        <v>39304</v>
      </c>
    </row>
    <row r="3030" spans="1:35">
      <c r="A3030">
        <v>3029</v>
      </c>
      <c r="B3030" t="str">
        <f>"000949"</f>
        <v>000949</v>
      </c>
      <c r="C3030" t="s">
        <v>13111</v>
      </c>
      <c r="D3030" s="4">
        <v>43190</v>
      </c>
      <c r="E3030" t="s">
        <v>164</v>
      </c>
      <c r="F3030" t="s">
        <v>982</v>
      </c>
      <c r="G3030" t="s">
        <v>6050</v>
      </c>
      <c r="H3030">
        <v>0</v>
      </c>
      <c r="I3030">
        <v>2.82</v>
      </c>
      <c r="J3030">
        <v>0.06</v>
      </c>
      <c r="K3030" t="s">
        <v>1223</v>
      </c>
      <c r="L3030">
        <v>14.88</v>
      </c>
      <c r="M3030" t="s">
        <v>6750</v>
      </c>
      <c r="N3030" t="s">
        <v>13112</v>
      </c>
      <c r="O3030" t="s">
        <v>10136</v>
      </c>
      <c r="P3030" t="s">
        <v>6309</v>
      </c>
      <c r="Q3030">
        <v>-94.99</v>
      </c>
      <c r="R3030" t="s">
        <v>800</v>
      </c>
      <c r="S3030">
        <v>0.31</v>
      </c>
      <c r="T3030">
        <v>8.39</v>
      </c>
      <c r="U3030" t="s">
        <v>1253</v>
      </c>
      <c r="V3030" t="s">
        <v>865</v>
      </c>
      <c r="W3030" t="s">
        <v>1285</v>
      </c>
      <c r="X3030">
        <v>0.06</v>
      </c>
      <c r="Y3030" t="s">
        <v>249</v>
      </c>
      <c r="Z3030" t="s">
        <v>983</v>
      </c>
      <c r="AA3030" t="s">
        <v>1052</v>
      </c>
      <c r="AB3030">
        <v>1.03</v>
      </c>
      <c r="AC3030" t="s">
        <v>2093</v>
      </c>
      <c r="AD3030">
        <v>52.34</v>
      </c>
      <c r="AE3030" t="s">
        <v>115</v>
      </c>
      <c r="AF3030">
        <v>1.35</v>
      </c>
      <c r="AG3030">
        <v>0</v>
      </c>
      <c r="AH3030">
        <v>0</v>
      </c>
      <c r="AI3030" s="4">
        <v>36454</v>
      </c>
    </row>
    <row r="3031" spans="1:35">
      <c r="A3031">
        <v>3030</v>
      </c>
      <c r="B3031" t="str">
        <f>"000061"</f>
        <v>000061</v>
      </c>
      <c r="C3031" t="s">
        <v>13113</v>
      </c>
      <c r="D3031" s="4">
        <v>43190</v>
      </c>
      <c r="E3031" t="s">
        <v>820</v>
      </c>
      <c r="F3031" t="s">
        <v>820</v>
      </c>
      <c r="G3031" t="s">
        <v>7591</v>
      </c>
      <c r="H3031">
        <v>0</v>
      </c>
      <c r="I3031">
        <v>2.84</v>
      </c>
      <c r="J3031">
        <v>0.06</v>
      </c>
      <c r="K3031" t="s">
        <v>1799</v>
      </c>
      <c r="L3031">
        <v>-8.06</v>
      </c>
      <c r="M3031" t="s">
        <v>13114</v>
      </c>
      <c r="N3031" t="s">
        <v>3479</v>
      </c>
      <c r="O3031" t="s">
        <v>13115</v>
      </c>
      <c r="P3031" t="s">
        <v>2937</v>
      </c>
      <c r="Q3031">
        <v>-38.39</v>
      </c>
      <c r="R3031" t="s">
        <v>1287</v>
      </c>
      <c r="S3031">
        <v>0.13</v>
      </c>
      <c r="T3031">
        <v>39.26</v>
      </c>
      <c r="U3031" t="s">
        <v>2761</v>
      </c>
      <c r="V3031" t="s">
        <v>5550</v>
      </c>
      <c r="W3031" t="s">
        <v>1062</v>
      </c>
      <c r="X3031">
        <v>0.06</v>
      </c>
      <c r="Y3031" t="s">
        <v>465</v>
      </c>
      <c r="Z3031" t="s">
        <v>7088</v>
      </c>
      <c r="AA3031" t="s">
        <v>3645</v>
      </c>
      <c r="AB3031">
        <v>2.04</v>
      </c>
      <c r="AC3031" t="s">
        <v>5794</v>
      </c>
      <c r="AD3031">
        <v>25.12</v>
      </c>
      <c r="AE3031" t="s">
        <v>1308</v>
      </c>
      <c r="AF3031">
        <v>1.57</v>
      </c>
      <c r="AG3031">
        <v>0</v>
      </c>
      <c r="AH3031">
        <v>0</v>
      </c>
      <c r="AI3031" s="4">
        <v>35440</v>
      </c>
    </row>
    <row r="3032" spans="1:35">
      <c r="A3032">
        <v>3031</v>
      </c>
      <c r="B3032" t="str">
        <f>"600165"</f>
        <v>600165</v>
      </c>
      <c r="C3032" t="s">
        <v>13116</v>
      </c>
      <c r="D3032" s="4">
        <v>43190</v>
      </c>
      <c r="E3032" t="s">
        <v>2394</v>
      </c>
      <c r="F3032" t="s">
        <v>2394</v>
      </c>
      <c r="G3032" t="s">
        <v>2757</v>
      </c>
      <c r="H3032">
        <v>0</v>
      </c>
      <c r="I3032">
        <v>1.26</v>
      </c>
      <c r="J3032">
        <v>0.06</v>
      </c>
      <c r="K3032" t="s">
        <v>552</v>
      </c>
      <c r="L3032">
        <v>-31.27</v>
      </c>
      <c r="M3032" t="s">
        <v>13117</v>
      </c>
      <c r="N3032" t="s">
        <v>9688</v>
      </c>
      <c r="O3032" t="s">
        <v>5437</v>
      </c>
      <c r="P3032" t="s">
        <v>13118</v>
      </c>
      <c r="Q3032">
        <v>-69.34</v>
      </c>
      <c r="R3032" t="s">
        <v>13119</v>
      </c>
      <c r="S3032">
        <v>-0.28000000000000003</v>
      </c>
      <c r="T3032">
        <v>6.38</v>
      </c>
      <c r="U3032" t="s">
        <v>876</v>
      </c>
      <c r="V3032" t="s">
        <v>124</v>
      </c>
      <c r="W3032" t="s">
        <v>1855</v>
      </c>
      <c r="X3032">
        <v>0.06</v>
      </c>
      <c r="Y3032" t="s">
        <v>699</v>
      </c>
      <c r="Z3032" t="s">
        <v>699</v>
      </c>
      <c r="AA3032" t="s">
        <v>13120</v>
      </c>
      <c r="AB3032">
        <v>13.1</v>
      </c>
      <c r="AC3032" t="s">
        <v>102</v>
      </c>
      <c r="AD3032">
        <v>41.09</v>
      </c>
      <c r="AE3032" t="s">
        <v>678</v>
      </c>
      <c r="AF3032">
        <v>0.49</v>
      </c>
      <c r="AG3032">
        <v>0</v>
      </c>
      <c r="AH3032">
        <v>0</v>
      </c>
      <c r="AI3032" s="4">
        <v>35944</v>
      </c>
    </row>
    <row r="3033" spans="1:35">
      <c r="A3033">
        <v>3032</v>
      </c>
      <c r="B3033" t="str">
        <f>"300321"</f>
        <v>300321</v>
      </c>
      <c r="C3033" t="s">
        <v>13121</v>
      </c>
      <c r="D3033" s="4">
        <v>43190</v>
      </c>
      <c r="E3033" t="s">
        <v>13097</v>
      </c>
      <c r="F3033" t="s">
        <v>13122</v>
      </c>
      <c r="G3033">
        <v>9932</v>
      </c>
      <c r="H3033">
        <v>0</v>
      </c>
      <c r="I3033">
        <v>6.68</v>
      </c>
      <c r="J3033">
        <v>0.05</v>
      </c>
      <c r="K3033" t="s">
        <v>2878</v>
      </c>
      <c r="L3033">
        <v>-1.88</v>
      </c>
      <c r="M3033" t="s">
        <v>13123</v>
      </c>
      <c r="N3033">
        <v>0</v>
      </c>
      <c r="O3033" t="s">
        <v>13124</v>
      </c>
      <c r="P3033" t="s">
        <v>13125</v>
      </c>
      <c r="Q3033">
        <v>-92.85</v>
      </c>
      <c r="R3033" t="s">
        <v>1245</v>
      </c>
      <c r="S3033">
        <v>2.63</v>
      </c>
      <c r="T3033">
        <v>17.75</v>
      </c>
      <c r="U3033" t="s">
        <v>2637</v>
      </c>
      <c r="V3033" t="s">
        <v>340</v>
      </c>
      <c r="W3033" t="s">
        <v>531</v>
      </c>
      <c r="X3033">
        <v>0.05</v>
      </c>
      <c r="Y3033" t="s">
        <v>372</v>
      </c>
      <c r="Z3033" t="s">
        <v>1626</v>
      </c>
      <c r="AA3033" t="s">
        <v>6193</v>
      </c>
      <c r="AB3033">
        <v>2.09</v>
      </c>
      <c r="AC3033" t="s">
        <v>456</v>
      </c>
      <c r="AD3033">
        <v>81.38</v>
      </c>
      <c r="AE3033" t="s">
        <v>676</v>
      </c>
      <c r="AF3033">
        <v>2.68</v>
      </c>
      <c r="AG3033">
        <v>0</v>
      </c>
      <c r="AH3033">
        <v>0</v>
      </c>
      <c r="AI3033" s="4">
        <v>41052</v>
      </c>
    </row>
    <row r="3034" spans="1:35">
      <c r="A3034">
        <v>3033</v>
      </c>
      <c r="B3034" t="str">
        <f>"002414"</f>
        <v>002414</v>
      </c>
      <c r="C3034" t="s">
        <v>13126</v>
      </c>
      <c r="D3034" s="4">
        <v>43190</v>
      </c>
      <c r="E3034" t="s">
        <v>857</v>
      </c>
      <c r="F3034" t="s">
        <v>2685</v>
      </c>
      <c r="G3034" t="s">
        <v>6675</v>
      </c>
      <c r="H3034">
        <v>0</v>
      </c>
      <c r="I3034">
        <v>5.12</v>
      </c>
      <c r="J3034">
        <v>0.05</v>
      </c>
      <c r="K3034" t="s">
        <v>3111</v>
      </c>
      <c r="L3034">
        <v>34.43</v>
      </c>
      <c r="M3034" t="s">
        <v>13127</v>
      </c>
      <c r="N3034" t="s">
        <v>13128</v>
      </c>
      <c r="O3034" t="s">
        <v>5006</v>
      </c>
      <c r="P3034" t="s">
        <v>1570</v>
      </c>
      <c r="Q3034">
        <v>32.72</v>
      </c>
      <c r="R3034" t="s">
        <v>922</v>
      </c>
      <c r="S3034">
        <v>0.7</v>
      </c>
      <c r="T3034">
        <v>60.63</v>
      </c>
      <c r="U3034" t="s">
        <v>1322</v>
      </c>
      <c r="V3034" t="s">
        <v>2291</v>
      </c>
      <c r="W3034" t="s">
        <v>3234</v>
      </c>
      <c r="X3034">
        <v>0.05</v>
      </c>
      <c r="Y3034" t="s">
        <v>2443</v>
      </c>
      <c r="Z3034" t="s">
        <v>632</v>
      </c>
      <c r="AA3034" t="s">
        <v>13129</v>
      </c>
      <c r="AB3034">
        <v>2.52</v>
      </c>
      <c r="AC3034" t="s">
        <v>461</v>
      </c>
      <c r="AD3034">
        <v>79.8</v>
      </c>
      <c r="AE3034" t="s">
        <v>3356</v>
      </c>
      <c r="AF3034">
        <v>3.31</v>
      </c>
      <c r="AG3034">
        <v>0</v>
      </c>
      <c r="AH3034">
        <v>0</v>
      </c>
      <c r="AI3034" s="4">
        <v>40375</v>
      </c>
    </row>
    <row r="3035" spans="1:35">
      <c r="A3035">
        <v>3034</v>
      </c>
      <c r="B3035" t="str">
        <f>"600863"</f>
        <v>600863</v>
      </c>
      <c r="C3035" t="s">
        <v>13130</v>
      </c>
      <c r="D3035" s="4">
        <v>43190</v>
      </c>
      <c r="E3035" t="s">
        <v>1600</v>
      </c>
      <c r="F3035" t="s">
        <v>1600</v>
      </c>
      <c r="G3035" t="s">
        <v>5183</v>
      </c>
      <c r="H3035">
        <v>0</v>
      </c>
      <c r="I3035">
        <v>1.76</v>
      </c>
      <c r="J3035">
        <v>0.05</v>
      </c>
      <c r="K3035" t="s">
        <v>450</v>
      </c>
      <c r="L3035">
        <v>31.67</v>
      </c>
      <c r="M3035" t="s">
        <v>13131</v>
      </c>
      <c r="N3035" t="s">
        <v>13132</v>
      </c>
      <c r="O3035" t="s">
        <v>651</v>
      </c>
      <c r="P3035" t="s">
        <v>5925</v>
      </c>
      <c r="Q3035">
        <v>103.77</v>
      </c>
      <c r="R3035" t="s">
        <v>239</v>
      </c>
      <c r="S3035">
        <v>0.47</v>
      </c>
      <c r="T3035">
        <v>17.13</v>
      </c>
      <c r="U3035" t="s">
        <v>13133</v>
      </c>
      <c r="V3035" t="s">
        <v>1625</v>
      </c>
      <c r="W3035" t="s">
        <v>1814</v>
      </c>
      <c r="X3035">
        <v>0.05</v>
      </c>
      <c r="Y3035" t="s">
        <v>2858</v>
      </c>
      <c r="Z3035" t="s">
        <v>1784</v>
      </c>
      <c r="AA3035" t="s">
        <v>788</v>
      </c>
      <c r="AB3035">
        <v>1.28</v>
      </c>
      <c r="AC3035" t="s">
        <v>900</v>
      </c>
      <c r="AD3035">
        <v>24.93</v>
      </c>
      <c r="AE3035" t="s">
        <v>1855</v>
      </c>
      <c r="AF3035">
        <v>0.03</v>
      </c>
      <c r="AG3035">
        <v>0</v>
      </c>
      <c r="AH3035">
        <v>0</v>
      </c>
      <c r="AI3035" s="4">
        <v>34474</v>
      </c>
    </row>
    <row r="3036" spans="1:35">
      <c r="A3036">
        <v>3035</v>
      </c>
      <c r="B3036" t="str">
        <f>"603032"</f>
        <v>603032</v>
      </c>
      <c r="C3036" t="s">
        <v>13134</v>
      </c>
      <c r="D3036" s="4">
        <v>43190</v>
      </c>
      <c r="E3036" t="s">
        <v>45</v>
      </c>
      <c r="F3036" t="s">
        <v>9643</v>
      </c>
      <c r="G3036" t="s">
        <v>3219</v>
      </c>
      <c r="H3036">
        <v>0</v>
      </c>
      <c r="I3036">
        <v>3.25</v>
      </c>
      <c r="J3036">
        <v>0.04</v>
      </c>
      <c r="K3036" t="s">
        <v>13135</v>
      </c>
      <c r="L3036">
        <v>-33.49</v>
      </c>
      <c r="M3036">
        <v>-5011</v>
      </c>
      <c r="N3036" t="s">
        <v>3453</v>
      </c>
      <c r="O3036">
        <v>8628</v>
      </c>
      <c r="P3036" t="s">
        <v>13136</v>
      </c>
      <c r="Q3036">
        <v>-95.2</v>
      </c>
      <c r="R3036" t="s">
        <v>1038</v>
      </c>
      <c r="S3036">
        <v>0.97</v>
      </c>
      <c r="T3036">
        <v>30.36</v>
      </c>
      <c r="U3036" t="s">
        <v>1483</v>
      </c>
      <c r="V3036" t="s">
        <v>3027</v>
      </c>
      <c r="W3036" t="s">
        <v>13137</v>
      </c>
      <c r="X3036">
        <v>0.04</v>
      </c>
      <c r="Y3036" t="s">
        <v>7759</v>
      </c>
      <c r="Z3036" t="s">
        <v>13138</v>
      </c>
      <c r="AA3036" t="s">
        <v>9438</v>
      </c>
      <c r="AB3036">
        <v>5.23</v>
      </c>
      <c r="AC3036" t="s">
        <v>1209</v>
      </c>
      <c r="AD3036">
        <v>87.98</v>
      </c>
      <c r="AE3036" t="s">
        <v>1016</v>
      </c>
      <c r="AF3036">
        <v>1.08</v>
      </c>
      <c r="AG3036">
        <v>0</v>
      </c>
      <c r="AH3036">
        <v>0</v>
      </c>
      <c r="AI3036" s="4">
        <v>42740</v>
      </c>
    </row>
    <row r="3037" spans="1:35">
      <c r="A3037">
        <v>3036</v>
      </c>
      <c r="B3037" t="str">
        <f>"601099"</f>
        <v>601099</v>
      </c>
      <c r="C3037" t="s">
        <v>13139</v>
      </c>
      <c r="D3037" s="4">
        <v>43190</v>
      </c>
      <c r="E3037" t="s">
        <v>3852</v>
      </c>
      <c r="F3037" t="s">
        <v>979</v>
      </c>
      <c r="G3037" t="s">
        <v>3048</v>
      </c>
      <c r="H3037">
        <v>0</v>
      </c>
      <c r="I3037">
        <v>1.72</v>
      </c>
      <c r="J3037">
        <v>0.04</v>
      </c>
      <c r="K3037" t="s">
        <v>1578</v>
      </c>
      <c r="L3037">
        <v>112.54</v>
      </c>
      <c r="M3037" t="s">
        <v>13140</v>
      </c>
      <c r="N3037" t="s">
        <v>1038</v>
      </c>
      <c r="O3037" t="s">
        <v>5298</v>
      </c>
      <c r="P3037" t="s">
        <v>12059</v>
      </c>
      <c r="Q3037">
        <v>105.55</v>
      </c>
      <c r="R3037" t="s">
        <v>192</v>
      </c>
      <c r="S3037">
        <v>0.16</v>
      </c>
      <c r="T3037">
        <v>0</v>
      </c>
      <c r="U3037" t="s">
        <v>898</v>
      </c>
      <c r="V3037">
        <v>0</v>
      </c>
      <c r="W3037" t="s">
        <v>234</v>
      </c>
      <c r="X3037">
        <v>0.04</v>
      </c>
      <c r="Y3037" t="s">
        <v>7012</v>
      </c>
      <c r="Z3037">
        <v>0</v>
      </c>
      <c r="AA3037">
        <v>0</v>
      </c>
      <c r="AB3037">
        <v>1.34</v>
      </c>
      <c r="AC3037" t="s">
        <v>815</v>
      </c>
      <c r="AD3037">
        <v>24.62</v>
      </c>
      <c r="AE3037" t="s">
        <v>700</v>
      </c>
      <c r="AF3037">
        <v>0.41</v>
      </c>
      <c r="AG3037">
        <v>0</v>
      </c>
      <c r="AH3037">
        <v>0</v>
      </c>
      <c r="AI3037" s="4">
        <v>39444</v>
      </c>
    </row>
    <row r="3038" spans="1:35">
      <c r="A3038">
        <v>3037</v>
      </c>
      <c r="B3038" t="str">
        <f>"600604"</f>
        <v>600604</v>
      </c>
      <c r="C3038" t="s">
        <v>13141</v>
      </c>
      <c r="D3038" s="4">
        <v>43190</v>
      </c>
      <c r="E3038" t="s">
        <v>516</v>
      </c>
      <c r="F3038" t="s">
        <v>124</v>
      </c>
      <c r="G3038">
        <v>0</v>
      </c>
      <c r="H3038">
        <v>0</v>
      </c>
      <c r="I3038">
        <v>3.13</v>
      </c>
      <c r="J3038">
        <v>0.04</v>
      </c>
      <c r="K3038" t="s">
        <v>2115</v>
      </c>
      <c r="L3038">
        <v>54.18</v>
      </c>
      <c r="M3038" t="s">
        <v>13142</v>
      </c>
      <c r="N3038" t="s">
        <v>11357</v>
      </c>
      <c r="O3038" t="s">
        <v>13143</v>
      </c>
      <c r="P3038" t="s">
        <v>2880</v>
      </c>
      <c r="Q3038">
        <v>113.89</v>
      </c>
      <c r="R3038" t="s">
        <v>1589</v>
      </c>
      <c r="S3038">
        <v>0.46</v>
      </c>
      <c r="T3038">
        <v>45.61</v>
      </c>
      <c r="U3038" t="s">
        <v>1089</v>
      </c>
      <c r="V3038" t="s">
        <v>5269</v>
      </c>
      <c r="W3038" t="s">
        <v>9148</v>
      </c>
      <c r="X3038">
        <v>0.04</v>
      </c>
      <c r="Y3038" t="s">
        <v>1427</v>
      </c>
      <c r="Z3038" t="s">
        <v>119</v>
      </c>
      <c r="AA3038" t="s">
        <v>4052</v>
      </c>
      <c r="AB3038">
        <v>1.48</v>
      </c>
      <c r="AC3038" t="s">
        <v>8005</v>
      </c>
      <c r="AD3038">
        <v>49.14</v>
      </c>
      <c r="AE3038" t="s">
        <v>946</v>
      </c>
      <c r="AF3038">
        <v>1.65</v>
      </c>
      <c r="AG3038" t="s">
        <v>381</v>
      </c>
      <c r="AH3038">
        <v>0</v>
      </c>
      <c r="AI3038" s="4">
        <v>33690</v>
      </c>
    </row>
    <row r="3039" spans="1:35">
      <c r="A3039">
        <v>3038</v>
      </c>
      <c r="B3039" t="str">
        <f>"000957"</f>
        <v>000957</v>
      </c>
      <c r="C3039" t="s">
        <v>13144</v>
      </c>
      <c r="D3039" s="4">
        <v>43190</v>
      </c>
      <c r="E3039" t="s">
        <v>456</v>
      </c>
      <c r="F3039" t="s">
        <v>1806</v>
      </c>
      <c r="G3039">
        <v>7645</v>
      </c>
      <c r="H3039">
        <v>0</v>
      </c>
      <c r="I3039">
        <v>4.7</v>
      </c>
      <c r="J3039">
        <v>0.04</v>
      </c>
      <c r="K3039" t="s">
        <v>5703</v>
      </c>
      <c r="L3039">
        <v>-1.37</v>
      </c>
      <c r="M3039" t="s">
        <v>3109</v>
      </c>
      <c r="N3039" t="s">
        <v>5984</v>
      </c>
      <c r="O3039" t="s">
        <v>5090</v>
      </c>
      <c r="P3039" t="s">
        <v>6306</v>
      </c>
      <c r="Q3039">
        <v>-97.34</v>
      </c>
      <c r="R3039" t="s">
        <v>80</v>
      </c>
      <c r="S3039">
        <v>2.48</v>
      </c>
      <c r="T3039">
        <v>13</v>
      </c>
      <c r="U3039" t="s">
        <v>1745</v>
      </c>
      <c r="V3039" t="s">
        <v>1159</v>
      </c>
      <c r="W3039" t="s">
        <v>354</v>
      </c>
      <c r="X3039">
        <v>0.04</v>
      </c>
      <c r="Y3039" t="s">
        <v>12834</v>
      </c>
      <c r="Z3039" t="s">
        <v>6527</v>
      </c>
      <c r="AA3039" t="s">
        <v>263</v>
      </c>
      <c r="AB3039">
        <v>1.4</v>
      </c>
      <c r="AC3039" t="s">
        <v>502</v>
      </c>
      <c r="AD3039">
        <v>22.24</v>
      </c>
      <c r="AE3039" t="s">
        <v>3006</v>
      </c>
      <c r="AF3039">
        <v>0.81</v>
      </c>
      <c r="AG3039">
        <v>0</v>
      </c>
      <c r="AH3039">
        <v>0</v>
      </c>
      <c r="AI3039" s="4">
        <v>36538</v>
      </c>
    </row>
    <row r="3040" spans="1:35">
      <c r="A3040">
        <v>3039</v>
      </c>
      <c r="B3040" t="str">
        <f>"000925"</f>
        <v>000925</v>
      </c>
      <c r="C3040" t="s">
        <v>13145</v>
      </c>
      <c r="D3040" s="4">
        <v>43190</v>
      </c>
      <c r="E3040" t="s">
        <v>750</v>
      </c>
      <c r="F3040" t="s">
        <v>186</v>
      </c>
      <c r="G3040" t="s">
        <v>4389</v>
      </c>
      <c r="H3040">
        <v>0</v>
      </c>
      <c r="I3040">
        <v>5.86</v>
      </c>
      <c r="J3040">
        <v>0.04</v>
      </c>
      <c r="K3040" t="s">
        <v>145</v>
      </c>
      <c r="L3040">
        <v>85.48</v>
      </c>
      <c r="M3040" t="s">
        <v>13146</v>
      </c>
      <c r="N3040" t="s">
        <v>3524</v>
      </c>
      <c r="O3040" t="s">
        <v>3668</v>
      </c>
      <c r="P3040" t="s">
        <v>13147</v>
      </c>
      <c r="Q3040">
        <v>105.9</v>
      </c>
      <c r="R3040" t="s">
        <v>13148</v>
      </c>
      <c r="S3040">
        <v>-0.27</v>
      </c>
      <c r="T3040">
        <v>30.44</v>
      </c>
      <c r="U3040" t="s">
        <v>5646</v>
      </c>
      <c r="V3040" t="s">
        <v>356</v>
      </c>
      <c r="W3040" t="s">
        <v>344</v>
      </c>
      <c r="X3040">
        <v>0.04</v>
      </c>
      <c r="Y3040" t="s">
        <v>1174</v>
      </c>
      <c r="Z3040" t="s">
        <v>2499</v>
      </c>
      <c r="AA3040" t="s">
        <v>2674</v>
      </c>
      <c r="AB3040">
        <v>1.52</v>
      </c>
      <c r="AC3040" t="s">
        <v>316</v>
      </c>
      <c r="AD3040">
        <v>38.979999999999997</v>
      </c>
      <c r="AE3040" t="s">
        <v>712</v>
      </c>
      <c r="AF3040">
        <v>5.17</v>
      </c>
      <c r="AG3040">
        <v>0</v>
      </c>
      <c r="AH3040">
        <v>0</v>
      </c>
      <c r="AI3040" s="4">
        <v>36322</v>
      </c>
    </row>
    <row r="3041" spans="1:35">
      <c r="A3041">
        <v>3040</v>
      </c>
      <c r="B3041" t="str">
        <f>"000701"</f>
        <v>000701</v>
      </c>
      <c r="C3041" t="s">
        <v>13149</v>
      </c>
      <c r="D3041" s="4">
        <v>43190</v>
      </c>
      <c r="E3041" t="s">
        <v>48</v>
      </c>
      <c r="F3041" t="s">
        <v>2224</v>
      </c>
      <c r="G3041">
        <v>8405</v>
      </c>
      <c r="H3041">
        <v>0.08</v>
      </c>
      <c r="I3041">
        <v>7.8</v>
      </c>
      <c r="J3041">
        <v>0.04</v>
      </c>
      <c r="K3041" t="s">
        <v>1159</v>
      </c>
      <c r="L3041">
        <v>8.3699999999999992</v>
      </c>
      <c r="M3041" t="s">
        <v>6210</v>
      </c>
      <c r="N3041" t="s">
        <v>12438</v>
      </c>
      <c r="O3041" t="s">
        <v>8869</v>
      </c>
      <c r="P3041" t="s">
        <v>3721</v>
      </c>
      <c r="Q3041">
        <v>-25.91</v>
      </c>
      <c r="R3041" t="s">
        <v>1044</v>
      </c>
      <c r="S3041">
        <v>1.6</v>
      </c>
      <c r="T3041">
        <v>2.16</v>
      </c>
      <c r="U3041" t="s">
        <v>2446</v>
      </c>
      <c r="V3041" t="s">
        <v>1114</v>
      </c>
      <c r="W3041" t="s">
        <v>298</v>
      </c>
      <c r="X3041">
        <v>0.04</v>
      </c>
      <c r="Y3041" t="s">
        <v>788</v>
      </c>
      <c r="Z3041" t="s">
        <v>764</v>
      </c>
      <c r="AA3041" t="s">
        <v>368</v>
      </c>
      <c r="AB3041">
        <v>0.85</v>
      </c>
      <c r="AC3041" t="s">
        <v>952</v>
      </c>
      <c r="AD3041">
        <v>23.42</v>
      </c>
      <c r="AE3041" t="s">
        <v>1000</v>
      </c>
      <c r="AF3041">
        <v>4.91</v>
      </c>
      <c r="AG3041">
        <v>0</v>
      </c>
      <c r="AH3041">
        <v>0</v>
      </c>
      <c r="AI3041" s="4">
        <v>35487</v>
      </c>
    </row>
    <row r="3042" spans="1:35">
      <c r="A3042">
        <v>3041</v>
      </c>
      <c r="B3042" t="str">
        <f>"000678"</f>
        <v>000678</v>
      </c>
      <c r="C3042" t="s">
        <v>13150</v>
      </c>
      <c r="D3042" s="4">
        <v>43190</v>
      </c>
      <c r="E3042" t="s">
        <v>157</v>
      </c>
      <c r="F3042" t="s">
        <v>1706</v>
      </c>
      <c r="G3042" t="s">
        <v>3219</v>
      </c>
      <c r="H3042">
        <v>0</v>
      </c>
      <c r="I3042">
        <v>2.72</v>
      </c>
      <c r="J3042">
        <v>0.04</v>
      </c>
      <c r="K3042" t="s">
        <v>185</v>
      </c>
      <c r="L3042">
        <v>0.28999999999999998</v>
      </c>
      <c r="M3042" t="s">
        <v>1854</v>
      </c>
      <c r="N3042">
        <v>0</v>
      </c>
      <c r="O3042" t="s">
        <v>12968</v>
      </c>
      <c r="P3042" t="s">
        <v>13151</v>
      </c>
      <c r="Q3042">
        <v>-85.82</v>
      </c>
      <c r="R3042" t="s">
        <v>13152</v>
      </c>
      <c r="S3042">
        <v>-0.13</v>
      </c>
      <c r="T3042">
        <v>12.13</v>
      </c>
      <c r="U3042" t="s">
        <v>1252</v>
      </c>
      <c r="V3042" t="s">
        <v>926</v>
      </c>
      <c r="W3042" t="s">
        <v>192</v>
      </c>
      <c r="X3042">
        <v>0.04</v>
      </c>
      <c r="Y3042" t="s">
        <v>1062</v>
      </c>
      <c r="Z3042" t="s">
        <v>1307</v>
      </c>
      <c r="AA3042" t="s">
        <v>1402</v>
      </c>
      <c r="AB3042">
        <v>1.7</v>
      </c>
      <c r="AC3042" t="s">
        <v>300</v>
      </c>
      <c r="AD3042">
        <v>42.53</v>
      </c>
      <c r="AE3042" t="s">
        <v>3570</v>
      </c>
      <c r="AF3042">
        <v>1.68</v>
      </c>
      <c r="AG3042">
        <v>0</v>
      </c>
      <c r="AH3042">
        <v>0</v>
      </c>
      <c r="AI3042" s="4">
        <v>35436</v>
      </c>
    </row>
    <row r="3043" spans="1:35">
      <c r="A3043">
        <v>3042</v>
      </c>
      <c r="B3043" t="str">
        <f>"300345"</f>
        <v>300345</v>
      </c>
      <c r="C3043" t="s">
        <v>13153</v>
      </c>
      <c r="D3043" s="4">
        <v>43190</v>
      </c>
      <c r="E3043" t="s">
        <v>335</v>
      </c>
      <c r="F3043" t="s">
        <v>1400</v>
      </c>
      <c r="G3043">
        <v>9133</v>
      </c>
      <c r="H3043">
        <v>0</v>
      </c>
      <c r="I3043">
        <v>1.65</v>
      </c>
      <c r="J3043">
        <v>0.03</v>
      </c>
      <c r="K3043" t="s">
        <v>13154</v>
      </c>
      <c r="L3043">
        <v>-33.92</v>
      </c>
      <c r="M3043" t="s">
        <v>13155</v>
      </c>
      <c r="N3043">
        <v>0</v>
      </c>
      <c r="O3043" t="s">
        <v>13156</v>
      </c>
      <c r="P3043" t="s">
        <v>11838</v>
      </c>
      <c r="Q3043">
        <v>109.94</v>
      </c>
      <c r="R3043" t="s">
        <v>13157</v>
      </c>
      <c r="S3043">
        <v>0.04</v>
      </c>
      <c r="T3043">
        <v>21.66</v>
      </c>
      <c r="U3043" t="s">
        <v>721</v>
      </c>
      <c r="V3043" t="s">
        <v>1806</v>
      </c>
      <c r="W3043" t="s">
        <v>1417</v>
      </c>
      <c r="X3043">
        <v>0.03</v>
      </c>
      <c r="Y3043" t="s">
        <v>1484</v>
      </c>
      <c r="Z3043" t="s">
        <v>1839</v>
      </c>
      <c r="AA3043" t="s">
        <v>11263</v>
      </c>
      <c r="AB3043">
        <v>4.0599999999999996</v>
      </c>
      <c r="AC3043" t="s">
        <v>1837</v>
      </c>
      <c r="AD3043">
        <v>74.34</v>
      </c>
      <c r="AE3043" t="s">
        <v>2142</v>
      </c>
      <c r="AF3043">
        <v>0.56000000000000005</v>
      </c>
      <c r="AG3043">
        <v>0</v>
      </c>
      <c r="AH3043">
        <v>0</v>
      </c>
      <c r="AI3043" s="4">
        <v>41122</v>
      </c>
    </row>
    <row r="3044" spans="1:35">
      <c r="A3044">
        <v>3043</v>
      </c>
      <c r="B3044" t="str">
        <f>"002575"</f>
        <v>002575</v>
      </c>
      <c r="C3044" t="s">
        <v>13158</v>
      </c>
      <c r="D3044" s="4">
        <v>43190</v>
      </c>
      <c r="E3044" t="s">
        <v>107</v>
      </c>
      <c r="F3044" t="s">
        <v>107</v>
      </c>
      <c r="G3044" t="s">
        <v>9012</v>
      </c>
      <c r="H3044">
        <v>0</v>
      </c>
      <c r="I3044">
        <v>1.51</v>
      </c>
      <c r="J3044">
        <v>0.03</v>
      </c>
      <c r="K3044" t="s">
        <v>13159</v>
      </c>
      <c r="L3044">
        <v>-99.48</v>
      </c>
      <c r="M3044" t="s">
        <v>5736</v>
      </c>
      <c r="N3044" t="s">
        <v>7568</v>
      </c>
      <c r="O3044" t="s">
        <v>5736</v>
      </c>
      <c r="P3044" t="s">
        <v>5736</v>
      </c>
      <c r="Q3044">
        <v>101.76</v>
      </c>
      <c r="R3044" t="s">
        <v>1627</v>
      </c>
      <c r="S3044">
        <v>0.19</v>
      </c>
      <c r="T3044">
        <v>10.130000000000001</v>
      </c>
      <c r="U3044" t="s">
        <v>1709</v>
      </c>
      <c r="V3044" t="s">
        <v>145</v>
      </c>
      <c r="W3044" t="s">
        <v>8651</v>
      </c>
      <c r="X3044">
        <v>0.03</v>
      </c>
      <c r="Y3044" t="s">
        <v>3291</v>
      </c>
      <c r="Z3044" t="s">
        <v>13160</v>
      </c>
      <c r="AA3044" t="s">
        <v>10740</v>
      </c>
      <c r="AB3044">
        <v>2.5</v>
      </c>
      <c r="AC3044" t="s">
        <v>299</v>
      </c>
      <c r="AD3044">
        <v>99.06</v>
      </c>
      <c r="AE3044" t="s">
        <v>845</v>
      </c>
      <c r="AF3044">
        <v>0.26</v>
      </c>
      <c r="AG3044">
        <v>0</v>
      </c>
      <c r="AH3044">
        <v>0</v>
      </c>
      <c r="AI3044" s="4">
        <v>40655</v>
      </c>
    </row>
    <row r="3045" spans="1:35">
      <c r="A3045">
        <v>3044</v>
      </c>
      <c r="B3045" t="str">
        <f>"002005"</f>
        <v>002005</v>
      </c>
      <c r="C3045" t="s">
        <v>13161</v>
      </c>
      <c r="D3045" s="4">
        <v>43190</v>
      </c>
      <c r="E3045" t="s">
        <v>775</v>
      </c>
      <c r="F3045" t="s">
        <v>1082</v>
      </c>
      <c r="G3045" t="s">
        <v>853</v>
      </c>
      <c r="H3045">
        <v>0</v>
      </c>
      <c r="I3045">
        <v>3.48</v>
      </c>
      <c r="J3045">
        <v>0.03</v>
      </c>
      <c r="K3045" t="s">
        <v>1747</v>
      </c>
      <c r="L3045">
        <v>2.8</v>
      </c>
      <c r="M3045" t="s">
        <v>6021</v>
      </c>
      <c r="N3045" t="s">
        <v>5984</v>
      </c>
      <c r="O3045" t="s">
        <v>9979</v>
      </c>
      <c r="P3045" t="s">
        <v>5180</v>
      </c>
      <c r="Q3045">
        <v>103.47</v>
      </c>
      <c r="R3045" t="s">
        <v>13162</v>
      </c>
      <c r="S3045">
        <v>-0.18</v>
      </c>
      <c r="T3045">
        <v>22.56</v>
      </c>
      <c r="U3045" t="s">
        <v>932</v>
      </c>
      <c r="V3045" t="s">
        <v>2211</v>
      </c>
      <c r="W3045" t="s">
        <v>1224</v>
      </c>
      <c r="X3045">
        <v>0.03</v>
      </c>
      <c r="Y3045" t="s">
        <v>5199</v>
      </c>
      <c r="Z3045" t="s">
        <v>2272</v>
      </c>
      <c r="AA3045" t="s">
        <v>1382</v>
      </c>
      <c r="AB3045">
        <v>1.25</v>
      </c>
      <c r="AC3045" t="s">
        <v>4228</v>
      </c>
      <c r="AD3045">
        <v>48.57</v>
      </c>
      <c r="AE3045" t="s">
        <v>3886</v>
      </c>
      <c r="AF3045">
        <v>2.67</v>
      </c>
      <c r="AG3045">
        <v>0</v>
      </c>
      <c r="AH3045">
        <v>0</v>
      </c>
      <c r="AI3045" s="4">
        <v>38163</v>
      </c>
    </row>
    <row r="3046" spans="1:35">
      <c r="A3046">
        <v>3045</v>
      </c>
      <c r="B3046" t="str">
        <f>"300093"</f>
        <v>300093</v>
      </c>
      <c r="C3046" t="s">
        <v>13163</v>
      </c>
      <c r="D3046" s="4">
        <v>43190</v>
      </c>
      <c r="E3046" t="s">
        <v>1287</v>
      </c>
      <c r="F3046" t="s">
        <v>1364</v>
      </c>
      <c r="G3046" t="s">
        <v>2125</v>
      </c>
      <c r="H3046">
        <v>0</v>
      </c>
      <c r="I3046">
        <v>4.1500000000000004</v>
      </c>
      <c r="J3046">
        <v>0.02</v>
      </c>
      <c r="K3046" t="s">
        <v>2115</v>
      </c>
      <c r="L3046">
        <v>116.96</v>
      </c>
      <c r="M3046" t="s">
        <v>5824</v>
      </c>
      <c r="N3046">
        <v>0</v>
      </c>
      <c r="O3046" t="s">
        <v>5824</v>
      </c>
      <c r="P3046" t="s">
        <v>13164</v>
      </c>
      <c r="Q3046">
        <v>45.8</v>
      </c>
      <c r="R3046" t="s">
        <v>531</v>
      </c>
      <c r="S3046">
        <v>1.1200000000000001</v>
      </c>
      <c r="T3046">
        <v>34.86</v>
      </c>
      <c r="U3046" t="s">
        <v>983</v>
      </c>
      <c r="V3046" t="s">
        <v>1094</v>
      </c>
      <c r="W3046" t="s">
        <v>1309</v>
      </c>
      <c r="X3046">
        <v>0.02</v>
      </c>
      <c r="Y3046" t="s">
        <v>1993</v>
      </c>
      <c r="Z3046" t="s">
        <v>1611</v>
      </c>
      <c r="AA3046" t="s">
        <v>284</v>
      </c>
      <c r="AB3046">
        <v>1.58</v>
      </c>
      <c r="AC3046" t="s">
        <v>6545</v>
      </c>
      <c r="AD3046">
        <v>56.32</v>
      </c>
      <c r="AE3046" t="s">
        <v>185</v>
      </c>
      <c r="AF3046">
        <v>1.79</v>
      </c>
      <c r="AG3046">
        <v>0</v>
      </c>
      <c r="AH3046">
        <v>0</v>
      </c>
      <c r="AI3046" s="4">
        <v>40367</v>
      </c>
    </row>
    <row r="3047" spans="1:35">
      <c r="A3047">
        <v>3046</v>
      </c>
      <c r="B3047" t="str">
        <f>"603118"</f>
        <v>603118</v>
      </c>
      <c r="C3047" t="s">
        <v>13165</v>
      </c>
      <c r="D3047" s="4">
        <v>43190</v>
      </c>
      <c r="E3047" t="s">
        <v>776</v>
      </c>
      <c r="F3047" t="s">
        <v>1979</v>
      </c>
      <c r="G3047" t="s">
        <v>1471</v>
      </c>
      <c r="H3047">
        <v>0</v>
      </c>
      <c r="I3047">
        <v>5.52</v>
      </c>
      <c r="J3047">
        <v>0.02</v>
      </c>
      <c r="K3047" t="s">
        <v>115</v>
      </c>
      <c r="L3047">
        <v>-8.77</v>
      </c>
      <c r="M3047" t="s">
        <v>8546</v>
      </c>
      <c r="N3047" t="s">
        <v>9898</v>
      </c>
      <c r="O3047" t="s">
        <v>10657</v>
      </c>
      <c r="P3047" t="s">
        <v>13166</v>
      </c>
      <c r="Q3047">
        <v>-99.03</v>
      </c>
      <c r="R3047" t="s">
        <v>1477</v>
      </c>
      <c r="S3047">
        <v>1</v>
      </c>
      <c r="T3047">
        <v>11.02</v>
      </c>
      <c r="U3047" t="s">
        <v>2834</v>
      </c>
      <c r="V3047" t="s">
        <v>573</v>
      </c>
      <c r="W3047" t="s">
        <v>300</v>
      </c>
      <c r="X3047">
        <v>0.02</v>
      </c>
      <c r="Y3047" t="s">
        <v>1675</v>
      </c>
      <c r="Z3047" t="s">
        <v>158</v>
      </c>
      <c r="AA3047" t="s">
        <v>11126</v>
      </c>
      <c r="AB3047">
        <v>1.01</v>
      </c>
      <c r="AC3047" t="s">
        <v>527</v>
      </c>
      <c r="AD3047">
        <v>61.1</v>
      </c>
      <c r="AE3047" t="s">
        <v>2100</v>
      </c>
      <c r="AF3047">
        <v>3.43</v>
      </c>
      <c r="AG3047">
        <v>0</v>
      </c>
      <c r="AH3047">
        <v>0</v>
      </c>
      <c r="AI3047" s="4">
        <v>42060</v>
      </c>
    </row>
    <row r="3048" spans="1:35">
      <c r="A3048">
        <v>3047</v>
      </c>
      <c r="B3048" t="str">
        <f>"601608"</f>
        <v>601608</v>
      </c>
      <c r="C3048" t="s">
        <v>13167</v>
      </c>
      <c r="D3048" s="4">
        <v>43190</v>
      </c>
      <c r="E3048" t="s">
        <v>528</v>
      </c>
      <c r="F3048" t="s">
        <v>1032</v>
      </c>
      <c r="G3048" t="s">
        <v>7663</v>
      </c>
      <c r="H3048">
        <v>0</v>
      </c>
      <c r="I3048">
        <v>1.65</v>
      </c>
      <c r="J3048">
        <v>0.02</v>
      </c>
      <c r="K3048" t="s">
        <v>724</v>
      </c>
      <c r="L3048">
        <v>-18.3</v>
      </c>
      <c r="M3048" t="s">
        <v>2839</v>
      </c>
      <c r="N3048" t="s">
        <v>3131</v>
      </c>
      <c r="O3048" t="s">
        <v>2576</v>
      </c>
      <c r="P3048" t="s">
        <v>7288</v>
      </c>
      <c r="Q3048">
        <v>146.68</v>
      </c>
      <c r="R3048" t="s">
        <v>13168</v>
      </c>
      <c r="S3048">
        <v>0</v>
      </c>
      <c r="T3048">
        <v>25.24</v>
      </c>
      <c r="U3048" t="s">
        <v>3385</v>
      </c>
      <c r="V3048" t="s">
        <v>586</v>
      </c>
      <c r="W3048" t="s">
        <v>1164</v>
      </c>
      <c r="X3048">
        <v>0.02</v>
      </c>
      <c r="Y3048" t="s">
        <v>1089</v>
      </c>
      <c r="Z3048" t="s">
        <v>3343</v>
      </c>
      <c r="AA3048" t="s">
        <v>1127</v>
      </c>
      <c r="AB3048">
        <v>1.6</v>
      </c>
      <c r="AC3048" t="s">
        <v>3065</v>
      </c>
      <c r="AD3048">
        <v>36.99</v>
      </c>
      <c r="AE3048" t="s">
        <v>876</v>
      </c>
      <c r="AF3048">
        <v>0.48</v>
      </c>
      <c r="AG3048">
        <v>0</v>
      </c>
      <c r="AH3048">
        <v>0</v>
      </c>
      <c r="AI3048" s="4">
        <v>41096</v>
      </c>
    </row>
    <row r="3049" spans="1:35">
      <c r="A3049">
        <v>3048</v>
      </c>
      <c r="B3049" t="str">
        <f>"600610"</f>
        <v>600610</v>
      </c>
      <c r="C3049" t="s">
        <v>13169</v>
      </c>
      <c r="D3049" s="4">
        <v>43008</v>
      </c>
      <c r="E3049" t="s">
        <v>295</v>
      </c>
      <c r="F3049" t="s">
        <v>156</v>
      </c>
      <c r="G3049">
        <v>0</v>
      </c>
      <c r="H3049">
        <v>0</v>
      </c>
      <c r="I3049">
        <v>1.0900000000000001</v>
      </c>
      <c r="J3049">
        <v>0.02</v>
      </c>
      <c r="K3049" t="s">
        <v>335</v>
      </c>
      <c r="L3049">
        <v>269.97000000000003</v>
      </c>
      <c r="M3049" t="s">
        <v>3360</v>
      </c>
      <c r="N3049" t="s">
        <v>13170</v>
      </c>
      <c r="O3049" t="s">
        <v>13171</v>
      </c>
      <c r="P3049" t="s">
        <v>11398</v>
      </c>
      <c r="Q3049">
        <v>103.39</v>
      </c>
      <c r="R3049" t="s">
        <v>13172</v>
      </c>
      <c r="S3049">
        <v>-0.27</v>
      </c>
      <c r="T3049">
        <v>14.89</v>
      </c>
      <c r="U3049" t="s">
        <v>2568</v>
      </c>
      <c r="V3049" t="s">
        <v>1843</v>
      </c>
      <c r="W3049" t="s">
        <v>10878</v>
      </c>
      <c r="X3049">
        <v>0.02</v>
      </c>
      <c r="Y3049" t="s">
        <v>4877</v>
      </c>
      <c r="Z3049" t="s">
        <v>2035</v>
      </c>
      <c r="AA3049" t="s">
        <v>13173</v>
      </c>
      <c r="AB3049">
        <v>4.29</v>
      </c>
      <c r="AC3049" t="s">
        <v>192</v>
      </c>
      <c r="AD3049">
        <v>53.29</v>
      </c>
      <c r="AE3049" t="s">
        <v>1229</v>
      </c>
      <c r="AF3049">
        <v>0.36</v>
      </c>
      <c r="AG3049" t="s">
        <v>204</v>
      </c>
      <c r="AH3049">
        <v>0</v>
      </c>
      <c r="AI3049" s="4">
        <v>33821</v>
      </c>
    </row>
    <row r="3050" spans="1:35">
      <c r="A3050">
        <v>3049</v>
      </c>
      <c r="B3050" t="str">
        <f>"600538"</f>
        <v>600538</v>
      </c>
      <c r="C3050" t="s">
        <v>13174</v>
      </c>
      <c r="D3050" s="4">
        <v>43190</v>
      </c>
      <c r="E3050" t="s">
        <v>4613</v>
      </c>
      <c r="F3050" t="s">
        <v>4613</v>
      </c>
      <c r="G3050" t="s">
        <v>1422</v>
      </c>
      <c r="H3050">
        <v>0</v>
      </c>
      <c r="I3050">
        <v>1.42</v>
      </c>
      <c r="J3050">
        <v>0.02</v>
      </c>
      <c r="K3050" t="s">
        <v>3948</v>
      </c>
      <c r="L3050">
        <v>-54.67</v>
      </c>
      <c r="M3050" t="s">
        <v>9425</v>
      </c>
      <c r="N3050" t="s">
        <v>2720</v>
      </c>
      <c r="O3050" t="s">
        <v>13175</v>
      </c>
      <c r="P3050" t="s">
        <v>6569</v>
      </c>
      <c r="Q3050">
        <v>103.91</v>
      </c>
      <c r="R3050" t="s">
        <v>13176</v>
      </c>
      <c r="S3050">
        <v>-0.92</v>
      </c>
      <c r="T3050">
        <v>16.16</v>
      </c>
      <c r="U3050" t="s">
        <v>805</v>
      </c>
      <c r="V3050" t="s">
        <v>483</v>
      </c>
      <c r="W3050" t="s">
        <v>505</v>
      </c>
      <c r="X3050">
        <v>0.02</v>
      </c>
      <c r="Y3050" t="s">
        <v>1525</v>
      </c>
      <c r="Z3050" t="s">
        <v>1525</v>
      </c>
      <c r="AA3050">
        <v>0</v>
      </c>
      <c r="AB3050">
        <v>4.1500000000000004</v>
      </c>
      <c r="AC3050" t="s">
        <v>1276</v>
      </c>
      <c r="AD3050">
        <v>84.47</v>
      </c>
      <c r="AE3050" t="s">
        <v>2647</v>
      </c>
      <c r="AF3050">
        <v>1.26</v>
      </c>
      <c r="AG3050">
        <v>0</v>
      </c>
      <c r="AH3050">
        <v>0</v>
      </c>
      <c r="AI3050" s="4">
        <v>37635</v>
      </c>
    </row>
    <row r="3051" spans="1:35">
      <c r="A3051">
        <v>3050</v>
      </c>
      <c r="B3051" t="str">
        <f>"000851"</f>
        <v>000851</v>
      </c>
      <c r="C3051" t="s">
        <v>13177</v>
      </c>
      <c r="D3051" s="4">
        <v>43190</v>
      </c>
      <c r="E3051" t="s">
        <v>2512</v>
      </c>
      <c r="F3051" t="s">
        <v>619</v>
      </c>
      <c r="G3051">
        <v>8878</v>
      </c>
      <c r="H3051">
        <v>0</v>
      </c>
      <c r="I3051">
        <v>3.52</v>
      </c>
      <c r="J3051">
        <v>0.02</v>
      </c>
      <c r="K3051" t="s">
        <v>2273</v>
      </c>
      <c r="L3051">
        <v>34.32</v>
      </c>
      <c r="M3051" t="s">
        <v>2880</v>
      </c>
      <c r="N3051" t="s">
        <v>13178</v>
      </c>
      <c r="O3051" t="s">
        <v>10859</v>
      </c>
      <c r="P3051" t="s">
        <v>13179</v>
      </c>
      <c r="Q3051">
        <v>117.33</v>
      </c>
      <c r="R3051" t="s">
        <v>216</v>
      </c>
      <c r="S3051">
        <v>0.53</v>
      </c>
      <c r="T3051">
        <v>5.38</v>
      </c>
      <c r="U3051" t="s">
        <v>3068</v>
      </c>
      <c r="V3051" t="s">
        <v>1110</v>
      </c>
      <c r="W3051" t="s">
        <v>11233</v>
      </c>
      <c r="X3051">
        <v>0.02</v>
      </c>
      <c r="Y3051" t="s">
        <v>1032</v>
      </c>
      <c r="Z3051" t="s">
        <v>464</v>
      </c>
      <c r="AA3051" t="s">
        <v>3281</v>
      </c>
      <c r="AB3051">
        <v>1.33</v>
      </c>
      <c r="AC3051" t="s">
        <v>1054</v>
      </c>
      <c r="AD3051">
        <v>39.78</v>
      </c>
      <c r="AE3051" t="s">
        <v>420</v>
      </c>
      <c r="AF3051">
        <v>2.0699999999999998</v>
      </c>
      <c r="AG3051">
        <v>0</v>
      </c>
      <c r="AH3051">
        <v>0</v>
      </c>
      <c r="AI3051" s="4">
        <v>35955</v>
      </c>
    </row>
    <row r="3052" spans="1:35">
      <c r="A3052">
        <v>3051</v>
      </c>
      <c r="B3052" t="str">
        <f>"000554"</f>
        <v>000554</v>
      </c>
      <c r="C3052" t="s">
        <v>13180</v>
      </c>
      <c r="D3052" s="4">
        <v>43190</v>
      </c>
      <c r="E3052" t="s">
        <v>2792</v>
      </c>
      <c r="F3052" t="s">
        <v>2029</v>
      </c>
      <c r="G3052">
        <v>6523</v>
      </c>
      <c r="H3052">
        <v>0</v>
      </c>
      <c r="I3052">
        <v>1.91</v>
      </c>
      <c r="J3052">
        <v>0.02</v>
      </c>
      <c r="K3052" t="s">
        <v>2853</v>
      </c>
      <c r="L3052">
        <v>2.65</v>
      </c>
      <c r="M3052" t="s">
        <v>3581</v>
      </c>
      <c r="N3052" t="s">
        <v>13181</v>
      </c>
      <c r="O3052" t="s">
        <v>11556</v>
      </c>
      <c r="P3052" t="s">
        <v>9234</v>
      </c>
      <c r="Q3052">
        <v>41.3</v>
      </c>
      <c r="R3052" t="s">
        <v>711</v>
      </c>
      <c r="S3052">
        <v>0.28999999999999998</v>
      </c>
      <c r="T3052">
        <v>8.8000000000000007</v>
      </c>
      <c r="U3052" t="s">
        <v>625</v>
      </c>
      <c r="V3052" t="s">
        <v>66</v>
      </c>
      <c r="W3052" t="s">
        <v>1615</v>
      </c>
      <c r="X3052">
        <v>0.02</v>
      </c>
      <c r="Y3052" t="s">
        <v>1732</v>
      </c>
      <c r="Z3052" t="s">
        <v>492</v>
      </c>
      <c r="AA3052" t="s">
        <v>2121</v>
      </c>
      <c r="AB3052">
        <v>2.94</v>
      </c>
      <c r="AC3052" t="s">
        <v>5537</v>
      </c>
      <c r="AD3052">
        <v>76.680000000000007</v>
      </c>
      <c r="AE3052" t="s">
        <v>698</v>
      </c>
      <c r="AF3052">
        <v>0.39</v>
      </c>
      <c r="AG3052">
        <v>0</v>
      </c>
      <c r="AH3052">
        <v>0</v>
      </c>
      <c r="AI3052" s="4">
        <v>34318</v>
      </c>
    </row>
    <row r="3053" spans="1:35">
      <c r="A3053">
        <v>3052</v>
      </c>
      <c r="B3053" t="str">
        <f>"000539"</f>
        <v>000539</v>
      </c>
      <c r="C3053" t="s">
        <v>13182</v>
      </c>
      <c r="D3053" s="4">
        <v>43190</v>
      </c>
      <c r="E3053" t="s">
        <v>1858</v>
      </c>
      <c r="F3053" t="s">
        <v>774</v>
      </c>
      <c r="G3053">
        <v>0</v>
      </c>
      <c r="H3053">
        <v>0</v>
      </c>
      <c r="I3053">
        <v>4.51</v>
      </c>
      <c r="J3053">
        <v>0.02</v>
      </c>
      <c r="K3053" t="s">
        <v>1600</v>
      </c>
      <c r="L3053">
        <v>4.6399999999999997</v>
      </c>
      <c r="M3053" t="s">
        <v>5616</v>
      </c>
      <c r="N3053" t="s">
        <v>642</v>
      </c>
      <c r="O3053" t="s">
        <v>9806</v>
      </c>
      <c r="P3053" t="s">
        <v>5298</v>
      </c>
      <c r="Q3053">
        <v>104.98</v>
      </c>
      <c r="R3053" t="s">
        <v>2300</v>
      </c>
      <c r="S3053">
        <v>1.0900000000000001</v>
      </c>
      <c r="T3053">
        <v>7.44</v>
      </c>
      <c r="U3053" t="s">
        <v>1118</v>
      </c>
      <c r="V3053" t="s">
        <v>315</v>
      </c>
      <c r="W3053" t="s">
        <v>7710</v>
      </c>
      <c r="X3053">
        <v>0.02</v>
      </c>
      <c r="Y3053" t="s">
        <v>13183</v>
      </c>
      <c r="Z3053" t="s">
        <v>761</v>
      </c>
      <c r="AA3053" t="s">
        <v>2766</v>
      </c>
      <c r="AB3053">
        <v>0.96</v>
      </c>
      <c r="AC3053" t="s">
        <v>2804</v>
      </c>
      <c r="AD3053">
        <v>33.44</v>
      </c>
      <c r="AE3053" t="s">
        <v>573</v>
      </c>
      <c r="AF3053">
        <v>0.95</v>
      </c>
      <c r="AG3053" t="s">
        <v>2908</v>
      </c>
      <c r="AH3053">
        <v>0</v>
      </c>
      <c r="AI3053" s="4">
        <v>34299</v>
      </c>
    </row>
    <row r="3054" spans="1:35">
      <c r="A3054">
        <v>3053</v>
      </c>
      <c r="B3054" t="str">
        <f>"600255"</f>
        <v>600255</v>
      </c>
      <c r="C3054" t="s">
        <v>13184</v>
      </c>
      <c r="D3054" s="4">
        <v>43190</v>
      </c>
      <c r="E3054" t="s">
        <v>1126</v>
      </c>
      <c r="F3054" t="s">
        <v>1126</v>
      </c>
      <c r="G3054" t="s">
        <v>3064</v>
      </c>
      <c r="H3054">
        <v>0</v>
      </c>
      <c r="I3054">
        <v>1.95</v>
      </c>
      <c r="J3054">
        <v>0.01</v>
      </c>
      <c r="K3054" t="s">
        <v>548</v>
      </c>
      <c r="L3054">
        <v>1.62</v>
      </c>
      <c r="M3054" t="s">
        <v>10633</v>
      </c>
      <c r="N3054" t="s">
        <v>5473</v>
      </c>
      <c r="O3054" t="s">
        <v>6129</v>
      </c>
      <c r="P3054" t="s">
        <v>13185</v>
      </c>
      <c r="Q3054">
        <v>-96.47</v>
      </c>
      <c r="R3054" t="s">
        <v>860</v>
      </c>
      <c r="S3054">
        <v>0.28000000000000003</v>
      </c>
      <c r="T3054">
        <v>7</v>
      </c>
      <c r="U3054" t="s">
        <v>1081</v>
      </c>
      <c r="V3054" t="s">
        <v>249</v>
      </c>
      <c r="W3054" t="s">
        <v>1033</v>
      </c>
      <c r="X3054">
        <v>0.01</v>
      </c>
      <c r="Y3054" t="s">
        <v>352</v>
      </c>
      <c r="Z3054" t="s">
        <v>712</v>
      </c>
      <c r="AA3054" t="s">
        <v>623</v>
      </c>
      <c r="AB3054">
        <v>1.2</v>
      </c>
      <c r="AC3054" t="s">
        <v>612</v>
      </c>
      <c r="AD3054">
        <v>56.81</v>
      </c>
      <c r="AE3054" t="s">
        <v>613</v>
      </c>
      <c r="AF3054">
        <v>0.66</v>
      </c>
      <c r="AG3054">
        <v>0</v>
      </c>
      <c r="AH3054">
        <v>0</v>
      </c>
      <c r="AI3054" s="4">
        <v>36852</v>
      </c>
    </row>
    <row r="3055" spans="1:35">
      <c r="A3055">
        <v>3054</v>
      </c>
      <c r="B3055" t="str">
        <f>"600099"</f>
        <v>600099</v>
      </c>
      <c r="C3055" t="s">
        <v>13186</v>
      </c>
      <c r="D3055" s="4">
        <v>43190</v>
      </c>
      <c r="E3055" t="s">
        <v>66</v>
      </c>
      <c r="F3055" t="s">
        <v>66</v>
      </c>
      <c r="G3055" t="s">
        <v>4245</v>
      </c>
      <c r="H3055">
        <v>0</v>
      </c>
      <c r="I3055">
        <v>2.15</v>
      </c>
      <c r="J3055">
        <v>0.01</v>
      </c>
      <c r="K3055" t="s">
        <v>2115</v>
      </c>
      <c r="L3055">
        <v>22.65</v>
      </c>
      <c r="M3055" t="s">
        <v>13187</v>
      </c>
      <c r="N3055">
        <v>0</v>
      </c>
      <c r="O3055" t="s">
        <v>12669</v>
      </c>
      <c r="P3055" t="s">
        <v>7966</v>
      </c>
      <c r="Q3055">
        <v>-93.99</v>
      </c>
      <c r="R3055" t="s">
        <v>13188</v>
      </c>
      <c r="S3055">
        <v>0.11</v>
      </c>
      <c r="T3055">
        <v>10.74</v>
      </c>
      <c r="U3055" t="s">
        <v>494</v>
      </c>
      <c r="V3055" t="s">
        <v>324</v>
      </c>
      <c r="W3055" t="s">
        <v>372</v>
      </c>
      <c r="X3055">
        <v>0.01</v>
      </c>
      <c r="Y3055" t="s">
        <v>1038</v>
      </c>
      <c r="Z3055" t="s">
        <v>1038</v>
      </c>
      <c r="AA3055">
        <v>0</v>
      </c>
      <c r="AB3055">
        <v>3.93</v>
      </c>
      <c r="AC3055" t="s">
        <v>1006</v>
      </c>
      <c r="AD3055">
        <v>78.42</v>
      </c>
      <c r="AE3055" t="s">
        <v>975</v>
      </c>
      <c r="AF3055">
        <v>0.93</v>
      </c>
      <c r="AG3055">
        <v>0</v>
      </c>
      <c r="AH3055">
        <v>0</v>
      </c>
      <c r="AI3055" s="4">
        <v>35615</v>
      </c>
    </row>
    <row r="3056" spans="1:35">
      <c r="A3056">
        <v>3055</v>
      </c>
      <c r="B3056" t="str">
        <f>"603666"</f>
        <v>603666</v>
      </c>
      <c r="C3056" t="s">
        <v>13189</v>
      </c>
      <c r="D3056" s="4">
        <v>43190</v>
      </c>
      <c r="E3056" t="s">
        <v>7702</v>
      </c>
      <c r="F3056" t="s">
        <v>8343</v>
      </c>
      <c r="G3056">
        <v>0</v>
      </c>
      <c r="H3056">
        <v>0.49</v>
      </c>
      <c r="I3056">
        <v>12.04</v>
      </c>
      <c r="J3056">
        <v>0</v>
      </c>
      <c r="K3056" t="s">
        <v>11844</v>
      </c>
      <c r="L3056">
        <v>2709.3</v>
      </c>
      <c r="M3056" t="s">
        <v>13190</v>
      </c>
      <c r="N3056">
        <v>0</v>
      </c>
      <c r="O3056" t="s">
        <v>13191</v>
      </c>
      <c r="P3056" t="s">
        <v>3737</v>
      </c>
      <c r="Q3056">
        <v>436.02</v>
      </c>
      <c r="R3056" t="s">
        <v>863</v>
      </c>
      <c r="S3056">
        <v>2.21</v>
      </c>
      <c r="T3056">
        <v>65.83</v>
      </c>
      <c r="U3056" t="s">
        <v>1596</v>
      </c>
      <c r="V3056" t="s">
        <v>349</v>
      </c>
      <c r="W3056" t="s">
        <v>8207</v>
      </c>
      <c r="X3056">
        <v>0</v>
      </c>
      <c r="Y3056" t="s">
        <v>1936</v>
      </c>
      <c r="Z3056" t="s">
        <v>372</v>
      </c>
      <c r="AA3056" t="s">
        <v>7226</v>
      </c>
      <c r="AB3056">
        <v>6.03</v>
      </c>
      <c r="AC3056" t="s">
        <v>2041</v>
      </c>
      <c r="AD3056">
        <v>69.38</v>
      </c>
      <c r="AE3056" t="s">
        <v>282</v>
      </c>
      <c r="AF3056">
        <v>8.5399999999999991</v>
      </c>
      <c r="AG3056">
        <v>0</v>
      </c>
      <c r="AH3056">
        <v>0</v>
      </c>
      <c r="AI3056" s="4">
        <v>43263</v>
      </c>
    </row>
    <row r="3057" spans="1:35">
      <c r="A3057">
        <v>3056</v>
      </c>
      <c r="B3057" t="str">
        <f>"603105"</f>
        <v>603105</v>
      </c>
      <c r="C3057" t="s">
        <v>13192</v>
      </c>
      <c r="D3057" s="4">
        <v>43190</v>
      </c>
      <c r="E3057" t="s">
        <v>349</v>
      </c>
      <c r="F3057" t="s">
        <v>126</v>
      </c>
      <c r="G3057" t="s">
        <v>13193</v>
      </c>
      <c r="H3057">
        <v>0.03</v>
      </c>
      <c r="I3057">
        <v>2.5</v>
      </c>
      <c r="J3057">
        <v>0</v>
      </c>
      <c r="K3057" t="s">
        <v>13194</v>
      </c>
      <c r="L3057">
        <v>-4.99</v>
      </c>
      <c r="M3057" t="s">
        <v>11941</v>
      </c>
      <c r="N3057">
        <v>0</v>
      </c>
      <c r="O3057" t="s">
        <v>10039</v>
      </c>
      <c r="P3057" t="s">
        <v>9017</v>
      </c>
      <c r="Q3057">
        <v>178.76</v>
      </c>
      <c r="R3057" t="s">
        <v>319</v>
      </c>
      <c r="S3057">
        <v>0.39</v>
      </c>
      <c r="T3057">
        <v>38.380000000000003</v>
      </c>
      <c r="U3057" t="s">
        <v>2568</v>
      </c>
      <c r="V3057" t="s">
        <v>1375</v>
      </c>
      <c r="W3057" t="s">
        <v>548</v>
      </c>
      <c r="X3057">
        <v>0</v>
      </c>
      <c r="Y3057" t="s">
        <v>613</v>
      </c>
      <c r="Z3057" t="s">
        <v>4384</v>
      </c>
      <c r="AA3057" t="s">
        <v>1067</v>
      </c>
      <c r="AB3057" t="s">
        <v>288</v>
      </c>
      <c r="AC3057" t="s">
        <v>978</v>
      </c>
      <c r="AD3057">
        <v>46.98</v>
      </c>
      <c r="AE3057" t="s">
        <v>1706</v>
      </c>
      <c r="AF3057">
        <v>1.04</v>
      </c>
      <c r="AG3057">
        <v>0</v>
      </c>
      <c r="AH3057">
        <v>0</v>
      </c>
      <c r="AI3057" t="s">
        <v>99</v>
      </c>
    </row>
    <row r="3058" spans="1:35">
      <c r="A3058">
        <v>3057</v>
      </c>
      <c r="B3058" t="str">
        <f>"601299"</f>
        <v>601299</v>
      </c>
      <c r="C3058" t="s">
        <v>13195</v>
      </c>
      <c r="D3058" s="4">
        <v>42094</v>
      </c>
      <c r="E3058" t="s">
        <v>841</v>
      </c>
      <c r="F3058" t="s">
        <v>232</v>
      </c>
      <c r="G3058" t="s">
        <v>13196</v>
      </c>
      <c r="H3058">
        <v>0.08</v>
      </c>
      <c r="I3058">
        <v>4.0599999999999996</v>
      </c>
      <c r="J3058">
        <v>0</v>
      </c>
      <c r="K3058" t="s">
        <v>787</v>
      </c>
      <c r="L3058">
        <v>18.670000000000002</v>
      </c>
      <c r="M3058" t="s">
        <v>1025</v>
      </c>
      <c r="N3058" t="s">
        <v>13197</v>
      </c>
      <c r="O3058" t="s">
        <v>924</v>
      </c>
      <c r="P3058" t="s">
        <v>1094</v>
      </c>
      <c r="Q3058">
        <v>14.98</v>
      </c>
      <c r="R3058" t="s">
        <v>1885</v>
      </c>
      <c r="S3058">
        <v>1.27</v>
      </c>
      <c r="T3058">
        <v>21.25</v>
      </c>
      <c r="U3058" t="s">
        <v>13198</v>
      </c>
      <c r="V3058" t="s">
        <v>3267</v>
      </c>
      <c r="W3058" t="s">
        <v>2077</v>
      </c>
      <c r="X3058">
        <v>0</v>
      </c>
      <c r="Y3058" t="s">
        <v>13199</v>
      </c>
      <c r="Z3058" t="s">
        <v>9632</v>
      </c>
      <c r="AA3058" t="s">
        <v>13200</v>
      </c>
      <c r="AB3058">
        <v>7.38</v>
      </c>
      <c r="AC3058" t="s">
        <v>13201</v>
      </c>
      <c r="AD3058">
        <v>35.22</v>
      </c>
      <c r="AE3058" t="s">
        <v>1654</v>
      </c>
      <c r="AF3058">
        <v>1.56</v>
      </c>
      <c r="AG3058">
        <v>0</v>
      </c>
      <c r="AH3058" t="s">
        <v>514</v>
      </c>
      <c r="AI3058" s="4">
        <v>40176</v>
      </c>
    </row>
    <row r="3059" spans="1:35">
      <c r="A3059">
        <v>3058</v>
      </c>
      <c r="B3059" t="str">
        <f>"601268"</f>
        <v>601268</v>
      </c>
      <c r="C3059" t="s">
        <v>13202</v>
      </c>
      <c r="D3059" s="4">
        <v>42094</v>
      </c>
      <c r="E3059" t="s">
        <v>865</v>
      </c>
      <c r="F3059" t="s">
        <v>115</v>
      </c>
      <c r="G3059" t="s">
        <v>13203</v>
      </c>
      <c r="H3059">
        <v>-0.13</v>
      </c>
      <c r="I3059">
        <v>-2.78</v>
      </c>
      <c r="J3059">
        <v>0</v>
      </c>
      <c r="K3059" t="s">
        <v>4185</v>
      </c>
      <c r="L3059">
        <v>-43.22</v>
      </c>
      <c r="M3059" t="s">
        <v>13204</v>
      </c>
      <c r="N3059" t="s">
        <v>13205</v>
      </c>
      <c r="O3059" t="s">
        <v>11976</v>
      </c>
      <c r="P3059" t="s">
        <v>11976</v>
      </c>
      <c r="Q3059">
        <v>0</v>
      </c>
      <c r="R3059" t="s">
        <v>13206</v>
      </c>
      <c r="S3059">
        <v>-5.94</v>
      </c>
      <c r="T3059">
        <v>-2.9</v>
      </c>
      <c r="U3059" t="s">
        <v>1894</v>
      </c>
      <c r="V3059" t="s">
        <v>3147</v>
      </c>
      <c r="W3059" t="s">
        <v>1783</v>
      </c>
      <c r="X3059">
        <v>0</v>
      </c>
      <c r="Y3059" t="s">
        <v>1150</v>
      </c>
      <c r="Z3059" t="s">
        <v>1750</v>
      </c>
      <c r="AA3059" t="s">
        <v>2901</v>
      </c>
      <c r="AB3059">
        <v>-0.85</v>
      </c>
      <c r="AC3059" t="s">
        <v>13207</v>
      </c>
      <c r="AD3059">
        <v>-41.64</v>
      </c>
      <c r="AE3059" t="s">
        <v>1715</v>
      </c>
      <c r="AF3059">
        <v>1.97</v>
      </c>
      <c r="AG3059">
        <v>0</v>
      </c>
      <c r="AH3059">
        <v>0</v>
      </c>
      <c r="AI3059" s="4">
        <v>40211</v>
      </c>
    </row>
    <row r="3060" spans="1:35">
      <c r="A3060">
        <v>3059</v>
      </c>
      <c r="B3060" t="str">
        <f>"601138"</f>
        <v>601138</v>
      </c>
      <c r="C3060" t="s">
        <v>13208</v>
      </c>
      <c r="D3060" s="4">
        <v>43190</v>
      </c>
      <c r="E3060" t="s">
        <v>838</v>
      </c>
      <c r="F3060" t="s">
        <v>147</v>
      </c>
      <c r="G3060">
        <v>0</v>
      </c>
      <c r="H3060">
        <v>0.13</v>
      </c>
      <c r="I3060">
        <v>2.91</v>
      </c>
      <c r="J3060">
        <v>0</v>
      </c>
      <c r="K3060" t="s">
        <v>13209</v>
      </c>
      <c r="L3060">
        <v>19.78</v>
      </c>
      <c r="M3060" t="s">
        <v>249</v>
      </c>
      <c r="N3060" t="s">
        <v>2204</v>
      </c>
      <c r="O3060" t="s">
        <v>1396</v>
      </c>
      <c r="P3060" t="s">
        <v>1661</v>
      </c>
      <c r="Q3060">
        <v>4.53</v>
      </c>
      <c r="R3060" t="s">
        <v>311</v>
      </c>
      <c r="S3060">
        <v>0.65</v>
      </c>
      <c r="T3060">
        <v>8.14</v>
      </c>
      <c r="U3060" t="s">
        <v>3275</v>
      </c>
      <c r="V3060" t="s">
        <v>13210</v>
      </c>
      <c r="W3060" t="s">
        <v>1697</v>
      </c>
      <c r="X3060">
        <v>0</v>
      </c>
      <c r="Y3060" t="s">
        <v>13211</v>
      </c>
      <c r="Z3060" t="s">
        <v>13212</v>
      </c>
      <c r="AA3060" t="s">
        <v>533</v>
      </c>
      <c r="AB3060">
        <v>6.97</v>
      </c>
      <c r="AC3060" t="s">
        <v>3213</v>
      </c>
      <c r="AD3060">
        <v>22.81</v>
      </c>
      <c r="AE3060" t="s">
        <v>13213</v>
      </c>
      <c r="AF3060">
        <v>1.26</v>
      </c>
      <c r="AG3060">
        <v>0</v>
      </c>
      <c r="AH3060">
        <v>0</v>
      </c>
      <c r="AI3060" s="4">
        <v>43259</v>
      </c>
    </row>
    <row r="3061" spans="1:35">
      <c r="A3061">
        <v>3060</v>
      </c>
      <c r="B3061" t="str">
        <f>"601066"</f>
        <v>601066</v>
      </c>
      <c r="C3061" t="s">
        <v>13214</v>
      </c>
      <c r="D3061" s="4">
        <v>43190</v>
      </c>
      <c r="E3061" t="s">
        <v>5874</v>
      </c>
      <c r="F3061" t="s">
        <v>150</v>
      </c>
      <c r="G3061">
        <v>0</v>
      </c>
      <c r="H3061">
        <v>0.13</v>
      </c>
      <c r="I3061">
        <v>5.49</v>
      </c>
      <c r="J3061">
        <v>0</v>
      </c>
      <c r="K3061" t="s">
        <v>239</v>
      </c>
      <c r="L3061">
        <v>5.54</v>
      </c>
      <c r="M3061" t="s">
        <v>1025</v>
      </c>
      <c r="N3061" t="s">
        <v>92</v>
      </c>
      <c r="O3061" t="s">
        <v>840</v>
      </c>
      <c r="P3061" t="s">
        <v>1856</v>
      </c>
      <c r="Q3061">
        <v>-1.55</v>
      </c>
      <c r="R3061" t="s">
        <v>3129</v>
      </c>
      <c r="S3061">
        <v>2.09</v>
      </c>
      <c r="T3061">
        <v>0</v>
      </c>
      <c r="U3061" t="s">
        <v>13215</v>
      </c>
      <c r="V3061">
        <v>0</v>
      </c>
      <c r="W3061" t="s">
        <v>1703</v>
      </c>
      <c r="X3061">
        <v>0</v>
      </c>
      <c r="Y3061" t="s">
        <v>13216</v>
      </c>
      <c r="Z3061">
        <v>0</v>
      </c>
      <c r="AA3061">
        <v>0</v>
      </c>
      <c r="AB3061">
        <v>0.99</v>
      </c>
      <c r="AC3061" t="s">
        <v>13217</v>
      </c>
      <c r="AD3061">
        <v>20.7</v>
      </c>
      <c r="AE3061" t="s">
        <v>2710</v>
      </c>
      <c r="AF3061">
        <v>1.1399999999999999</v>
      </c>
      <c r="AG3061">
        <v>0</v>
      </c>
      <c r="AH3061" t="s">
        <v>164</v>
      </c>
      <c r="AI3061" s="4">
        <v>43271</v>
      </c>
    </row>
    <row r="3062" spans="1:35">
      <c r="A3062">
        <v>3061</v>
      </c>
      <c r="B3062" t="str">
        <f>"600991"</f>
        <v>600991</v>
      </c>
      <c r="C3062" t="s">
        <v>13218</v>
      </c>
      <c r="D3062" t="s">
        <v>288</v>
      </c>
      <c r="E3062" t="s">
        <v>288</v>
      </c>
      <c r="F3062" t="s">
        <v>288</v>
      </c>
      <c r="G3062" t="s">
        <v>288</v>
      </c>
      <c r="H3062" t="s">
        <v>288</v>
      </c>
      <c r="I3062" t="s">
        <v>288</v>
      </c>
      <c r="J3062" t="s">
        <v>288</v>
      </c>
      <c r="K3062" t="s">
        <v>288</v>
      </c>
      <c r="L3062" t="s">
        <v>288</v>
      </c>
      <c r="M3062" t="s">
        <v>288</v>
      </c>
      <c r="N3062" t="s">
        <v>288</v>
      </c>
      <c r="O3062" t="s">
        <v>288</v>
      </c>
      <c r="P3062" t="s">
        <v>288</v>
      </c>
      <c r="Q3062" t="s">
        <v>288</v>
      </c>
      <c r="R3062" t="s">
        <v>288</v>
      </c>
      <c r="S3062" t="s">
        <v>288</v>
      </c>
      <c r="T3062" t="s">
        <v>288</v>
      </c>
      <c r="U3062" t="s">
        <v>288</v>
      </c>
      <c r="V3062" t="s">
        <v>288</v>
      </c>
      <c r="W3062" t="s">
        <v>288</v>
      </c>
      <c r="X3062" t="s">
        <v>288</v>
      </c>
      <c r="Y3062" t="s">
        <v>288</v>
      </c>
      <c r="Z3062" t="s">
        <v>288</v>
      </c>
      <c r="AA3062" t="s">
        <v>288</v>
      </c>
      <c r="AB3062" t="s">
        <v>288</v>
      </c>
      <c r="AC3062" t="s">
        <v>288</v>
      </c>
      <c r="AD3062" t="s">
        <v>288</v>
      </c>
      <c r="AE3062" t="s">
        <v>288</v>
      </c>
      <c r="AF3062" t="s">
        <v>288</v>
      </c>
      <c r="AG3062" t="s">
        <v>288</v>
      </c>
      <c r="AH3062" t="s">
        <v>288</v>
      </c>
      <c r="AI3062" t="s">
        <v>288</v>
      </c>
    </row>
    <row r="3063" spans="1:35">
      <c r="A3063">
        <v>3062</v>
      </c>
      <c r="B3063" t="str">
        <f>"600899"</f>
        <v>600899</v>
      </c>
      <c r="C3063" t="s">
        <v>13219</v>
      </c>
      <c r="D3063" t="s">
        <v>288</v>
      </c>
      <c r="E3063" t="s">
        <v>288</v>
      </c>
      <c r="F3063" t="s">
        <v>288</v>
      </c>
      <c r="G3063" t="s">
        <v>288</v>
      </c>
      <c r="H3063" t="s">
        <v>288</v>
      </c>
      <c r="I3063" t="s">
        <v>288</v>
      </c>
      <c r="J3063" t="s">
        <v>288</v>
      </c>
      <c r="K3063" t="s">
        <v>288</v>
      </c>
      <c r="L3063" t="s">
        <v>288</v>
      </c>
      <c r="M3063" t="s">
        <v>288</v>
      </c>
      <c r="N3063" t="s">
        <v>288</v>
      </c>
      <c r="O3063" t="s">
        <v>288</v>
      </c>
      <c r="P3063" t="s">
        <v>288</v>
      </c>
      <c r="Q3063" t="s">
        <v>288</v>
      </c>
      <c r="R3063" t="s">
        <v>288</v>
      </c>
      <c r="S3063" t="s">
        <v>288</v>
      </c>
      <c r="T3063" t="s">
        <v>288</v>
      </c>
      <c r="U3063" t="s">
        <v>288</v>
      </c>
      <c r="V3063" t="s">
        <v>288</v>
      </c>
      <c r="W3063" t="s">
        <v>288</v>
      </c>
      <c r="X3063" t="s">
        <v>288</v>
      </c>
      <c r="Y3063" t="s">
        <v>288</v>
      </c>
      <c r="Z3063" t="s">
        <v>288</v>
      </c>
      <c r="AA3063" t="s">
        <v>288</v>
      </c>
      <c r="AB3063" t="s">
        <v>288</v>
      </c>
      <c r="AC3063" t="s">
        <v>288</v>
      </c>
      <c r="AD3063" t="s">
        <v>288</v>
      </c>
      <c r="AE3063" t="s">
        <v>288</v>
      </c>
      <c r="AF3063" t="s">
        <v>288</v>
      </c>
      <c r="AG3063" t="s">
        <v>288</v>
      </c>
      <c r="AH3063" t="s">
        <v>288</v>
      </c>
      <c r="AI3063" t="s">
        <v>288</v>
      </c>
    </row>
    <row r="3064" spans="1:35">
      <c r="A3064">
        <v>3063</v>
      </c>
      <c r="B3064" t="str">
        <f>"600878"</f>
        <v>600878</v>
      </c>
      <c r="C3064" t="s">
        <v>13220</v>
      </c>
      <c r="D3064" t="s">
        <v>288</v>
      </c>
      <c r="E3064" t="s">
        <v>288</v>
      </c>
      <c r="F3064" t="s">
        <v>288</v>
      </c>
      <c r="G3064" t="s">
        <v>288</v>
      </c>
      <c r="H3064" t="s">
        <v>288</v>
      </c>
      <c r="I3064" t="s">
        <v>288</v>
      </c>
      <c r="J3064" t="s">
        <v>288</v>
      </c>
      <c r="K3064" t="s">
        <v>288</v>
      </c>
      <c r="L3064" t="s">
        <v>288</v>
      </c>
      <c r="M3064" t="s">
        <v>288</v>
      </c>
      <c r="N3064" t="s">
        <v>288</v>
      </c>
      <c r="O3064" t="s">
        <v>288</v>
      </c>
      <c r="P3064" t="s">
        <v>288</v>
      </c>
      <c r="Q3064" t="s">
        <v>288</v>
      </c>
      <c r="R3064" t="s">
        <v>288</v>
      </c>
      <c r="S3064" t="s">
        <v>288</v>
      </c>
      <c r="T3064" t="s">
        <v>288</v>
      </c>
      <c r="U3064" t="s">
        <v>288</v>
      </c>
      <c r="V3064" t="s">
        <v>288</v>
      </c>
      <c r="W3064" t="s">
        <v>288</v>
      </c>
      <c r="X3064" t="s">
        <v>288</v>
      </c>
      <c r="Y3064" t="s">
        <v>288</v>
      </c>
      <c r="Z3064" t="s">
        <v>288</v>
      </c>
      <c r="AA3064" t="s">
        <v>288</v>
      </c>
      <c r="AB3064" t="s">
        <v>288</v>
      </c>
      <c r="AC3064" t="s">
        <v>288</v>
      </c>
      <c r="AD3064" t="s">
        <v>288</v>
      </c>
      <c r="AE3064" t="s">
        <v>288</v>
      </c>
      <c r="AF3064" t="s">
        <v>288</v>
      </c>
      <c r="AG3064" t="s">
        <v>288</v>
      </c>
      <c r="AH3064" t="s">
        <v>288</v>
      </c>
      <c r="AI3064" t="s">
        <v>288</v>
      </c>
    </row>
    <row r="3065" spans="1:35">
      <c r="A3065">
        <v>3064</v>
      </c>
      <c r="B3065" t="str">
        <f>"600877"</f>
        <v>600877</v>
      </c>
      <c r="C3065" t="s">
        <v>13221</v>
      </c>
      <c r="D3065" s="4">
        <v>43190</v>
      </c>
      <c r="E3065" t="s">
        <v>475</v>
      </c>
      <c r="F3065" t="s">
        <v>475</v>
      </c>
      <c r="G3065">
        <v>9160</v>
      </c>
      <c r="H3065">
        <v>-0.19</v>
      </c>
      <c r="I3065">
        <v>-0.16</v>
      </c>
      <c r="J3065">
        <v>0</v>
      </c>
      <c r="K3065" t="s">
        <v>2054</v>
      </c>
      <c r="L3065">
        <v>-25.55</v>
      </c>
      <c r="M3065" t="s">
        <v>13222</v>
      </c>
      <c r="N3065" t="s">
        <v>11975</v>
      </c>
      <c r="O3065" t="s">
        <v>12443</v>
      </c>
      <c r="P3065" t="s">
        <v>12443</v>
      </c>
      <c r="Q3065">
        <v>-334.3</v>
      </c>
      <c r="R3065" t="s">
        <v>12407</v>
      </c>
      <c r="S3065">
        <v>-2.1800000000000002</v>
      </c>
      <c r="T3065">
        <v>0.49</v>
      </c>
      <c r="U3065" t="s">
        <v>625</v>
      </c>
      <c r="V3065" t="s">
        <v>4613</v>
      </c>
      <c r="W3065" t="s">
        <v>2284</v>
      </c>
      <c r="X3065">
        <v>0</v>
      </c>
      <c r="Y3065" t="s">
        <v>1307</v>
      </c>
      <c r="Z3065" t="s">
        <v>250</v>
      </c>
      <c r="AA3065" t="s">
        <v>84</v>
      </c>
      <c r="AB3065">
        <v>-28.93</v>
      </c>
      <c r="AC3065" t="s">
        <v>13223</v>
      </c>
      <c r="AD3065">
        <v>-9.2899999999999991</v>
      </c>
      <c r="AE3065" t="s">
        <v>677</v>
      </c>
      <c r="AF3065">
        <v>0.17</v>
      </c>
      <c r="AG3065">
        <v>0</v>
      </c>
      <c r="AH3065">
        <v>0</v>
      </c>
      <c r="AI3065" s="4">
        <v>34985</v>
      </c>
    </row>
    <row r="3066" spans="1:35">
      <c r="A3066">
        <v>3065</v>
      </c>
      <c r="B3066" t="str">
        <f>"600852"</f>
        <v>600852</v>
      </c>
      <c r="C3066" t="s">
        <v>13224</v>
      </c>
      <c r="D3066" t="s">
        <v>288</v>
      </c>
      <c r="E3066" t="s">
        <v>288</v>
      </c>
      <c r="F3066" t="s">
        <v>288</v>
      </c>
      <c r="G3066" t="s">
        <v>288</v>
      </c>
      <c r="H3066" t="s">
        <v>288</v>
      </c>
      <c r="I3066" t="s">
        <v>288</v>
      </c>
      <c r="J3066" t="s">
        <v>288</v>
      </c>
      <c r="K3066" t="s">
        <v>288</v>
      </c>
      <c r="L3066" t="s">
        <v>288</v>
      </c>
      <c r="M3066" t="s">
        <v>288</v>
      </c>
      <c r="N3066" t="s">
        <v>288</v>
      </c>
      <c r="O3066" t="s">
        <v>288</v>
      </c>
      <c r="P3066" t="s">
        <v>288</v>
      </c>
      <c r="Q3066" t="s">
        <v>288</v>
      </c>
      <c r="R3066" t="s">
        <v>288</v>
      </c>
      <c r="S3066" t="s">
        <v>288</v>
      </c>
      <c r="T3066" t="s">
        <v>288</v>
      </c>
      <c r="U3066" t="s">
        <v>288</v>
      </c>
      <c r="V3066" t="s">
        <v>288</v>
      </c>
      <c r="W3066" t="s">
        <v>288</v>
      </c>
      <c r="X3066" t="s">
        <v>288</v>
      </c>
      <c r="Y3066" t="s">
        <v>288</v>
      </c>
      <c r="Z3066" t="s">
        <v>288</v>
      </c>
      <c r="AA3066" t="s">
        <v>288</v>
      </c>
      <c r="AB3066" t="s">
        <v>288</v>
      </c>
      <c r="AC3066" t="s">
        <v>288</v>
      </c>
      <c r="AD3066" t="s">
        <v>288</v>
      </c>
      <c r="AE3066" t="s">
        <v>288</v>
      </c>
      <c r="AF3066" t="s">
        <v>288</v>
      </c>
      <c r="AG3066" t="s">
        <v>288</v>
      </c>
      <c r="AH3066" t="s">
        <v>288</v>
      </c>
      <c r="AI3066" t="s">
        <v>288</v>
      </c>
    </row>
    <row r="3067" spans="1:35">
      <c r="A3067">
        <v>3066</v>
      </c>
      <c r="B3067" t="str">
        <f>"600849"</f>
        <v>600849</v>
      </c>
      <c r="C3067" t="s">
        <v>13225</v>
      </c>
      <c r="D3067" t="s">
        <v>288</v>
      </c>
      <c r="E3067" t="s">
        <v>288</v>
      </c>
      <c r="F3067" t="s">
        <v>288</v>
      </c>
      <c r="G3067" t="s">
        <v>288</v>
      </c>
      <c r="H3067" t="s">
        <v>288</v>
      </c>
      <c r="I3067" t="s">
        <v>288</v>
      </c>
      <c r="J3067" t="s">
        <v>288</v>
      </c>
      <c r="K3067" t="s">
        <v>288</v>
      </c>
      <c r="L3067" t="s">
        <v>288</v>
      </c>
      <c r="M3067" t="s">
        <v>288</v>
      </c>
      <c r="N3067" t="s">
        <v>288</v>
      </c>
      <c r="O3067" t="s">
        <v>288</v>
      </c>
      <c r="P3067" t="s">
        <v>288</v>
      </c>
      <c r="Q3067" t="s">
        <v>288</v>
      </c>
      <c r="R3067" t="s">
        <v>288</v>
      </c>
      <c r="S3067" t="s">
        <v>288</v>
      </c>
      <c r="T3067" t="s">
        <v>288</v>
      </c>
      <c r="U3067" t="s">
        <v>288</v>
      </c>
      <c r="V3067" t="s">
        <v>288</v>
      </c>
      <c r="W3067" t="s">
        <v>288</v>
      </c>
      <c r="X3067" t="s">
        <v>288</v>
      </c>
      <c r="Y3067" t="s">
        <v>288</v>
      </c>
      <c r="Z3067" t="s">
        <v>288</v>
      </c>
      <c r="AA3067" t="s">
        <v>288</v>
      </c>
      <c r="AB3067" t="s">
        <v>288</v>
      </c>
      <c r="AC3067" t="s">
        <v>288</v>
      </c>
      <c r="AD3067" t="s">
        <v>288</v>
      </c>
      <c r="AE3067" t="s">
        <v>288</v>
      </c>
      <c r="AF3067" t="s">
        <v>288</v>
      </c>
      <c r="AG3067" t="s">
        <v>288</v>
      </c>
      <c r="AH3067" t="s">
        <v>288</v>
      </c>
      <c r="AI3067" t="s">
        <v>288</v>
      </c>
    </row>
    <row r="3068" spans="1:35">
      <c r="A3068">
        <v>3067</v>
      </c>
      <c r="B3068" t="str">
        <f>"600842"</f>
        <v>600842</v>
      </c>
      <c r="C3068" t="s">
        <v>13226</v>
      </c>
      <c r="D3068" t="s">
        <v>288</v>
      </c>
      <c r="E3068" t="s">
        <v>288</v>
      </c>
      <c r="F3068" t="s">
        <v>288</v>
      </c>
      <c r="G3068" t="s">
        <v>288</v>
      </c>
      <c r="H3068" t="s">
        <v>288</v>
      </c>
      <c r="I3068" t="s">
        <v>288</v>
      </c>
      <c r="J3068" t="s">
        <v>288</v>
      </c>
      <c r="K3068" t="s">
        <v>288</v>
      </c>
      <c r="L3068" t="s">
        <v>288</v>
      </c>
      <c r="M3068" t="s">
        <v>288</v>
      </c>
      <c r="N3068" t="s">
        <v>288</v>
      </c>
      <c r="O3068" t="s">
        <v>288</v>
      </c>
      <c r="P3068" t="s">
        <v>288</v>
      </c>
      <c r="Q3068" t="s">
        <v>288</v>
      </c>
      <c r="R3068" t="s">
        <v>288</v>
      </c>
      <c r="S3068" t="s">
        <v>288</v>
      </c>
      <c r="T3068" t="s">
        <v>288</v>
      </c>
      <c r="U3068" t="s">
        <v>288</v>
      </c>
      <c r="V3068" t="s">
        <v>288</v>
      </c>
      <c r="W3068" t="s">
        <v>288</v>
      </c>
      <c r="X3068" t="s">
        <v>288</v>
      </c>
      <c r="Y3068" t="s">
        <v>288</v>
      </c>
      <c r="Z3068" t="s">
        <v>288</v>
      </c>
      <c r="AA3068" t="s">
        <v>288</v>
      </c>
      <c r="AB3068" t="s">
        <v>288</v>
      </c>
      <c r="AC3068" t="s">
        <v>288</v>
      </c>
      <c r="AD3068" t="s">
        <v>288</v>
      </c>
      <c r="AE3068" t="s">
        <v>288</v>
      </c>
      <c r="AF3068" t="s">
        <v>288</v>
      </c>
      <c r="AG3068" t="s">
        <v>288</v>
      </c>
      <c r="AH3068" t="s">
        <v>288</v>
      </c>
      <c r="AI3068" t="s">
        <v>288</v>
      </c>
    </row>
    <row r="3069" spans="1:35">
      <c r="A3069">
        <v>3068</v>
      </c>
      <c r="B3069" t="str">
        <f>"600840"</f>
        <v>600840</v>
      </c>
      <c r="C3069" t="s">
        <v>13227</v>
      </c>
      <c r="D3069" t="s">
        <v>288</v>
      </c>
      <c r="E3069" t="s">
        <v>288</v>
      </c>
      <c r="F3069" t="s">
        <v>288</v>
      </c>
      <c r="G3069" t="s">
        <v>288</v>
      </c>
      <c r="H3069" t="s">
        <v>288</v>
      </c>
      <c r="I3069" t="s">
        <v>288</v>
      </c>
      <c r="J3069" t="s">
        <v>288</v>
      </c>
      <c r="K3069" t="s">
        <v>288</v>
      </c>
      <c r="L3069" t="s">
        <v>288</v>
      </c>
      <c r="M3069" t="s">
        <v>288</v>
      </c>
      <c r="N3069" t="s">
        <v>288</v>
      </c>
      <c r="O3069" t="s">
        <v>288</v>
      </c>
      <c r="P3069" t="s">
        <v>288</v>
      </c>
      <c r="Q3069" t="s">
        <v>288</v>
      </c>
      <c r="R3069" t="s">
        <v>288</v>
      </c>
      <c r="S3069" t="s">
        <v>288</v>
      </c>
      <c r="T3069" t="s">
        <v>288</v>
      </c>
      <c r="U3069" t="s">
        <v>288</v>
      </c>
      <c r="V3069" t="s">
        <v>288</v>
      </c>
      <c r="W3069" t="s">
        <v>288</v>
      </c>
      <c r="X3069" t="s">
        <v>288</v>
      </c>
      <c r="Y3069" t="s">
        <v>288</v>
      </c>
      <c r="Z3069" t="s">
        <v>288</v>
      </c>
      <c r="AA3069" t="s">
        <v>288</v>
      </c>
      <c r="AB3069" t="s">
        <v>288</v>
      </c>
      <c r="AC3069" t="s">
        <v>288</v>
      </c>
      <c r="AD3069" t="s">
        <v>288</v>
      </c>
      <c r="AE3069" t="s">
        <v>288</v>
      </c>
      <c r="AF3069" t="s">
        <v>288</v>
      </c>
      <c r="AG3069" t="s">
        <v>288</v>
      </c>
      <c r="AH3069" t="s">
        <v>288</v>
      </c>
      <c r="AI3069" t="s">
        <v>288</v>
      </c>
    </row>
    <row r="3070" spans="1:35">
      <c r="A3070">
        <v>3069</v>
      </c>
      <c r="B3070" t="str">
        <f>"600832"</f>
        <v>600832</v>
      </c>
      <c r="C3070" t="s">
        <v>8972</v>
      </c>
      <c r="D3070" s="4">
        <v>42094</v>
      </c>
      <c r="E3070" t="s">
        <v>733</v>
      </c>
      <c r="F3070" t="s">
        <v>733</v>
      </c>
      <c r="G3070" t="s">
        <v>2209</v>
      </c>
      <c r="H3070">
        <v>0.08</v>
      </c>
      <c r="I3070">
        <v>3.08</v>
      </c>
      <c r="J3070">
        <v>0</v>
      </c>
      <c r="K3070" t="s">
        <v>303</v>
      </c>
      <c r="L3070">
        <v>72.790000000000006</v>
      </c>
      <c r="M3070" t="s">
        <v>1721</v>
      </c>
      <c r="N3070" t="s">
        <v>533</v>
      </c>
      <c r="O3070" t="s">
        <v>476</v>
      </c>
      <c r="P3070" t="s">
        <v>122</v>
      </c>
      <c r="Q3070">
        <v>62.83</v>
      </c>
      <c r="R3070" t="s">
        <v>450</v>
      </c>
      <c r="S3070">
        <v>0.81</v>
      </c>
      <c r="T3070">
        <v>34.65</v>
      </c>
      <c r="U3070" t="s">
        <v>1550</v>
      </c>
      <c r="V3070" t="s">
        <v>3702</v>
      </c>
      <c r="W3070" t="s">
        <v>578</v>
      </c>
      <c r="X3070">
        <v>0</v>
      </c>
      <c r="Y3070" t="s">
        <v>2497</v>
      </c>
      <c r="Z3070" t="s">
        <v>1410</v>
      </c>
      <c r="AA3070" t="s">
        <v>775</v>
      </c>
      <c r="AB3070">
        <v>7.53</v>
      </c>
      <c r="AC3070" t="s">
        <v>1948</v>
      </c>
      <c r="AD3070">
        <v>55.16</v>
      </c>
      <c r="AE3070" t="s">
        <v>519</v>
      </c>
      <c r="AF3070">
        <v>0.27</v>
      </c>
      <c r="AG3070">
        <v>0</v>
      </c>
      <c r="AH3070">
        <v>0</v>
      </c>
      <c r="AI3070" s="4">
        <v>34389</v>
      </c>
    </row>
    <row r="3071" spans="1:35">
      <c r="A3071">
        <v>3070</v>
      </c>
      <c r="B3071" t="str">
        <f>"600813"</f>
        <v>600813</v>
      </c>
      <c r="C3071" t="s">
        <v>13228</v>
      </c>
      <c r="D3071" t="s">
        <v>288</v>
      </c>
      <c r="E3071" t="s">
        <v>288</v>
      </c>
      <c r="F3071" t="s">
        <v>288</v>
      </c>
      <c r="G3071" t="s">
        <v>288</v>
      </c>
      <c r="H3071" t="s">
        <v>288</v>
      </c>
      <c r="I3071" t="s">
        <v>288</v>
      </c>
      <c r="J3071" t="s">
        <v>288</v>
      </c>
      <c r="K3071" t="s">
        <v>288</v>
      </c>
      <c r="L3071" t="s">
        <v>288</v>
      </c>
      <c r="M3071" t="s">
        <v>288</v>
      </c>
      <c r="N3071" t="s">
        <v>288</v>
      </c>
      <c r="O3071" t="s">
        <v>288</v>
      </c>
      <c r="P3071" t="s">
        <v>288</v>
      </c>
      <c r="Q3071" t="s">
        <v>288</v>
      </c>
      <c r="R3071" t="s">
        <v>288</v>
      </c>
      <c r="S3071" t="s">
        <v>288</v>
      </c>
      <c r="T3071" t="s">
        <v>288</v>
      </c>
      <c r="U3071" t="s">
        <v>288</v>
      </c>
      <c r="V3071" t="s">
        <v>288</v>
      </c>
      <c r="W3071" t="s">
        <v>288</v>
      </c>
      <c r="X3071" t="s">
        <v>288</v>
      </c>
      <c r="Y3071" t="s">
        <v>288</v>
      </c>
      <c r="Z3071" t="s">
        <v>288</v>
      </c>
      <c r="AA3071" t="s">
        <v>288</v>
      </c>
      <c r="AB3071" t="s">
        <v>288</v>
      </c>
      <c r="AC3071" t="s">
        <v>288</v>
      </c>
      <c r="AD3071" t="s">
        <v>288</v>
      </c>
      <c r="AE3071" t="s">
        <v>288</v>
      </c>
      <c r="AF3071" t="s">
        <v>288</v>
      </c>
      <c r="AG3071" t="s">
        <v>288</v>
      </c>
      <c r="AH3071" t="s">
        <v>288</v>
      </c>
      <c r="AI3071" t="s">
        <v>288</v>
      </c>
    </row>
    <row r="3072" spans="1:35">
      <c r="A3072">
        <v>3071</v>
      </c>
      <c r="B3072" t="str">
        <f>"600799"</f>
        <v>600799</v>
      </c>
      <c r="C3072" t="s">
        <v>13229</v>
      </c>
      <c r="D3072" t="s">
        <v>288</v>
      </c>
      <c r="E3072" t="s">
        <v>288</v>
      </c>
      <c r="F3072" t="s">
        <v>288</v>
      </c>
      <c r="G3072" t="s">
        <v>288</v>
      </c>
      <c r="H3072" t="s">
        <v>288</v>
      </c>
      <c r="I3072" t="s">
        <v>288</v>
      </c>
      <c r="J3072" t="s">
        <v>288</v>
      </c>
      <c r="K3072" t="s">
        <v>288</v>
      </c>
      <c r="L3072" t="s">
        <v>288</v>
      </c>
      <c r="M3072" t="s">
        <v>288</v>
      </c>
      <c r="N3072" t="s">
        <v>288</v>
      </c>
      <c r="O3072" t="s">
        <v>288</v>
      </c>
      <c r="P3072" t="s">
        <v>288</v>
      </c>
      <c r="Q3072" t="s">
        <v>288</v>
      </c>
      <c r="R3072" t="s">
        <v>288</v>
      </c>
      <c r="S3072" t="s">
        <v>288</v>
      </c>
      <c r="T3072" t="s">
        <v>288</v>
      </c>
      <c r="U3072" t="s">
        <v>288</v>
      </c>
      <c r="V3072" t="s">
        <v>288</v>
      </c>
      <c r="W3072" t="s">
        <v>288</v>
      </c>
      <c r="X3072" t="s">
        <v>288</v>
      </c>
      <c r="Y3072" t="s">
        <v>288</v>
      </c>
      <c r="Z3072" t="s">
        <v>288</v>
      </c>
      <c r="AA3072" t="s">
        <v>288</v>
      </c>
      <c r="AB3072" t="s">
        <v>288</v>
      </c>
      <c r="AC3072" t="s">
        <v>288</v>
      </c>
      <c r="AD3072" t="s">
        <v>288</v>
      </c>
      <c r="AE3072" t="s">
        <v>288</v>
      </c>
      <c r="AF3072" t="s">
        <v>288</v>
      </c>
      <c r="AG3072" t="s">
        <v>288</v>
      </c>
      <c r="AH3072" t="s">
        <v>288</v>
      </c>
      <c r="AI3072" t="s">
        <v>288</v>
      </c>
    </row>
    <row r="3073" spans="1:35">
      <c r="A3073">
        <v>3072</v>
      </c>
      <c r="B3073" t="str">
        <f>"600788"</f>
        <v>600788</v>
      </c>
      <c r="C3073" t="s">
        <v>13230</v>
      </c>
      <c r="D3073" t="s">
        <v>288</v>
      </c>
      <c r="E3073" t="s">
        <v>288</v>
      </c>
      <c r="F3073" t="s">
        <v>288</v>
      </c>
      <c r="G3073" t="s">
        <v>288</v>
      </c>
      <c r="H3073" t="s">
        <v>288</v>
      </c>
      <c r="I3073" t="s">
        <v>288</v>
      </c>
      <c r="J3073" t="s">
        <v>288</v>
      </c>
      <c r="K3073" t="s">
        <v>288</v>
      </c>
      <c r="L3073" t="s">
        <v>288</v>
      </c>
      <c r="M3073" t="s">
        <v>288</v>
      </c>
      <c r="N3073" t="s">
        <v>288</v>
      </c>
      <c r="O3073" t="s">
        <v>288</v>
      </c>
      <c r="P3073" t="s">
        <v>288</v>
      </c>
      <c r="Q3073" t="s">
        <v>288</v>
      </c>
      <c r="R3073" t="s">
        <v>288</v>
      </c>
      <c r="S3073" t="s">
        <v>288</v>
      </c>
      <c r="T3073" t="s">
        <v>288</v>
      </c>
      <c r="U3073" t="s">
        <v>288</v>
      </c>
      <c r="V3073" t="s">
        <v>288</v>
      </c>
      <c r="W3073" t="s">
        <v>288</v>
      </c>
      <c r="X3073" t="s">
        <v>288</v>
      </c>
      <c r="Y3073" t="s">
        <v>288</v>
      </c>
      <c r="Z3073" t="s">
        <v>288</v>
      </c>
      <c r="AA3073" t="s">
        <v>288</v>
      </c>
      <c r="AB3073" t="s">
        <v>288</v>
      </c>
      <c r="AC3073" t="s">
        <v>288</v>
      </c>
      <c r="AD3073" t="s">
        <v>288</v>
      </c>
      <c r="AE3073" t="s">
        <v>288</v>
      </c>
      <c r="AF3073" t="s">
        <v>288</v>
      </c>
      <c r="AG3073" t="s">
        <v>288</v>
      </c>
      <c r="AH3073" t="s">
        <v>288</v>
      </c>
      <c r="AI3073" t="s">
        <v>288</v>
      </c>
    </row>
    <row r="3074" spans="1:35">
      <c r="A3074">
        <v>3073</v>
      </c>
      <c r="B3074" t="str">
        <f>"600786"</f>
        <v>600786</v>
      </c>
      <c r="C3074" t="s">
        <v>13231</v>
      </c>
      <c r="D3074" t="s">
        <v>288</v>
      </c>
      <c r="E3074" t="s">
        <v>288</v>
      </c>
      <c r="F3074" t="s">
        <v>288</v>
      </c>
      <c r="G3074" t="s">
        <v>288</v>
      </c>
      <c r="H3074" t="s">
        <v>288</v>
      </c>
      <c r="I3074" t="s">
        <v>288</v>
      </c>
      <c r="J3074" t="s">
        <v>288</v>
      </c>
      <c r="K3074" t="s">
        <v>288</v>
      </c>
      <c r="L3074" t="s">
        <v>288</v>
      </c>
      <c r="M3074" t="s">
        <v>288</v>
      </c>
      <c r="N3074" t="s">
        <v>288</v>
      </c>
      <c r="O3074" t="s">
        <v>288</v>
      </c>
      <c r="P3074" t="s">
        <v>288</v>
      </c>
      <c r="Q3074" t="s">
        <v>288</v>
      </c>
      <c r="R3074" t="s">
        <v>288</v>
      </c>
      <c r="S3074" t="s">
        <v>288</v>
      </c>
      <c r="T3074" t="s">
        <v>288</v>
      </c>
      <c r="U3074" t="s">
        <v>288</v>
      </c>
      <c r="V3074" t="s">
        <v>288</v>
      </c>
      <c r="W3074" t="s">
        <v>288</v>
      </c>
      <c r="X3074" t="s">
        <v>288</v>
      </c>
      <c r="Y3074" t="s">
        <v>288</v>
      </c>
      <c r="Z3074" t="s">
        <v>288</v>
      </c>
      <c r="AA3074" t="s">
        <v>288</v>
      </c>
      <c r="AB3074" t="s">
        <v>288</v>
      </c>
      <c r="AC3074" t="s">
        <v>288</v>
      </c>
      <c r="AD3074" t="s">
        <v>288</v>
      </c>
      <c r="AE3074" t="s">
        <v>288</v>
      </c>
      <c r="AF3074" t="s">
        <v>288</v>
      </c>
      <c r="AG3074" t="s">
        <v>288</v>
      </c>
      <c r="AH3074" t="s">
        <v>288</v>
      </c>
      <c r="AI3074" t="s">
        <v>288</v>
      </c>
    </row>
    <row r="3075" spans="1:35">
      <c r="A3075">
        <v>3074</v>
      </c>
      <c r="B3075" t="str">
        <f>"600772"</f>
        <v>600772</v>
      </c>
      <c r="C3075" t="s">
        <v>13232</v>
      </c>
      <c r="D3075" t="s">
        <v>288</v>
      </c>
      <c r="E3075" t="s">
        <v>288</v>
      </c>
      <c r="F3075" t="s">
        <v>288</v>
      </c>
      <c r="G3075" t="s">
        <v>288</v>
      </c>
      <c r="H3075" t="s">
        <v>288</v>
      </c>
      <c r="I3075" t="s">
        <v>288</v>
      </c>
      <c r="J3075" t="s">
        <v>288</v>
      </c>
      <c r="K3075" t="s">
        <v>288</v>
      </c>
      <c r="L3075" t="s">
        <v>288</v>
      </c>
      <c r="M3075" t="s">
        <v>288</v>
      </c>
      <c r="N3075" t="s">
        <v>288</v>
      </c>
      <c r="O3075" t="s">
        <v>288</v>
      </c>
      <c r="P3075" t="s">
        <v>288</v>
      </c>
      <c r="Q3075" t="s">
        <v>288</v>
      </c>
      <c r="R3075" t="s">
        <v>288</v>
      </c>
      <c r="S3075" t="s">
        <v>288</v>
      </c>
      <c r="T3075" t="s">
        <v>288</v>
      </c>
      <c r="U3075" t="s">
        <v>288</v>
      </c>
      <c r="V3075" t="s">
        <v>288</v>
      </c>
      <c r="W3075" t="s">
        <v>288</v>
      </c>
      <c r="X3075" t="s">
        <v>288</v>
      </c>
      <c r="Y3075" t="s">
        <v>288</v>
      </c>
      <c r="Z3075" t="s">
        <v>288</v>
      </c>
      <c r="AA3075" t="s">
        <v>288</v>
      </c>
      <c r="AB3075" t="s">
        <v>288</v>
      </c>
      <c r="AC3075" t="s">
        <v>288</v>
      </c>
      <c r="AD3075" t="s">
        <v>288</v>
      </c>
      <c r="AE3075" t="s">
        <v>288</v>
      </c>
      <c r="AF3075" t="s">
        <v>288</v>
      </c>
      <c r="AG3075" t="s">
        <v>288</v>
      </c>
      <c r="AH3075" t="s">
        <v>288</v>
      </c>
      <c r="AI3075" t="s">
        <v>288</v>
      </c>
    </row>
    <row r="3076" spans="1:35">
      <c r="A3076">
        <v>3075</v>
      </c>
      <c r="B3076" t="str">
        <f>"600762"</f>
        <v>600762</v>
      </c>
      <c r="C3076" t="s">
        <v>13233</v>
      </c>
      <c r="D3076" t="s">
        <v>288</v>
      </c>
      <c r="E3076" t="s">
        <v>288</v>
      </c>
      <c r="F3076" t="s">
        <v>288</v>
      </c>
      <c r="G3076" t="s">
        <v>288</v>
      </c>
      <c r="H3076" t="s">
        <v>288</v>
      </c>
      <c r="I3076" t="s">
        <v>288</v>
      </c>
      <c r="J3076" t="s">
        <v>288</v>
      </c>
      <c r="K3076" t="s">
        <v>288</v>
      </c>
      <c r="L3076" t="s">
        <v>288</v>
      </c>
      <c r="M3076" t="s">
        <v>288</v>
      </c>
      <c r="N3076" t="s">
        <v>288</v>
      </c>
      <c r="O3076" t="s">
        <v>288</v>
      </c>
      <c r="P3076" t="s">
        <v>288</v>
      </c>
      <c r="Q3076" t="s">
        <v>288</v>
      </c>
      <c r="R3076" t="s">
        <v>288</v>
      </c>
      <c r="S3076" t="s">
        <v>288</v>
      </c>
      <c r="T3076" t="s">
        <v>288</v>
      </c>
      <c r="U3076" t="s">
        <v>288</v>
      </c>
      <c r="V3076" t="s">
        <v>288</v>
      </c>
      <c r="W3076" t="s">
        <v>288</v>
      </c>
      <c r="X3076" t="s">
        <v>288</v>
      </c>
      <c r="Y3076" t="s">
        <v>288</v>
      </c>
      <c r="Z3076" t="s">
        <v>288</v>
      </c>
      <c r="AA3076" t="s">
        <v>288</v>
      </c>
      <c r="AB3076" t="s">
        <v>288</v>
      </c>
      <c r="AC3076" t="s">
        <v>288</v>
      </c>
      <c r="AD3076" t="s">
        <v>288</v>
      </c>
      <c r="AE3076" t="s">
        <v>288</v>
      </c>
      <c r="AF3076" t="s">
        <v>288</v>
      </c>
      <c r="AG3076" t="s">
        <v>288</v>
      </c>
      <c r="AH3076" t="s">
        <v>288</v>
      </c>
      <c r="AI3076" t="s">
        <v>288</v>
      </c>
    </row>
    <row r="3077" spans="1:35">
      <c r="A3077">
        <v>3076</v>
      </c>
      <c r="B3077" t="str">
        <f>"600752"</f>
        <v>600752</v>
      </c>
      <c r="C3077" t="s">
        <v>13234</v>
      </c>
      <c r="D3077" t="s">
        <v>288</v>
      </c>
      <c r="E3077" t="s">
        <v>288</v>
      </c>
      <c r="F3077" t="s">
        <v>288</v>
      </c>
      <c r="G3077" t="s">
        <v>288</v>
      </c>
      <c r="H3077" t="s">
        <v>288</v>
      </c>
      <c r="I3077" t="s">
        <v>288</v>
      </c>
      <c r="J3077" t="s">
        <v>288</v>
      </c>
      <c r="K3077" t="s">
        <v>288</v>
      </c>
      <c r="L3077" t="s">
        <v>288</v>
      </c>
      <c r="M3077" t="s">
        <v>288</v>
      </c>
      <c r="N3077" t="s">
        <v>288</v>
      </c>
      <c r="O3077" t="s">
        <v>288</v>
      </c>
      <c r="P3077" t="s">
        <v>288</v>
      </c>
      <c r="Q3077" t="s">
        <v>288</v>
      </c>
      <c r="R3077" t="s">
        <v>288</v>
      </c>
      <c r="S3077" t="s">
        <v>288</v>
      </c>
      <c r="T3077" t="s">
        <v>288</v>
      </c>
      <c r="U3077" t="s">
        <v>288</v>
      </c>
      <c r="V3077" t="s">
        <v>288</v>
      </c>
      <c r="W3077" t="s">
        <v>288</v>
      </c>
      <c r="X3077" t="s">
        <v>288</v>
      </c>
      <c r="Y3077" t="s">
        <v>288</v>
      </c>
      <c r="Z3077" t="s">
        <v>288</v>
      </c>
      <c r="AA3077" t="s">
        <v>288</v>
      </c>
      <c r="AB3077" t="s">
        <v>288</v>
      </c>
      <c r="AC3077" t="s">
        <v>288</v>
      </c>
      <c r="AD3077" t="s">
        <v>288</v>
      </c>
      <c r="AE3077" t="s">
        <v>288</v>
      </c>
      <c r="AF3077" t="s">
        <v>288</v>
      </c>
      <c r="AG3077" t="s">
        <v>288</v>
      </c>
      <c r="AH3077" t="s">
        <v>288</v>
      </c>
      <c r="AI3077" t="s">
        <v>288</v>
      </c>
    </row>
    <row r="3078" spans="1:35">
      <c r="A3078">
        <v>3077</v>
      </c>
      <c r="B3078" t="str">
        <f>"600709"</f>
        <v>600709</v>
      </c>
      <c r="C3078" t="s">
        <v>13235</v>
      </c>
      <c r="D3078" t="s">
        <v>288</v>
      </c>
      <c r="E3078" t="s">
        <v>288</v>
      </c>
      <c r="F3078" t="s">
        <v>288</v>
      </c>
      <c r="G3078" t="s">
        <v>288</v>
      </c>
      <c r="H3078" t="s">
        <v>288</v>
      </c>
      <c r="I3078" t="s">
        <v>288</v>
      </c>
      <c r="J3078" t="s">
        <v>288</v>
      </c>
      <c r="K3078" t="s">
        <v>288</v>
      </c>
      <c r="L3078" t="s">
        <v>288</v>
      </c>
      <c r="M3078" t="s">
        <v>288</v>
      </c>
      <c r="N3078" t="s">
        <v>288</v>
      </c>
      <c r="O3078" t="s">
        <v>288</v>
      </c>
      <c r="P3078" t="s">
        <v>288</v>
      </c>
      <c r="Q3078" t="s">
        <v>288</v>
      </c>
      <c r="R3078" t="s">
        <v>288</v>
      </c>
      <c r="S3078" t="s">
        <v>288</v>
      </c>
      <c r="T3078" t="s">
        <v>288</v>
      </c>
      <c r="U3078" t="s">
        <v>288</v>
      </c>
      <c r="V3078" t="s">
        <v>288</v>
      </c>
      <c r="W3078" t="s">
        <v>288</v>
      </c>
      <c r="X3078" t="s">
        <v>288</v>
      </c>
      <c r="Y3078" t="s">
        <v>288</v>
      </c>
      <c r="Z3078" t="s">
        <v>288</v>
      </c>
      <c r="AA3078" t="s">
        <v>288</v>
      </c>
      <c r="AB3078" t="s">
        <v>288</v>
      </c>
      <c r="AC3078" t="s">
        <v>288</v>
      </c>
      <c r="AD3078" t="s">
        <v>288</v>
      </c>
      <c r="AE3078" t="s">
        <v>288</v>
      </c>
      <c r="AF3078" t="s">
        <v>288</v>
      </c>
      <c r="AG3078" t="s">
        <v>288</v>
      </c>
      <c r="AH3078" t="s">
        <v>288</v>
      </c>
      <c r="AI3078" t="s">
        <v>288</v>
      </c>
    </row>
    <row r="3079" spans="1:35">
      <c r="A3079">
        <v>3078</v>
      </c>
      <c r="B3079" t="str">
        <f>"600700"</f>
        <v>600700</v>
      </c>
      <c r="C3079" t="s">
        <v>13236</v>
      </c>
      <c r="D3079" t="s">
        <v>288</v>
      </c>
      <c r="E3079" t="s">
        <v>288</v>
      </c>
      <c r="F3079" t="s">
        <v>288</v>
      </c>
      <c r="G3079" t="s">
        <v>288</v>
      </c>
      <c r="H3079" t="s">
        <v>288</v>
      </c>
      <c r="I3079" t="s">
        <v>288</v>
      </c>
      <c r="J3079" t="s">
        <v>288</v>
      </c>
      <c r="K3079" t="s">
        <v>288</v>
      </c>
      <c r="L3079" t="s">
        <v>288</v>
      </c>
      <c r="M3079" t="s">
        <v>288</v>
      </c>
      <c r="N3079" t="s">
        <v>288</v>
      </c>
      <c r="O3079" t="s">
        <v>288</v>
      </c>
      <c r="P3079" t="s">
        <v>288</v>
      </c>
      <c r="Q3079" t="s">
        <v>288</v>
      </c>
      <c r="R3079" t="s">
        <v>288</v>
      </c>
      <c r="S3079" t="s">
        <v>288</v>
      </c>
      <c r="T3079" t="s">
        <v>288</v>
      </c>
      <c r="U3079" t="s">
        <v>288</v>
      </c>
      <c r="V3079" t="s">
        <v>288</v>
      </c>
      <c r="W3079" t="s">
        <v>288</v>
      </c>
      <c r="X3079" t="s">
        <v>288</v>
      </c>
      <c r="Y3079" t="s">
        <v>288</v>
      </c>
      <c r="Z3079" t="s">
        <v>288</v>
      </c>
      <c r="AA3079" t="s">
        <v>288</v>
      </c>
      <c r="AB3079" t="s">
        <v>288</v>
      </c>
      <c r="AC3079" t="s">
        <v>288</v>
      </c>
      <c r="AD3079" t="s">
        <v>288</v>
      </c>
      <c r="AE3079" t="s">
        <v>288</v>
      </c>
      <c r="AF3079" t="s">
        <v>288</v>
      </c>
      <c r="AG3079" t="s">
        <v>288</v>
      </c>
      <c r="AH3079" t="s">
        <v>288</v>
      </c>
      <c r="AI3079" t="s">
        <v>288</v>
      </c>
    </row>
    <row r="3080" spans="1:35">
      <c r="A3080">
        <v>3079</v>
      </c>
      <c r="B3080" t="str">
        <f>"600672"</f>
        <v>600672</v>
      </c>
      <c r="C3080" t="s">
        <v>13237</v>
      </c>
      <c r="D3080" t="s">
        <v>288</v>
      </c>
      <c r="E3080" t="s">
        <v>288</v>
      </c>
      <c r="F3080" t="s">
        <v>288</v>
      </c>
      <c r="G3080" t="s">
        <v>288</v>
      </c>
      <c r="H3080" t="s">
        <v>288</v>
      </c>
      <c r="I3080" t="s">
        <v>288</v>
      </c>
      <c r="J3080" t="s">
        <v>288</v>
      </c>
      <c r="K3080" t="s">
        <v>288</v>
      </c>
      <c r="L3080" t="s">
        <v>288</v>
      </c>
      <c r="M3080" t="s">
        <v>288</v>
      </c>
      <c r="N3080" t="s">
        <v>288</v>
      </c>
      <c r="O3080" t="s">
        <v>288</v>
      </c>
      <c r="P3080" t="s">
        <v>288</v>
      </c>
      <c r="Q3080" t="s">
        <v>288</v>
      </c>
      <c r="R3080" t="s">
        <v>288</v>
      </c>
      <c r="S3080" t="s">
        <v>288</v>
      </c>
      <c r="T3080" t="s">
        <v>288</v>
      </c>
      <c r="U3080" t="s">
        <v>288</v>
      </c>
      <c r="V3080" t="s">
        <v>288</v>
      </c>
      <c r="W3080" t="s">
        <v>288</v>
      </c>
      <c r="X3080" t="s">
        <v>288</v>
      </c>
      <c r="Y3080" t="s">
        <v>288</v>
      </c>
      <c r="Z3080" t="s">
        <v>288</v>
      </c>
      <c r="AA3080" t="s">
        <v>288</v>
      </c>
      <c r="AB3080" t="s">
        <v>288</v>
      </c>
      <c r="AC3080" t="s">
        <v>288</v>
      </c>
      <c r="AD3080" t="s">
        <v>288</v>
      </c>
      <c r="AE3080" t="s">
        <v>288</v>
      </c>
      <c r="AF3080" t="s">
        <v>288</v>
      </c>
      <c r="AG3080" t="s">
        <v>288</v>
      </c>
      <c r="AH3080" t="s">
        <v>288</v>
      </c>
      <c r="AI3080" t="s">
        <v>288</v>
      </c>
    </row>
    <row r="3081" spans="1:35">
      <c r="A3081">
        <v>3080</v>
      </c>
      <c r="B3081" t="str">
        <f>"600670"</f>
        <v>600670</v>
      </c>
      <c r="C3081" t="s">
        <v>13238</v>
      </c>
      <c r="D3081" t="s">
        <v>288</v>
      </c>
      <c r="E3081" t="s">
        <v>288</v>
      </c>
      <c r="F3081" t="s">
        <v>288</v>
      </c>
      <c r="G3081" t="s">
        <v>288</v>
      </c>
      <c r="H3081" t="s">
        <v>288</v>
      </c>
      <c r="I3081" t="s">
        <v>288</v>
      </c>
      <c r="J3081" t="s">
        <v>288</v>
      </c>
      <c r="K3081" t="s">
        <v>288</v>
      </c>
      <c r="L3081" t="s">
        <v>288</v>
      </c>
      <c r="M3081" t="s">
        <v>288</v>
      </c>
      <c r="N3081" t="s">
        <v>288</v>
      </c>
      <c r="O3081" t="s">
        <v>288</v>
      </c>
      <c r="P3081" t="s">
        <v>288</v>
      </c>
      <c r="Q3081" t="s">
        <v>288</v>
      </c>
      <c r="R3081" t="s">
        <v>288</v>
      </c>
      <c r="S3081" t="s">
        <v>288</v>
      </c>
      <c r="T3081" t="s">
        <v>288</v>
      </c>
      <c r="U3081" t="s">
        <v>288</v>
      </c>
      <c r="V3081" t="s">
        <v>288</v>
      </c>
      <c r="W3081" t="s">
        <v>288</v>
      </c>
      <c r="X3081" t="s">
        <v>288</v>
      </c>
      <c r="Y3081" t="s">
        <v>288</v>
      </c>
      <c r="Z3081" t="s">
        <v>288</v>
      </c>
      <c r="AA3081" t="s">
        <v>288</v>
      </c>
      <c r="AB3081" t="s">
        <v>288</v>
      </c>
      <c r="AC3081" t="s">
        <v>288</v>
      </c>
      <c r="AD3081" t="s">
        <v>288</v>
      </c>
      <c r="AE3081" t="s">
        <v>288</v>
      </c>
      <c r="AF3081" t="s">
        <v>288</v>
      </c>
      <c r="AG3081" t="s">
        <v>288</v>
      </c>
      <c r="AH3081" t="s">
        <v>288</v>
      </c>
      <c r="AI3081" t="s">
        <v>288</v>
      </c>
    </row>
    <row r="3082" spans="1:35">
      <c r="A3082">
        <v>3081</v>
      </c>
      <c r="B3082" t="str">
        <f>"600669"</f>
        <v>600669</v>
      </c>
      <c r="C3082" t="s">
        <v>13239</v>
      </c>
      <c r="D3082" t="s">
        <v>288</v>
      </c>
      <c r="E3082" t="s">
        <v>288</v>
      </c>
      <c r="F3082" t="s">
        <v>288</v>
      </c>
      <c r="G3082" t="s">
        <v>288</v>
      </c>
      <c r="H3082" t="s">
        <v>288</v>
      </c>
      <c r="I3082" t="s">
        <v>288</v>
      </c>
      <c r="J3082" t="s">
        <v>288</v>
      </c>
      <c r="K3082" t="s">
        <v>288</v>
      </c>
      <c r="L3082" t="s">
        <v>288</v>
      </c>
      <c r="M3082" t="s">
        <v>288</v>
      </c>
      <c r="N3082" t="s">
        <v>288</v>
      </c>
      <c r="O3082" t="s">
        <v>288</v>
      </c>
      <c r="P3082" t="s">
        <v>288</v>
      </c>
      <c r="Q3082" t="s">
        <v>288</v>
      </c>
      <c r="R3082" t="s">
        <v>288</v>
      </c>
      <c r="S3082" t="s">
        <v>288</v>
      </c>
      <c r="T3082" t="s">
        <v>288</v>
      </c>
      <c r="U3082" t="s">
        <v>288</v>
      </c>
      <c r="V3082" t="s">
        <v>288</v>
      </c>
      <c r="W3082" t="s">
        <v>288</v>
      </c>
      <c r="X3082" t="s">
        <v>288</v>
      </c>
      <c r="Y3082" t="s">
        <v>288</v>
      </c>
      <c r="Z3082" t="s">
        <v>288</v>
      </c>
      <c r="AA3082" t="s">
        <v>288</v>
      </c>
      <c r="AB3082" t="s">
        <v>288</v>
      </c>
      <c r="AC3082" t="s">
        <v>288</v>
      </c>
      <c r="AD3082" t="s">
        <v>288</v>
      </c>
      <c r="AE3082" t="s">
        <v>288</v>
      </c>
      <c r="AF3082" t="s">
        <v>288</v>
      </c>
      <c r="AG3082" t="s">
        <v>288</v>
      </c>
      <c r="AH3082" t="s">
        <v>288</v>
      </c>
      <c r="AI3082" t="s">
        <v>288</v>
      </c>
    </row>
    <row r="3083" spans="1:35">
      <c r="A3083">
        <v>3082</v>
      </c>
      <c r="B3083" t="str">
        <f>"600659"</f>
        <v>600659</v>
      </c>
      <c r="C3083" t="s">
        <v>13240</v>
      </c>
      <c r="D3083" t="s">
        <v>288</v>
      </c>
      <c r="E3083" t="s">
        <v>288</v>
      </c>
      <c r="F3083" t="s">
        <v>288</v>
      </c>
      <c r="G3083" t="s">
        <v>288</v>
      </c>
      <c r="H3083" t="s">
        <v>288</v>
      </c>
      <c r="I3083" t="s">
        <v>288</v>
      </c>
      <c r="J3083" t="s">
        <v>288</v>
      </c>
      <c r="K3083" t="s">
        <v>288</v>
      </c>
      <c r="L3083" t="s">
        <v>288</v>
      </c>
      <c r="M3083" t="s">
        <v>288</v>
      </c>
      <c r="N3083" t="s">
        <v>288</v>
      </c>
      <c r="O3083" t="s">
        <v>288</v>
      </c>
      <c r="P3083" t="s">
        <v>288</v>
      </c>
      <c r="Q3083" t="s">
        <v>288</v>
      </c>
      <c r="R3083" t="s">
        <v>288</v>
      </c>
      <c r="S3083" t="s">
        <v>288</v>
      </c>
      <c r="T3083" t="s">
        <v>288</v>
      </c>
      <c r="U3083" t="s">
        <v>288</v>
      </c>
      <c r="V3083" t="s">
        <v>288</v>
      </c>
      <c r="W3083" t="s">
        <v>288</v>
      </c>
      <c r="X3083" t="s">
        <v>288</v>
      </c>
      <c r="Y3083" t="s">
        <v>288</v>
      </c>
      <c r="Z3083" t="s">
        <v>288</v>
      </c>
      <c r="AA3083" t="s">
        <v>288</v>
      </c>
      <c r="AB3083" t="s">
        <v>288</v>
      </c>
      <c r="AC3083" t="s">
        <v>288</v>
      </c>
      <c r="AD3083" t="s">
        <v>288</v>
      </c>
      <c r="AE3083" t="s">
        <v>288</v>
      </c>
      <c r="AF3083" t="s">
        <v>288</v>
      </c>
      <c r="AG3083" t="s">
        <v>288</v>
      </c>
      <c r="AH3083" t="s">
        <v>288</v>
      </c>
      <c r="AI3083" t="s">
        <v>288</v>
      </c>
    </row>
    <row r="3084" spans="1:35">
      <c r="A3084">
        <v>3083</v>
      </c>
      <c r="B3084" t="str">
        <f>"600656"</f>
        <v>600656</v>
      </c>
      <c r="C3084" t="s">
        <v>13241</v>
      </c>
      <c r="D3084" s="4">
        <v>42460</v>
      </c>
      <c r="E3084" t="s">
        <v>2123</v>
      </c>
      <c r="F3084" t="s">
        <v>2123</v>
      </c>
      <c r="G3084">
        <v>6328</v>
      </c>
      <c r="H3084">
        <v>-0.03</v>
      </c>
      <c r="I3084">
        <v>2.36</v>
      </c>
      <c r="J3084">
        <v>0</v>
      </c>
      <c r="K3084">
        <v>0</v>
      </c>
      <c r="L3084">
        <v>0</v>
      </c>
      <c r="M3084" t="s">
        <v>13242</v>
      </c>
      <c r="N3084">
        <v>0</v>
      </c>
      <c r="O3084" t="s">
        <v>13243</v>
      </c>
      <c r="P3084" t="s">
        <v>13243</v>
      </c>
      <c r="Q3084">
        <v>0</v>
      </c>
      <c r="R3084" t="s">
        <v>13244</v>
      </c>
      <c r="S3084">
        <v>-4.21</v>
      </c>
      <c r="T3084">
        <v>0</v>
      </c>
      <c r="U3084" t="s">
        <v>894</v>
      </c>
      <c r="V3084" t="s">
        <v>9018</v>
      </c>
      <c r="W3084" t="s">
        <v>13245</v>
      </c>
      <c r="X3084">
        <v>0</v>
      </c>
      <c r="Y3084" t="s">
        <v>318</v>
      </c>
      <c r="Z3084" t="s">
        <v>2922</v>
      </c>
      <c r="AA3084" t="s">
        <v>7392</v>
      </c>
      <c r="AB3084">
        <v>1.9</v>
      </c>
      <c r="AC3084" t="s">
        <v>3321</v>
      </c>
      <c r="AD3084">
        <v>45.05</v>
      </c>
      <c r="AE3084" t="s">
        <v>407</v>
      </c>
      <c r="AF3084">
        <v>5.54</v>
      </c>
      <c r="AG3084">
        <v>0</v>
      </c>
      <c r="AH3084">
        <v>0</v>
      </c>
      <c r="AI3084" s="4">
        <v>33226</v>
      </c>
    </row>
    <row r="3085" spans="1:35">
      <c r="A3085">
        <v>3084</v>
      </c>
      <c r="B3085" t="str">
        <f>"600646"</f>
        <v>600646</v>
      </c>
      <c r="C3085" t="s">
        <v>13246</v>
      </c>
      <c r="D3085" t="s">
        <v>288</v>
      </c>
      <c r="E3085" t="s">
        <v>288</v>
      </c>
      <c r="F3085" t="s">
        <v>288</v>
      </c>
      <c r="G3085" t="s">
        <v>288</v>
      </c>
      <c r="H3085" t="s">
        <v>288</v>
      </c>
      <c r="I3085" t="s">
        <v>288</v>
      </c>
      <c r="J3085" t="s">
        <v>288</v>
      </c>
      <c r="K3085" t="s">
        <v>288</v>
      </c>
      <c r="L3085" t="s">
        <v>288</v>
      </c>
      <c r="M3085" t="s">
        <v>288</v>
      </c>
      <c r="N3085" t="s">
        <v>288</v>
      </c>
      <c r="O3085" t="s">
        <v>288</v>
      </c>
      <c r="P3085" t="s">
        <v>288</v>
      </c>
      <c r="Q3085" t="s">
        <v>288</v>
      </c>
      <c r="R3085" t="s">
        <v>288</v>
      </c>
      <c r="S3085" t="s">
        <v>288</v>
      </c>
      <c r="T3085" t="s">
        <v>288</v>
      </c>
      <c r="U3085" t="s">
        <v>288</v>
      </c>
      <c r="V3085" t="s">
        <v>288</v>
      </c>
      <c r="W3085" t="s">
        <v>288</v>
      </c>
      <c r="X3085" t="s">
        <v>288</v>
      </c>
      <c r="Y3085" t="s">
        <v>288</v>
      </c>
      <c r="Z3085" t="s">
        <v>288</v>
      </c>
      <c r="AA3085" t="s">
        <v>288</v>
      </c>
      <c r="AB3085" t="s">
        <v>288</v>
      </c>
      <c r="AC3085" t="s">
        <v>288</v>
      </c>
      <c r="AD3085" t="s">
        <v>288</v>
      </c>
      <c r="AE3085" t="s">
        <v>288</v>
      </c>
      <c r="AF3085" t="s">
        <v>288</v>
      </c>
      <c r="AG3085" t="s">
        <v>288</v>
      </c>
      <c r="AH3085" t="s">
        <v>288</v>
      </c>
      <c r="AI3085" t="s">
        <v>288</v>
      </c>
    </row>
    <row r="3086" spans="1:35">
      <c r="A3086">
        <v>3085</v>
      </c>
      <c r="B3086" t="str">
        <f>"600632"</f>
        <v>600632</v>
      </c>
      <c r="C3086" t="s">
        <v>13247</v>
      </c>
      <c r="D3086" t="s">
        <v>288</v>
      </c>
      <c r="E3086" t="s">
        <v>288</v>
      </c>
      <c r="F3086" t="s">
        <v>288</v>
      </c>
      <c r="G3086" t="s">
        <v>288</v>
      </c>
      <c r="H3086" t="s">
        <v>288</v>
      </c>
      <c r="I3086" t="s">
        <v>288</v>
      </c>
      <c r="J3086" t="s">
        <v>288</v>
      </c>
      <c r="K3086" t="s">
        <v>288</v>
      </c>
      <c r="L3086" t="s">
        <v>288</v>
      </c>
      <c r="M3086" t="s">
        <v>288</v>
      </c>
      <c r="N3086" t="s">
        <v>288</v>
      </c>
      <c r="O3086" t="s">
        <v>288</v>
      </c>
      <c r="P3086" t="s">
        <v>288</v>
      </c>
      <c r="Q3086" t="s">
        <v>288</v>
      </c>
      <c r="R3086" t="s">
        <v>288</v>
      </c>
      <c r="S3086" t="s">
        <v>288</v>
      </c>
      <c r="T3086" t="s">
        <v>288</v>
      </c>
      <c r="U3086" t="s">
        <v>288</v>
      </c>
      <c r="V3086" t="s">
        <v>288</v>
      </c>
      <c r="W3086" t="s">
        <v>288</v>
      </c>
      <c r="X3086" t="s">
        <v>288</v>
      </c>
      <c r="Y3086" t="s">
        <v>288</v>
      </c>
      <c r="Z3086" t="s">
        <v>288</v>
      </c>
      <c r="AA3086" t="s">
        <v>288</v>
      </c>
      <c r="AB3086" t="s">
        <v>288</v>
      </c>
      <c r="AC3086" t="s">
        <v>288</v>
      </c>
      <c r="AD3086" t="s">
        <v>288</v>
      </c>
      <c r="AE3086" t="s">
        <v>288</v>
      </c>
      <c r="AF3086" t="s">
        <v>288</v>
      </c>
      <c r="AG3086" t="s">
        <v>288</v>
      </c>
      <c r="AH3086" t="s">
        <v>288</v>
      </c>
      <c r="AI3086" t="s">
        <v>288</v>
      </c>
    </row>
    <row r="3087" spans="1:35">
      <c r="A3087">
        <v>3086</v>
      </c>
      <c r="B3087" t="str">
        <f>"600631"</f>
        <v>600631</v>
      </c>
      <c r="C3087" t="s">
        <v>8055</v>
      </c>
      <c r="D3087" t="s">
        <v>288</v>
      </c>
      <c r="E3087" t="s">
        <v>288</v>
      </c>
      <c r="F3087" t="s">
        <v>288</v>
      </c>
      <c r="G3087" t="s">
        <v>288</v>
      </c>
      <c r="H3087" t="s">
        <v>288</v>
      </c>
      <c r="I3087" t="s">
        <v>288</v>
      </c>
      <c r="J3087" t="s">
        <v>288</v>
      </c>
      <c r="K3087" t="s">
        <v>288</v>
      </c>
      <c r="L3087" t="s">
        <v>288</v>
      </c>
      <c r="M3087" t="s">
        <v>288</v>
      </c>
      <c r="N3087" t="s">
        <v>288</v>
      </c>
      <c r="O3087" t="s">
        <v>288</v>
      </c>
      <c r="P3087" t="s">
        <v>288</v>
      </c>
      <c r="Q3087" t="s">
        <v>288</v>
      </c>
      <c r="R3087" t="s">
        <v>288</v>
      </c>
      <c r="S3087" t="s">
        <v>288</v>
      </c>
      <c r="T3087" t="s">
        <v>288</v>
      </c>
      <c r="U3087" t="s">
        <v>288</v>
      </c>
      <c r="V3087" t="s">
        <v>288</v>
      </c>
      <c r="W3087" t="s">
        <v>288</v>
      </c>
      <c r="X3087" t="s">
        <v>288</v>
      </c>
      <c r="Y3087" t="s">
        <v>288</v>
      </c>
      <c r="Z3087" t="s">
        <v>288</v>
      </c>
      <c r="AA3087" t="s">
        <v>288</v>
      </c>
      <c r="AB3087" t="s">
        <v>288</v>
      </c>
      <c r="AC3087" t="s">
        <v>288</v>
      </c>
      <c r="AD3087" t="s">
        <v>288</v>
      </c>
      <c r="AE3087" t="s">
        <v>288</v>
      </c>
      <c r="AF3087" t="s">
        <v>288</v>
      </c>
      <c r="AG3087" t="s">
        <v>288</v>
      </c>
      <c r="AH3087" t="s">
        <v>288</v>
      </c>
      <c r="AI3087" t="s">
        <v>288</v>
      </c>
    </row>
    <row r="3088" spans="1:35">
      <c r="A3088">
        <v>3087</v>
      </c>
      <c r="B3088" t="str">
        <f>"600627"</f>
        <v>600627</v>
      </c>
      <c r="C3088" t="s">
        <v>13248</v>
      </c>
      <c r="D3088" t="s">
        <v>288</v>
      </c>
      <c r="E3088" t="s">
        <v>288</v>
      </c>
      <c r="F3088" t="s">
        <v>288</v>
      </c>
      <c r="G3088" t="s">
        <v>288</v>
      </c>
      <c r="H3088" t="s">
        <v>288</v>
      </c>
      <c r="I3088" t="s">
        <v>288</v>
      </c>
      <c r="J3088" t="s">
        <v>288</v>
      </c>
      <c r="K3088" t="s">
        <v>288</v>
      </c>
      <c r="L3088" t="s">
        <v>288</v>
      </c>
      <c r="M3088" t="s">
        <v>288</v>
      </c>
      <c r="N3088" t="s">
        <v>288</v>
      </c>
      <c r="O3088" t="s">
        <v>288</v>
      </c>
      <c r="P3088" t="s">
        <v>288</v>
      </c>
      <c r="Q3088" t="s">
        <v>288</v>
      </c>
      <c r="R3088" t="s">
        <v>288</v>
      </c>
      <c r="S3088" t="s">
        <v>288</v>
      </c>
      <c r="T3088" t="s">
        <v>288</v>
      </c>
      <c r="U3088" t="s">
        <v>288</v>
      </c>
      <c r="V3088" t="s">
        <v>288</v>
      </c>
      <c r="W3088" t="s">
        <v>288</v>
      </c>
      <c r="X3088" t="s">
        <v>288</v>
      </c>
      <c r="Y3088" t="s">
        <v>288</v>
      </c>
      <c r="Z3088" t="s">
        <v>288</v>
      </c>
      <c r="AA3088" t="s">
        <v>288</v>
      </c>
      <c r="AB3088" t="s">
        <v>288</v>
      </c>
      <c r="AC3088" t="s">
        <v>288</v>
      </c>
      <c r="AD3088" t="s">
        <v>288</v>
      </c>
      <c r="AE3088" t="s">
        <v>288</v>
      </c>
      <c r="AF3088" t="s">
        <v>288</v>
      </c>
      <c r="AG3088" t="s">
        <v>288</v>
      </c>
      <c r="AH3088" t="s">
        <v>288</v>
      </c>
      <c r="AI3088" t="s">
        <v>288</v>
      </c>
    </row>
    <row r="3089" spans="1:35">
      <c r="A3089">
        <v>3088</v>
      </c>
      <c r="B3089" t="str">
        <f>"600625"</f>
        <v>600625</v>
      </c>
      <c r="C3089" t="s">
        <v>13249</v>
      </c>
      <c r="D3089" t="s">
        <v>288</v>
      </c>
      <c r="E3089" t="s">
        <v>288</v>
      </c>
      <c r="F3089" t="s">
        <v>288</v>
      </c>
      <c r="G3089" t="s">
        <v>288</v>
      </c>
      <c r="H3089" t="s">
        <v>288</v>
      </c>
      <c r="I3089" t="s">
        <v>288</v>
      </c>
      <c r="J3089" t="s">
        <v>288</v>
      </c>
      <c r="K3089" t="s">
        <v>288</v>
      </c>
      <c r="L3089" t="s">
        <v>288</v>
      </c>
      <c r="M3089" t="s">
        <v>288</v>
      </c>
      <c r="N3089" t="s">
        <v>288</v>
      </c>
      <c r="O3089" t="s">
        <v>288</v>
      </c>
      <c r="P3089" t="s">
        <v>288</v>
      </c>
      <c r="Q3089" t="s">
        <v>288</v>
      </c>
      <c r="R3089" t="s">
        <v>288</v>
      </c>
      <c r="S3089" t="s">
        <v>288</v>
      </c>
      <c r="T3089" t="s">
        <v>288</v>
      </c>
      <c r="U3089" t="s">
        <v>288</v>
      </c>
      <c r="V3089" t="s">
        <v>288</v>
      </c>
      <c r="W3089" t="s">
        <v>288</v>
      </c>
      <c r="X3089" t="s">
        <v>288</v>
      </c>
      <c r="Y3089" t="s">
        <v>288</v>
      </c>
      <c r="Z3089" t="s">
        <v>288</v>
      </c>
      <c r="AA3089" t="s">
        <v>288</v>
      </c>
      <c r="AB3089" t="s">
        <v>288</v>
      </c>
      <c r="AC3089" t="s">
        <v>288</v>
      </c>
      <c r="AD3089" t="s">
        <v>288</v>
      </c>
      <c r="AE3089" t="s">
        <v>288</v>
      </c>
      <c r="AF3089" t="s">
        <v>288</v>
      </c>
      <c r="AG3089" t="s">
        <v>288</v>
      </c>
      <c r="AH3089" t="s">
        <v>288</v>
      </c>
      <c r="AI3089" t="s">
        <v>288</v>
      </c>
    </row>
    <row r="3090" spans="1:35">
      <c r="A3090">
        <v>3089</v>
      </c>
      <c r="B3090" t="str">
        <f>"600607"</f>
        <v>600607</v>
      </c>
      <c r="C3090" t="s">
        <v>13250</v>
      </c>
      <c r="D3090" t="s">
        <v>288</v>
      </c>
      <c r="E3090" t="s">
        <v>288</v>
      </c>
      <c r="F3090" t="s">
        <v>288</v>
      </c>
      <c r="G3090" t="s">
        <v>288</v>
      </c>
      <c r="H3090" t="s">
        <v>288</v>
      </c>
      <c r="I3090" t="s">
        <v>288</v>
      </c>
      <c r="J3090" t="s">
        <v>288</v>
      </c>
      <c r="K3090" t="s">
        <v>288</v>
      </c>
      <c r="L3090" t="s">
        <v>288</v>
      </c>
      <c r="M3090" t="s">
        <v>288</v>
      </c>
      <c r="N3090" t="s">
        <v>288</v>
      </c>
      <c r="O3090" t="s">
        <v>288</v>
      </c>
      <c r="P3090" t="s">
        <v>288</v>
      </c>
      <c r="Q3090" t="s">
        <v>288</v>
      </c>
      <c r="R3090" t="s">
        <v>288</v>
      </c>
      <c r="S3090" t="s">
        <v>288</v>
      </c>
      <c r="T3090" t="s">
        <v>288</v>
      </c>
      <c r="U3090" t="s">
        <v>288</v>
      </c>
      <c r="V3090" t="s">
        <v>288</v>
      </c>
      <c r="W3090" t="s">
        <v>288</v>
      </c>
      <c r="X3090" t="s">
        <v>288</v>
      </c>
      <c r="Y3090" t="s">
        <v>288</v>
      </c>
      <c r="Z3090" t="s">
        <v>288</v>
      </c>
      <c r="AA3090" t="s">
        <v>288</v>
      </c>
      <c r="AB3090" t="s">
        <v>288</v>
      </c>
      <c r="AC3090" t="s">
        <v>288</v>
      </c>
      <c r="AD3090" t="s">
        <v>288</v>
      </c>
      <c r="AE3090" t="s">
        <v>288</v>
      </c>
      <c r="AF3090" t="s">
        <v>288</v>
      </c>
      <c r="AG3090" t="s">
        <v>288</v>
      </c>
      <c r="AH3090" t="s">
        <v>288</v>
      </c>
      <c r="AI3090" t="s">
        <v>288</v>
      </c>
    </row>
    <row r="3091" spans="1:35">
      <c r="A3091">
        <v>3090</v>
      </c>
      <c r="B3091" t="str">
        <f>"600591"</f>
        <v>600591</v>
      </c>
      <c r="C3091" t="s">
        <v>13251</v>
      </c>
      <c r="D3091" t="s">
        <v>288</v>
      </c>
      <c r="E3091" t="s">
        <v>288</v>
      </c>
      <c r="F3091" t="s">
        <v>288</v>
      </c>
      <c r="G3091" t="s">
        <v>288</v>
      </c>
      <c r="H3091" t="s">
        <v>288</v>
      </c>
      <c r="I3091" t="s">
        <v>288</v>
      </c>
      <c r="J3091" t="s">
        <v>288</v>
      </c>
      <c r="K3091" t="s">
        <v>288</v>
      </c>
      <c r="L3091" t="s">
        <v>288</v>
      </c>
      <c r="M3091" t="s">
        <v>288</v>
      </c>
      <c r="N3091" t="s">
        <v>288</v>
      </c>
      <c r="O3091" t="s">
        <v>288</v>
      </c>
      <c r="P3091" t="s">
        <v>288</v>
      </c>
      <c r="Q3091" t="s">
        <v>288</v>
      </c>
      <c r="R3091" t="s">
        <v>288</v>
      </c>
      <c r="S3091" t="s">
        <v>288</v>
      </c>
      <c r="T3091" t="s">
        <v>288</v>
      </c>
      <c r="U3091" t="s">
        <v>288</v>
      </c>
      <c r="V3091" t="s">
        <v>288</v>
      </c>
      <c r="W3091" t="s">
        <v>288</v>
      </c>
      <c r="X3091" t="s">
        <v>288</v>
      </c>
      <c r="Y3091" t="s">
        <v>288</v>
      </c>
      <c r="Z3091" t="s">
        <v>288</v>
      </c>
      <c r="AA3091" t="s">
        <v>288</v>
      </c>
      <c r="AB3091" t="s">
        <v>288</v>
      </c>
      <c r="AC3091" t="s">
        <v>288</v>
      </c>
      <c r="AD3091" t="s">
        <v>288</v>
      </c>
      <c r="AE3091" t="s">
        <v>288</v>
      </c>
      <c r="AF3091" t="s">
        <v>288</v>
      </c>
      <c r="AG3091" t="s">
        <v>288</v>
      </c>
      <c r="AH3091" t="s">
        <v>288</v>
      </c>
      <c r="AI3091" t="s">
        <v>288</v>
      </c>
    </row>
    <row r="3092" spans="1:35">
      <c r="A3092">
        <v>3091</v>
      </c>
      <c r="B3092" t="str">
        <f>"600553"</f>
        <v>600553</v>
      </c>
      <c r="C3092" t="s">
        <v>13252</v>
      </c>
      <c r="D3092" t="s">
        <v>288</v>
      </c>
      <c r="E3092" t="s">
        <v>288</v>
      </c>
      <c r="F3092" t="s">
        <v>288</v>
      </c>
      <c r="G3092" t="s">
        <v>288</v>
      </c>
      <c r="H3092" t="s">
        <v>288</v>
      </c>
      <c r="I3092" t="s">
        <v>288</v>
      </c>
      <c r="J3092" t="s">
        <v>288</v>
      </c>
      <c r="K3092" t="s">
        <v>288</v>
      </c>
      <c r="L3092" t="s">
        <v>288</v>
      </c>
      <c r="M3092" t="s">
        <v>288</v>
      </c>
      <c r="N3092" t="s">
        <v>288</v>
      </c>
      <c r="O3092" t="s">
        <v>288</v>
      </c>
      <c r="P3092" t="s">
        <v>288</v>
      </c>
      <c r="Q3092" t="s">
        <v>288</v>
      </c>
      <c r="R3092" t="s">
        <v>288</v>
      </c>
      <c r="S3092" t="s">
        <v>288</v>
      </c>
      <c r="T3092" t="s">
        <v>288</v>
      </c>
      <c r="U3092" t="s">
        <v>288</v>
      </c>
      <c r="V3092" t="s">
        <v>288</v>
      </c>
      <c r="W3092" t="s">
        <v>288</v>
      </c>
      <c r="X3092" t="s">
        <v>288</v>
      </c>
      <c r="Y3092" t="s">
        <v>288</v>
      </c>
      <c r="Z3092" t="s">
        <v>288</v>
      </c>
      <c r="AA3092" t="s">
        <v>288</v>
      </c>
      <c r="AB3092" t="s">
        <v>288</v>
      </c>
      <c r="AC3092" t="s">
        <v>288</v>
      </c>
      <c r="AD3092" t="s">
        <v>288</v>
      </c>
      <c r="AE3092" t="s">
        <v>288</v>
      </c>
      <c r="AF3092" t="s">
        <v>288</v>
      </c>
      <c r="AG3092" t="s">
        <v>288</v>
      </c>
      <c r="AH3092" t="s">
        <v>288</v>
      </c>
      <c r="AI3092" t="s">
        <v>288</v>
      </c>
    </row>
    <row r="3093" spans="1:35">
      <c r="A3093">
        <v>3092</v>
      </c>
      <c r="B3093" t="str">
        <f>"600472"</f>
        <v>600472</v>
      </c>
      <c r="C3093" t="s">
        <v>13253</v>
      </c>
      <c r="D3093" t="s">
        <v>288</v>
      </c>
      <c r="E3093" t="s">
        <v>288</v>
      </c>
      <c r="F3093" t="s">
        <v>288</v>
      </c>
      <c r="G3093" t="s">
        <v>288</v>
      </c>
      <c r="H3093" t="s">
        <v>288</v>
      </c>
      <c r="I3093" t="s">
        <v>288</v>
      </c>
      <c r="J3093" t="s">
        <v>288</v>
      </c>
      <c r="K3093" t="s">
        <v>288</v>
      </c>
      <c r="L3093" t="s">
        <v>288</v>
      </c>
      <c r="M3093" t="s">
        <v>288</v>
      </c>
      <c r="N3093" t="s">
        <v>288</v>
      </c>
      <c r="O3093" t="s">
        <v>288</v>
      </c>
      <c r="P3093" t="s">
        <v>288</v>
      </c>
      <c r="Q3093" t="s">
        <v>288</v>
      </c>
      <c r="R3093" t="s">
        <v>288</v>
      </c>
      <c r="S3093" t="s">
        <v>288</v>
      </c>
      <c r="T3093" t="s">
        <v>288</v>
      </c>
      <c r="U3093" t="s">
        <v>288</v>
      </c>
      <c r="V3093" t="s">
        <v>288</v>
      </c>
      <c r="W3093" t="s">
        <v>288</v>
      </c>
      <c r="X3093" t="s">
        <v>288</v>
      </c>
      <c r="Y3093" t="s">
        <v>288</v>
      </c>
      <c r="Z3093" t="s">
        <v>288</v>
      </c>
      <c r="AA3093" t="s">
        <v>288</v>
      </c>
      <c r="AB3093" t="s">
        <v>288</v>
      </c>
      <c r="AC3093" t="s">
        <v>288</v>
      </c>
      <c r="AD3093" t="s">
        <v>288</v>
      </c>
      <c r="AE3093" t="s">
        <v>288</v>
      </c>
      <c r="AF3093" t="s">
        <v>288</v>
      </c>
      <c r="AG3093" t="s">
        <v>288</v>
      </c>
      <c r="AH3093" t="s">
        <v>288</v>
      </c>
      <c r="AI3093" t="s">
        <v>288</v>
      </c>
    </row>
    <row r="3094" spans="1:35">
      <c r="A3094">
        <v>3093</v>
      </c>
      <c r="B3094" t="str">
        <f>"600357"</f>
        <v>600357</v>
      </c>
      <c r="C3094" t="s">
        <v>13254</v>
      </c>
      <c r="D3094" t="s">
        <v>288</v>
      </c>
      <c r="E3094" t="s">
        <v>288</v>
      </c>
      <c r="F3094" t="s">
        <v>288</v>
      </c>
      <c r="G3094" t="s">
        <v>288</v>
      </c>
      <c r="H3094" t="s">
        <v>288</v>
      </c>
      <c r="I3094" t="s">
        <v>288</v>
      </c>
      <c r="J3094" t="s">
        <v>288</v>
      </c>
      <c r="K3094" t="s">
        <v>288</v>
      </c>
      <c r="L3094" t="s">
        <v>288</v>
      </c>
      <c r="M3094" t="s">
        <v>288</v>
      </c>
      <c r="N3094" t="s">
        <v>288</v>
      </c>
      <c r="O3094" t="s">
        <v>288</v>
      </c>
      <c r="P3094" t="s">
        <v>288</v>
      </c>
      <c r="Q3094" t="s">
        <v>288</v>
      </c>
      <c r="R3094" t="s">
        <v>288</v>
      </c>
      <c r="S3094" t="s">
        <v>288</v>
      </c>
      <c r="T3094" t="s">
        <v>288</v>
      </c>
      <c r="U3094" t="s">
        <v>288</v>
      </c>
      <c r="V3094" t="s">
        <v>288</v>
      </c>
      <c r="W3094" t="s">
        <v>288</v>
      </c>
      <c r="X3094" t="s">
        <v>288</v>
      </c>
      <c r="Y3094" t="s">
        <v>288</v>
      </c>
      <c r="Z3094" t="s">
        <v>288</v>
      </c>
      <c r="AA3094" t="s">
        <v>288</v>
      </c>
      <c r="AB3094" t="s">
        <v>288</v>
      </c>
      <c r="AC3094" t="s">
        <v>288</v>
      </c>
      <c r="AD3094" t="s">
        <v>288</v>
      </c>
      <c r="AE3094" t="s">
        <v>288</v>
      </c>
      <c r="AF3094" t="s">
        <v>288</v>
      </c>
      <c r="AG3094" t="s">
        <v>288</v>
      </c>
      <c r="AH3094" t="s">
        <v>288</v>
      </c>
      <c r="AI3094" t="s">
        <v>288</v>
      </c>
    </row>
    <row r="3095" spans="1:35">
      <c r="A3095">
        <v>3094</v>
      </c>
      <c r="B3095" t="str">
        <f>"600349"</f>
        <v>600349</v>
      </c>
      <c r="C3095" t="s">
        <v>13255</v>
      </c>
      <c r="D3095" s="4">
        <v>37802</v>
      </c>
      <c r="E3095" t="s">
        <v>677</v>
      </c>
      <c r="F3095">
        <v>0</v>
      </c>
      <c r="G3095">
        <v>0</v>
      </c>
      <c r="H3095">
        <v>0.1</v>
      </c>
      <c r="I3095">
        <v>1.69</v>
      </c>
      <c r="J3095">
        <v>0</v>
      </c>
      <c r="K3095">
        <v>0</v>
      </c>
      <c r="L3095">
        <v>0</v>
      </c>
      <c r="M3095" t="s">
        <v>8900</v>
      </c>
      <c r="N3095">
        <v>0</v>
      </c>
      <c r="O3095" t="s">
        <v>13256</v>
      </c>
      <c r="P3095" t="s">
        <v>12035</v>
      </c>
      <c r="Q3095">
        <v>0</v>
      </c>
      <c r="R3095" t="s">
        <v>13257</v>
      </c>
      <c r="S3095">
        <v>0.57999999999999996</v>
      </c>
      <c r="T3095">
        <v>0</v>
      </c>
      <c r="U3095" t="s">
        <v>701</v>
      </c>
      <c r="V3095" t="s">
        <v>478</v>
      </c>
      <c r="W3095" t="s">
        <v>492</v>
      </c>
      <c r="X3095">
        <v>0</v>
      </c>
      <c r="Y3095" t="s">
        <v>330</v>
      </c>
      <c r="Z3095" t="s">
        <v>535</v>
      </c>
      <c r="AA3095" t="s">
        <v>13258</v>
      </c>
      <c r="AB3095">
        <v>2.89</v>
      </c>
      <c r="AC3095" t="s">
        <v>3768</v>
      </c>
      <c r="AD3095">
        <v>36.590000000000003</v>
      </c>
      <c r="AE3095" t="s">
        <v>10370</v>
      </c>
      <c r="AF3095">
        <v>0</v>
      </c>
      <c r="AG3095">
        <v>0</v>
      </c>
      <c r="AH3095">
        <v>0</v>
      </c>
      <c r="AI3095" t="s">
        <v>99</v>
      </c>
    </row>
    <row r="3096" spans="1:35">
      <c r="A3096">
        <v>3095</v>
      </c>
      <c r="B3096" t="str">
        <f>"600311"</f>
        <v>600311</v>
      </c>
      <c r="C3096" t="s">
        <v>13259</v>
      </c>
      <c r="D3096" s="4">
        <v>43190</v>
      </c>
      <c r="E3096" t="s">
        <v>43</v>
      </c>
      <c r="F3096" t="s">
        <v>43</v>
      </c>
      <c r="G3096">
        <v>7914</v>
      </c>
      <c r="H3096">
        <v>0</v>
      </c>
      <c r="I3096">
        <v>1.25</v>
      </c>
      <c r="J3096">
        <v>0</v>
      </c>
      <c r="K3096" t="s">
        <v>2986</v>
      </c>
      <c r="L3096">
        <v>-8.49</v>
      </c>
      <c r="M3096" t="s">
        <v>13260</v>
      </c>
      <c r="N3096" t="s">
        <v>921</v>
      </c>
      <c r="O3096" t="s">
        <v>13261</v>
      </c>
      <c r="P3096" t="s">
        <v>13261</v>
      </c>
      <c r="Q3096">
        <v>104.59</v>
      </c>
      <c r="R3096" t="s">
        <v>13262</v>
      </c>
      <c r="S3096">
        <v>-0.16</v>
      </c>
      <c r="T3096">
        <v>-1.01</v>
      </c>
      <c r="U3096" t="s">
        <v>3752</v>
      </c>
      <c r="V3096" t="s">
        <v>1874</v>
      </c>
      <c r="W3096" t="s">
        <v>1402</v>
      </c>
      <c r="X3096">
        <v>0</v>
      </c>
      <c r="Y3096" t="s">
        <v>84</v>
      </c>
      <c r="Z3096" t="s">
        <v>595</v>
      </c>
      <c r="AA3096" t="s">
        <v>8258</v>
      </c>
      <c r="AB3096">
        <v>2.2400000000000002</v>
      </c>
      <c r="AC3096" t="s">
        <v>1415</v>
      </c>
      <c r="AD3096">
        <v>85.43</v>
      </c>
      <c r="AE3096" t="s">
        <v>66</v>
      </c>
      <c r="AF3096">
        <v>0.33</v>
      </c>
      <c r="AG3096">
        <v>0</v>
      </c>
      <c r="AH3096">
        <v>0</v>
      </c>
      <c r="AI3096" s="4">
        <v>37068</v>
      </c>
    </row>
    <row r="3097" spans="1:35">
      <c r="A3097">
        <v>3096</v>
      </c>
      <c r="B3097" t="str">
        <f>"600296"</f>
        <v>600296</v>
      </c>
      <c r="C3097" t="s">
        <v>13263</v>
      </c>
      <c r="D3097" t="s">
        <v>288</v>
      </c>
      <c r="E3097" t="s">
        <v>288</v>
      </c>
      <c r="F3097" t="s">
        <v>288</v>
      </c>
      <c r="G3097" t="s">
        <v>288</v>
      </c>
      <c r="H3097" t="s">
        <v>288</v>
      </c>
      <c r="I3097" t="s">
        <v>288</v>
      </c>
      <c r="J3097" t="s">
        <v>288</v>
      </c>
      <c r="K3097" t="s">
        <v>288</v>
      </c>
      <c r="L3097" t="s">
        <v>288</v>
      </c>
      <c r="M3097" t="s">
        <v>288</v>
      </c>
      <c r="N3097" t="s">
        <v>288</v>
      </c>
      <c r="O3097" t="s">
        <v>288</v>
      </c>
      <c r="P3097" t="s">
        <v>288</v>
      </c>
      <c r="Q3097" t="s">
        <v>288</v>
      </c>
      <c r="R3097" t="s">
        <v>288</v>
      </c>
      <c r="S3097" t="s">
        <v>288</v>
      </c>
      <c r="T3097" t="s">
        <v>288</v>
      </c>
      <c r="U3097" t="s">
        <v>288</v>
      </c>
      <c r="V3097" t="s">
        <v>288</v>
      </c>
      <c r="W3097" t="s">
        <v>288</v>
      </c>
      <c r="X3097" t="s">
        <v>288</v>
      </c>
      <c r="Y3097" t="s">
        <v>288</v>
      </c>
      <c r="Z3097" t="s">
        <v>288</v>
      </c>
      <c r="AA3097" t="s">
        <v>288</v>
      </c>
      <c r="AB3097" t="s">
        <v>288</v>
      </c>
      <c r="AC3097" t="s">
        <v>288</v>
      </c>
      <c r="AD3097" t="s">
        <v>288</v>
      </c>
      <c r="AE3097" t="s">
        <v>288</v>
      </c>
      <c r="AF3097" t="s">
        <v>288</v>
      </c>
      <c r="AG3097" t="s">
        <v>288</v>
      </c>
      <c r="AH3097" t="s">
        <v>288</v>
      </c>
      <c r="AI3097" t="s">
        <v>288</v>
      </c>
    </row>
    <row r="3098" spans="1:35">
      <c r="A3098">
        <v>3097</v>
      </c>
      <c r="B3098" t="str">
        <f>"600286"</f>
        <v>600286</v>
      </c>
      <c r="C3098" t="s">
        <v>13264</v>
      </c>
      <c r="D3098" t="s">
        <v>288</v>
      </c>
      <c r="E3098" t="s">
        <v>288</v>
      </c>
      <c r="F3098" t="s">
        <v>288</v>
      </c>
      <c r="G3098" t="s">
        <v>288</v>
      </c>
      <c r="H3098" t="s">
        <v>288</v>
      </c>
      <c r="I3098" t="s">
        <v>288</v>
      </c>
      <c r="J3098" t="s">
        <v>288</v>
      </c>
      <c r="K3098" t="s">
        <v>288</v>
      </c>
      <c r="L3098" t="s">
        <v>288</v>
      </c>
      <c r="M3098" t="s">
        <v>288</v>
      </c>
      <c r="N3098" t="s">
        <v>288</v>
      </c>
      <c r="O3098" t="s">
        <v>288</v>
      </c>
      <c r="P3098" t="s">
        <v>288</v>
      </c>
      <c r="Q3098" t="s">
        <v>288</v>
      </c>
      <c r="R3098" t="s">
        <v>288</v>
      </c>
      <c r="S3098" t="s">
        <v>288</v>
      </c>
      <c r="T3098" t="s">
        <v>288</v>
      </c>
      <c r="U3098" t="s">
        <v>288</v>
      </c>
      <c r="V3098" t="s">
        <v>288</v>
      </c>
      <c r="W3098" t="s">
        <v>288</v>
      </c>
      <c r="X3098" t="s">
        <v>288</v>
      </c>
      <c r="Y3098" t="s">
        <v>288</v>
      </c>
      <c r="Z3098" t="s">
        <v>288</v>
      </c>
      <c r="AA3098" t="s">
        <v>288</v>
      </c>
      <c r="AB3098" t="s">
        <v>288</v>
      </c>
      <c r="AC3098" t="s">
        <v>288</v>
      </c>
      <c r="AD3098" t="s">
        <v>288</v>
      </c>
      <c r="AE3098" t="s">
        <v>288</v>
      </c>
      <c r="AF3098" t="s">
        <v>288</v>
      </c>
      <c r="AG3098" t="s">
        <v>288</v>
      </c>
      <c r="AH3098" t="s">
        <v>288</v>
      </c>
      <c r="AI3098" t="s">
        <v>288</v>
      </c>
    </row>
    <row r="3099" spans="1:35">
      <c r="A3099">
        <v>3098</v>
      </c>
      <c r="B3099" t="str">
        <f>"600263"</f>
        <v>600263</v>
      </c>
      <c r="C3099" t="s">
        <v>13265</v>
      </c>
      <c r="D3099" t="s">
        <v>288</v>
      </c>
      <c r="E3099" t="s">
        <v>288</v>
      </c>
      <c r="F3099" t="s">
        <v>288</v>
      </c>
      <c r="G3099" t="s">
        <v>288</v>
      </c>
      <c r="H3099" t="s">
        <v>288</v>
      </c>
      <c r="I3099" t="s">
        <v>288</v>
      </c>
      <c r="J3099" t="s">
        <v>288</v>
      </c>
      <c r="K3099" t="s">
        <v>288</v>
      </c>
      <c r="L3099" t="s">
        <v>288</v>
      </c>
      <c r="M3099" t="s">
        <v>288</v>
      </c>
      <c r="N3099" t="s">
        <v>288</v>
      </c>
      <c r="O3099" t="s">
        <v>288</v>
      </c>
      <c r="P3099" t="s">
        <v>288</v>
      </c>
      <c r="Q3099" t="s">
        <v>288</v>
      </c>
      <c r="R3099" t="s">
        <v>288</v>
      </c>
      <c r="S3099" t="s">
        <v>288</v>
      </c>
      <c r="T3099" t="s">
        <v>288</v>
      </c>
      <c r="U3099" t="s">
        <v>288</v>
      </c>
      <c r="V3099" t="s">
        <v>288</v>
      </c>
      <c r="W3099" t="s">
        <v>288</v>
      </c>
      <c r="X3099" t="s">
        <v>288</v>
      </c>
      <c r="Y3099" t="s">
        <v>288</v>
      </c>
      <c r="Z3099" t="s">
        <v>288</v>
      </c>
      <c r="AA3099" t="s">
        <v>288</v>
      </c>
      <c r="AB3099" t="s">
        <v>288</v>
      </c>
      <c r="AC3099" t="s">
        <v>288</v>
      </c>
      <c r="AD3099" t="s">
        <v>288</v>
      </c>
      <c r="AE3099" t="s">
        <v>288</v>
      </c>
      <c r="AF3099" t="s">
        <v>288</v>
      </c>
      <c r="AG3099" t="s">
        <v>288</v>
      </c>
      <c r="AH3099" t="s">
        <v>288</v>
      </c>
      <c r="AI3099" t="s">
        <v>288</v>
      </c>
    </row>
    <row r="3100" spans="1:35">
      <c r="A3100">
        <v>3099</v>
      </c>
      <c r="B3100" t="str">
        <f>"600253"</f>
        <v>600253</v>
      </c>
      <c r="C3100" t="s">
        <v>13266</v>
      </c>
      <c r="D3100" t="s">
        <v>288</v>
      </c>
      <c r="E3100" t="s">
        <v>288</v>
      </c>
      <c r="F3100" t="s">
        <v>288</v>
      </c>
      <c r="G3100" t="s">
        <v>288</v>
      </c>
      <c r="H3100" t="s">
        <v>288</v>
      </c>
      <c r="I3100" t="s">
        <v>288</v>
      </c>
      <c r="J3100" t="s">
        <v>288</v>
      </c>
      <c r="K3100" t="s">
        <v>288</v>
      </c>
      <c r="L3100" t="s">
        <v>288</v>
      </c>
      <c r="M3100" t="s">
        <v>288</v>
      </c>
      <c r="N3100" t="s">
        <v>288</v>
      </c>
      <c r="O3100" t="s">
        <v>288</v>
      </c>
      <c r="P3100" t="s">
        <v>288</v>
      </c>
      <c r="Q3100" t="s">
        <v>288</v>
      </c>
      <c r="R3100" t="s">
        <v>288</v>
      </c>
      <c r="S3100" t="s">
        <v>288</v>
      </c>
      <c r="T3100" t="s">
        <v>288</v>
      </c>
      <c r="U3100" t="s">
        <v>288</v>
      </c>
      <c r="V3100" t="s">
        <v>288</v>
      </c>
      <c r="W3100" t="s">
        <v>288</v>
      </c>
      <c r="X3100" t="s">
        <v>288</v>
      </c>
      <c r="Y3100" t="s">
        <v>288</v>
      </c>
      <c r="Z3100" t="s">
        <v>288</v>
      </c>
      <c r="AA3100" t="s">
        <v>288</v>
      </c>
      <c r="AB3100" t="s">
        <v>288</v>
      </c>
      <c r="AC3100" t="s">
        <v>288</v>
      </c>
      <c r="AD3100" t="s">
        <v>288</v>
      </c>
      <c r="AE3100" t="s">
        <v>288</v>
      </c>
      <c r="AF3100" t="s">
        <v>288</v>
      </c>
      <c r="AG3100" t="s">
        <v>288</v>
      </c>
      <c r="AH3100" t="s">
        <v>288</v>
      </c>
      <c r="AI3100" t="s">
        <v>288</v>
      </c>
    </row>
    <row r="3101" spans="1:35">
      <c r="A3101">
        <v>3100</v>
      </c>
      <c r="B3101" t="str">
        <f>"600205"</f>
        <v>600205</v>
      </c>
      <c r="C3101" t="s">
        <v>13267</v>
      </c>
      <c r="D3101" t="s">
        <v>288</v>
      </c>
      <c r="E3101" t="s">
        <v>288</v>
      </c>
      <c r="F3101" t="s">
        <v>288</v>
      </c>
      <c r="G3101" t="s">
        <v>288</v>
      </c>
      <c r="H3101" t="s">
        <v>288</v>
      </c>
      <c r="I3101" t="s">
        <v>288</v>
      </c>
      <c r="J3101" t="s">
        <v>288</v>
      </c>
      <c r="K3101" t="s">
        <v>288</v>
      </c>
      <c r="L3101" t="s">
        <v>288</v>
      </c>
      <c r="M3101" t="s">
        <v>288</v>
      </c>
      <c r="N3101" t="s">
        <v>288</v>
      </c>
      <c r="O3101" t="s">
        <v>288</v>
      </c>
      <c r="P3101" t="s">
        <v>288</v>
      </c>
      <c r="Q3101" t="s">
        <v>288</v>
      </c>
      <c r="R3101" t="s">
        <v>288</v>
      </c>
      <c r="S3101" t="s">
        <v>288</v>
      </c>
      <c r="T3101" t="s">
        <v>288</v>
      </c>
      <c r="U3101" t="s">
        <v>288</v>
      </c>
      <c r="V3101" t="s">
        <v>288</v>
      </c>
      <c r="W3101" t="s">
        <v>288</v>
      </c>
      <c r="X3101" t="s">
        <v>288</v>
      </c>
      <c r="Y3101" t="s">
        <v>288</v>
      </c>
      <c r="Z3101" t="s">
        <v>288</v>
      </c>
      <c r="AA3101" t="s">
        <v>288</v>
      </c>
      <c r="AB3101" t="s">
        <v>288</v>
      </c>
      <c r="AC3101" t="s">
        <v>288</v>
      </c>
      <c r="AD3101" t="s">
        <v>288</v>
      </c>
      <c r="AE3101" t="s">
        <v>288</v>
      </c>
      <c r="AF3101" t="s">
        <v>288</v>
      </c>
      <c r="AG3101" t="s">
        <v>288</v>
      </c>
      <c r="AH3101" t="s">
        <v>288</v>
      </c>
      <c r="AI3101" t="s">
        <v>288</v>
      </c>
    </row>
    <row r="3102" spans="1:35">
      <c r="A3102">
        <v>3101</v>
      </c>
      <c r="B3102" t="str">
        <f>"600198"</f>
        <v>600198</v>
      </c>
      <c r="C3102" t="s">
        <v>13268</v>
      </c>
      <c r="D3102" s="4">
        <v>43190</v>
      </c>
      <c r="E3102" t="s">
        <v>1852</v>
      </c>
      <c r="F3102" t="s">
        <v>4936</v>
      </c>
      <c r="G3102">
        <v>9325</v>
      </c>
      <c r="H3102">
        <v>-0.17</v>
      </c>
      <c r="I3102">
        <v>-0.61</v>
      </c>
      <c r="J3102">
        <v>0</v>
      </c>
      <c r="K3102" t="s">
        <v>106</v>
      </c>
      <c r="L3102">
        <v>-63.56</v>
      </c>
      <c r="M3102" t="s">
        <v>13269</v>
      </c>
      <c r="N3102" t="s">
        <v>13270</v>
      </c>
      <c r="O3102" t="s">
        <v>13269</v>
      </c>
      <c r="P3102" t="s">
        <v>13271</v>
      </c>
      <c r="Q3102">
        <v>-16.96</v>
      </c>
      <c r="R3102" t="s">
        <v>13272</v>
      </c>
      <c r="S3102">
        <v>-5.83</v>
      </c>
      <c r="T3102">
        <v>25.63</v>
      </c>
      <c r="U3102" t="s">
        <v>3068</v>
      </c>
      <c r="V3102" t="s">
        <v>1517</v>
      </c>
      <c r="W3102" t="s">
        <v>1523</v>
      </c>
      <c r="X3102">
        <v>0</v>
      </c>
      <c r="Y3102" t="s">
        <v>13273</v>
      </c>
      <c r="Z3102" t="s">
        <v>5286</v>
      </c>
      <c r="AA3102" t="s">
        <v>141</v>
      </c>
      <c r="AB3102">
        <v>-10.17</v>
      </c>
      <c r="AC3102" t="s">
        <v>13274</v>
      </c>
      <c r="AD3102">
        <v>-6.66</v>
      </c>
      <c r="AE3102" t="s">
        <v>1890</v>
      </c>
      <c r="AF3102">
        <v>4.17</v>
      </c>
      <c r="AG3102">
        <v>0</v>
      </c>
      <c r="AH3102">
        <v>0</v>
      </c>
      <c r="AI3102" s="4">
        <v>36089</v>
      </c>
    </row>
    <row r="3103" spans="1:35">
      <c r="A3103">
        <v>3102</v>
      </c>
      <c r="B3103" t="str">
        <f>"600181"</f>
        <v>600181</v>
      </c>
      <c r="C3103" t="s">
        <v>13275</v>
      </c>
      <c r="D3103" t="s">
        <v>288</v>
      </c>
      <c r="E3103" t="s">
        <v>288</v>
      </c>
      <c r="F3103" t="s">
        <v>288</v>
      </c>
      <c r="G3103" t="s">
        <v>288</v>
      </c>
      <c r="H3103" t="s">
        <v>288</v>
      </c>
      <c r="I3103" t="s">
        <v>288</v>
      </c>
      <c r="J3103" t="s">
        <v>288</v>
      </c>
      <c r="K3103" t="s">
        <v>288</v>
      </c>
      <c r="L3103" t="s">
        <v>288</v>
      </c>
      <c r="M3103" t="s">
        <v>288</v>
      </c>
      <c r="N3103" t="s">
        <v>288</v>
      </c>
      <c r="O3103" t="s">
        <v>288</v>
      </c>
      <c r="P3103" t="s">
        <v>288</v>
      </c>
      <c r="Q3103" t="s">
        <v>288</v>
      </c>
      <c r="R3103" t="s">
        <v>288</v>
      </c>
      <c r="S3103" t="s">
        <v>288</v>
      </c>
      <c r="T3103" t="s">
        <v>288</v>
      </c>
      <c r="U3103" t="s">
        <v>288</v>
      </c>
      <c r="V3103" t="s">
        <v>288</v>
      </c>
      <c r="W3103" t="s">
        <v>288</v>
      </c>
      <c r="X3103" t="s">
        <v>288</v>
      </c>
      <c r="Y3103" t="s">
        <v>288</v>
      </c>
      <c r="Z3103" t="s">
        <v>288</v>
      </c>
      <c r="AA3103" t="s">
        <v>288</v>
      </c>
      <c r="AB3103" t="s">
        <v>288</v>
      </c>
      <c r="AC3103" t="s">
        <v>288</v>
      </c>
      <c r="AD3103" t="s">
        <v>288</v>
      </c>
      <c r="AE3103" t="s">
        <v>288</v>
      </c>
      <c r="AF3103" t="s">
        <v>288</v>
      </c>
      <c r="AG3103" t="s">
        <v>288</v>
      </c>
      <c r="AH3103" t="s">
        <v>288</v>
      </c>
      <c r="AI3103" t="s">
        <v>288</v>
      </c>
    </row>
    <row r="3104" spans="1:35">
      <c r="A3104">
        <v>3103</v>
      </c>
      <c r="B3104" t="str">
        <f>"600102"</f>
        <v>600102</v>
      </c>
      <c r="C3104" t="s">
        <v>13276</v>
      </c>
      <c r="D3104" t="s">
        <v>288</v>
      </c>
      <c r="E3104" t="s">
        <v>288</v>
      </c>
      <c r="F3104" t="s">
        <v>288</v>
      </c>
      <c r="G3104" t="s">
        <v>288</v>
      </c>
      <c r="H3104" t="s">
        <v>288</v>
      </c>
      <c r="I3104" t="s">
        <v>288</v>
      </c>
      <c r="J3104" t="s">
        <v>288</v>
      </c>
      <c r="K3104" t="s">
        <v>288</v>
      </c>
      <c r="L3104" t="s">
        <v>288</v>
      </c>
      <c r="M3104" t="s">
        <v>288</v>
      </c>
      <c r="N3104" t="s">
        <v>288</v>
      </c>
      <c r="O3104" t="s">
        <v>288</v>
      </c>
      <c r="P3104" t="s">
        <v>288</v>
      </c>
      <c r="Q3104" t="s">
        <v>288</v>
      </c>
      <c r="R3104" t="s">
        <v>288</v>
      </c>
      <c r="S3104" t="s">
        <v>288</v>
      </c>
      <c r="T3104" t="s">
        <v>288</v>
      </c>
      <c r="U3104" t="s">
        <v>288</v>
      </c>
      <c r="V3104" t="s">
        <v>288</v>
      </c>
      <c r="W3104" t="s">
        <v>288</v>
      </c>
      <c r="X3104" t="s">
        <v>288</v>
      </c>
      <c r="Y3104" t="s">
        <v>288</v>
      </c>
      <c r="Z3104" t="s">
        <v>288</v>
      </c>
      <c r="AA3104" t="s">
        <v>288</v>
      </c>
      <c r="AB3104" t="s">
        <v>288</v>
      </c>
      <c r="AC3104" t="s">
        <v>288</v>
      </c>
      <c r="AD3104" t="s">
        <v>288</v>
      </c>
      <c r="AE3104" t="s">
        <v>288</v>
      </c>
      <c r="AF3104" t="s">
        <v>288</v>
      </c>
      <c r="AG3104" t="s">
        <v>288</v>
      </c>
      <c r="AH3104" t="s">
        <v>288</v>
      </c>
      <c r="AI3104" t="s">
        <v>288</v>
      </c>
    </row>
    <row r="3105" spans="1:35">
      <c r="A3105">
        <v>3104</v>
      </c>
      <c r="B3105" t="str">
        <f>"600092"</f>
        <v>600092</v>
      </c>
      <c r="C3105" t="s">
        <v>13277</v>
      </c>
      <c r="D3105" t="s">
        <v>288</v>
      </c>
      <c r="E3105" t="s">
        <v>288</v>
      </c>
      <c r="F3105" t="s">
        <v>288</v>
      </c>
      <c r="G3105" t="s">
        <v>288</v>
      </c>
      <c r="H3105" t="s">
        <v>288</v>
      </c>
      <c r="I3105" t="s">
        <v>288</v>
      </c>
      <c r="J3105" t="s">
        <v>288</v>
      </c>
      <c r="K3105" t="s">
        <v>288</v>
      </c>
      <c r="L3105" t="s">
        <v>288</v>
      </c>
      <c r="M3105" t="s">
        <v>288</v>
      </c>
      <c r="N3105" t="s">
        <v>288</v>
      </c>
      <c r="O3105" t="s">
        <v>288</v>
      </c>
      <c r="P3105" t="s">
        <v>288</v>
      </c>
      <c r="Q3105" t="s">
        <v>288</v>
      </c>
      <c r="R3105" t="s">
        <v>288</v>
      </c>
      <c r="S3105" t="s">
        <v>288</v>
      </c>
      <c r="T3105" t="s">
        <v>288</v>
      </c>
      <c r="U3105" t="s">
        <v>288</v>
      </c>
      <c r="V3105" t="s">
        <v>288</v>
      </c>
      <c r="W3105" t="s">
        <v>288</v>
      </c>
      <c r="X3105" t="s">
        <v>288</v>
      </c>
      <c r="Y3105" t="s">
        <v>288</v>
      </c>
      <c r="Z3105" t="s">
        <v>288</v>
      </c>
      <c r="AA3105" t="s">
        <v>288</v>
      </c>
      <c r="AB3105" t="s">
        <v>288</v>
      </c>
      <c r="AC3105" t="s">
        <v>288</v>
      </c>
      <c r="AD3105" t="s">
        <v>288</v>
      </c>
      <c r="AE3105" t="s">
        <v>288</v>
      </c>
      <c r="AF3105" t="s">
        <v>288</v>
      </c>
      <c r="AG3105" t="s">
        <v>288</v>
      </c>
      <c r="AH3105" t="s">
        <v>288</v>
      </c>
      <c r="AI3105" t="s">
        <v>288</v>
      </c>
    </row>
    <row r="3106" spans="1:35">
      <c r="A3106">
        <v>3105</v>
      </c>
      <c r="B3106" t="str">
        <f>"600087"</f>
        <v>600087</v>
      </c>
      <c r="C3106" t="s">
        <v>13278</v>
      </c>
      <c r="D3106" t="s">
        <v>288</v>
      </c>
      <c r="E3106" t="s">
        <v>288</v>
      </c>
      <c r="F3106" t="s">
        <v>288</v>
      </c>
      <c r="G3106" t="s">
        <v>288</v>
      </c>
      <c r="H3106" t="s">
        <v>288</v>
      </c>
      <c r="I3106" t="s">
        <v>288</v>
      </c>
      <c r="J3106" t="s">
        <v>288</v>
      </c>
      <c r="K3106" t="s">
        <v>288</v>
      </c>
      <c r="L3106" t="s">
        <v>288</v>
      </c>
      <c r="M3106" t="s">
        <v>288</v>
      </c>
      <c r="N3106" t="s">
        <v>288</v>
      </c>
      <c r="O3106" t="s">
        <v>288</v>
      </c>
      <c r="P3106" t="s">
        <v>288</v>
      </c>
      <c r="Q3106" t="s">
        <v>288</v>
      </c>
      <c r="R3106" t="s">
        <v>288</v>
      </c>
      <c r="S3106" t="s">
        <v>288</v>
      </c>
      <c r="T3106" t="s">
        <v>288</v>
      </c>
      <c r="U3106" t="s">
        <v>288</v>
      </c>
      <c r="V3106" t="s">
        <v>288</v>
      </c>
      <c r="W3106" t="s">
        <v>288</v>
      </c>
      <c r="X3106" t="s">
        <v>288</v>
      </c>
      <c r="Y3106" t="s">
        <v>288</v>
      </c>
      <c r="Z3106" t="s">
        <v>288</v>
      </c>
      <c r="AA3106" t="s">
        <v>288</v>
      </c>
      <c r="AB3106" t="s">
        <v>288</v>
      </c>
      <c r="AC3106" t="s">
        <v>288</v>
      </c>
      <c r="AD3106" t="s">
        <v>288</v>
      </c>
      <c r="AE3106" t="s">
        <v>288</v>
      </c>
      <c r="AF3106" t="s">
        <v>288</v>
      </c>
      <c r="AG3106" t="s">
        <v>288</v>
      </c>
      <c r="AH3106" t="s">
        <v>288</v>
      </c>
      <c r="AI3106" t="s">
        <v>288</v>
      </c>
    </row>
    <row r="3107" spans="1:35">
      <c r="A3107">
        <v>3106</v>
      </c>
      <c r="B3107" t="str">
        <f>"600074"</f>
        <v>600074</v>
      </c>
      <c r="C3107" t="s">
        <v>13279</v>
      </c>
      <c r="D3107" s="4">
        <v>43190</v>
      </c>
      <c r="E3107" t="s">
        <v>352</v>
      </c>
      <c r="F3107" t="s">
        <v>978</v>
      </c>
      <c r="G3107">
        <v>8564</v>
      </c>
      <c r="H3107">
        <v>-0.05</v>
      </c>
      <c r="I3107">
        <v>-1.43</v>
      </c>
      <c r="J3107">
        <v>0</v>
      </c>
      <c r="K3107" t="s">
        <v>9729</v>
      </c>
      <c r="L3107">
        <v>-95.46</v>
      </c>
      <c r="M3107" t="s">
        <v>13280</v>
      </c>
      <c r="N3107" t="s">
        <v>2175</v>
      </c>
      <c r="O3107" t="s">
        <v>13280</v>
      </c>
      <c r="P3107" t="s">
        <v>13281</v>
      </c>
      <c r="Q3107">
        <v>-168.54</v>
      </c>
      <c r="R3107" t="s">
        <v>13207</v>
      </c>
      <c r="S3107">
        <v>-2.61</v>
      </c>
      <c r="T3107">
        <v>-68.03</v>
      </c>
      <c r="U3107" t="s">
        <v>702</v>
      </c>
      <c r="V3107" t="s">
        <v>101</v>
      </c>
      <c r="W3107" t="s">
        <v>217</v>
      </c>
      <c r="X3107">
        <v>0</v>
      </c>
      <c r="Y3107" t="s">
        <v>956</v>
      </c>
      <c r="Z3107" t="s">
        <v>2643</v>
      </c>
      <c r="AA3107" t="s">
        <v>625</v>
      </c>
      <c r="AB3107">
        <v>-0.9</v>
      </c>
      <c r="AC3107" t="s">
        <v>13282</v>
      </c>
      <c r="AD3107">
        <v>-181.37</v>
      </c>
      <c r="AE3107" t="s">
        <v>3196</v>
      </c>
      <c r="AF3107">
        <v>0.28999999999999998</v>
      </c>
      <c r="AG3107">
        <v>0</v>
      </c>
      <c r="AH3107">
        <v>0</v>
      </c>
      <c r="AI3107" s="4">
        <v>35604</v>
      </c>
    </row>
    <row r="3108" spans="1:35">
      <c r="A3108">
        <v>3107</v>
      </c>
      <c r="B3108" t="str">
        <f>"600065"</f>
        <v>600065</v>
      </c>
      <c r="C3108" t="s">
        <v>13283</v>
      </c>
      <c r="D3108" t="s">
        <v>288</v>
      </c>
      <c r="E3108" t="s">
        <v>288</v>
      </c>
      <c r="F3108" t="s">
        <v>288</v>
      </c>
      <c r="G3108" t="s">
        <v>288</v>
      </c>
      <c r="H3108" t="s">
        <v>288</v>
      </c>
      <c r="I3108" t="s">
        <v>288</v>
      </c>
      <c r="J3108" t="s">
        <v>288</v>
      </c>
      <c r="K3108" t="s">
        <v>288</v>
      </c>
      <c r="L3108" t="s">
        <v>288</v>
      </c>
      <c r="M3108" t="s">
        <v>288</v>
      </c>
      <c r="N3108" t="s">
        <v>288</v>
      </c>
      <c r="O3108" t="s">
        <v>288</v>
      </c>
      <c r="P3108" t="s">
        <v>288</v>
      </c>
      <c r="Q3108" t="s">
        <v>288</v>
      </c>
      <c r="R3108" t="s">
        <v>288</v>
      </c>
      <c r="S3108" t="s">
        <v>288</v>
      </c>
      <c r="T3108" t="s">
        <v>288</v>
      </c>
      <c r="U3108" t="s">
        <v>288</v>
      </c>
      <c r="V3108" t="s">
        <v>288</v>
      </c>
      <c r="W3108" t="s">
        <v>288</v>
      </c>
      <c r="X3108" t="s">
        <v>288</v>
      </c>
      <c r="Y3108" t="s">
        <v>288</v>
      </c>
      <c r="Z3108" t="s">
        <v>288</v>
      </c>
      <c r="AA3108" t="s">
        <v>288</v>
      </c>
      <c r="AB3108" t="s">
        <v>288</v>
      </c>
      <c r="AC3108" t="s">
        <v>288</v>
      </c>
      <c r="AD3108" t="s">
        <v>288</v>
      </c>
      <c r="AE3108" t="s">
        <v>288</v>
      </c>
      <c r="AF3108" t="s">
        <v>288</v>
      </c>
      <c r="AG3108" t="s">
        <v>288</v>
      </c>
      <c r="AH3108" t="s">
        <v>288</v>
      </c>
      <c r="AI3108" t="s">
        <v>288</v>
      </c>
    </row>
    <row r="3109" spans="1:35">
      <c r="A3109">
        <v>3108</v>
      </c>
      <c r="B3109" t="str">
        <f>"600005"</f>
        <v>600005</v>
      </c>
      <c r="C3109" t="s">
        <v>13284</v>
      </c>
      <c r="D3109" s="4">
        <v>42643</v>
      </c>
      <c r="E3109" t="s">
        <v>232</v>
      </c>
      <c r="F3109" t="s">
        <v>232</v>
      </c>
      <c r="G3109" t="s">
        <v>2183</v>
      </c>
      <c r="H3109">
        <v>0.04</v>
      </c>
      <c r="I3109">
        <v>2.85</v>
      </c>
      <c r="J3109">
        <v>0</v>
      </c>
      <c r="K3109" t="s">
        <v>13285</v>
      </c>
      <c r="L3109">
        <v>-12.34</v>
      </c>
      <c r="M3109" t="s">
        <v>3471</v>
      </c>
      <c r="N3109" t="s">
        <v>13286</v>
      </c>
      <c r="O3109" t="s">
        <v>2304</v>
      </c>
      <c r="P3109" t="s">
        <v>1324</v>
      </c>
      <c r="Q3109">
        <v>0</v>
      </c>
      <c r="R3109" t="s">
        <v>2348</v>
      </c>
      <c r="S3109">
        <v>0.42</v>
      </c>
      <c r="T3109">
        <v>7.75</v>
      </c>
      <c r="U3109" t="s">
        <v>13287</v>
      </c>
      <c r="V3109" t="s">
        <v>395</v>
      </c>
      <c r="W3109" t="s">
        <v>11788</v>
      </c>
      <c r="X3109">
        <v>0</v>
      </c>
      <c r="Y3109" t="s">
        <v>13288</v>
      </c>
      <c r="Z3109" t="s">
        <v>3370</v>
      </c>
      <c r="AA3109" t="s">
        <v>413</v>
      </c>
      <c r="AB3109">
        <v>1.3</v>
      </c>
      <c r="AC3109" t="s">
        <v>2798</v>
      </c>
      <c r="AD3109">
        <v>29.78</v>
      </c>
      <c r="AE3109" t="s">
        <v>11324</v>
      </c>
      <c r="AF3109">
        <v>0.98</v>
      </c>
      <c r="AG3109">
        <v>0</v>
      </c>
      <c r="AH3109">
        <v>0</v>
      </c>
      <c r="AI3109" s="4">
        <v>36375</v>
      </c>
    </row>
    <row r="3110" spans="1:35">
      <c r="A3110">
        <v>3109</v>
      </c>
      <c r="B3110" t="str">
        <f>"600003"</f>
        <v>600003</v>
      </c>
      <c r="C3110" t="s">
        <v>13289</v>
      </c>
      <c r="D3110" t="s">
        <v>288</v>
      </c>
      <c r="E3110" t="s">
        <v>288</v>
      </c>
      <c r="F3110" t="s">
        <v>288</v>
      </c>
      <c r="G3110" t="s">
        <v>288</v>
      </c>
      <c r="H3110" t="s">
        <v>288</v>
      </c>
      <c r="I3110" t="s">
        <v>288</v>
      </c>
      <c r="J3110" t="s">
        <v>288</v>
      </c>
      <c r="K3110" t="s">
        <v>288</v>
      </c>
      <c r="L3110" t="s">
        <v>288</v>
      </c>
      <c r="M3110" t="s">
        <v>288</v>
      </c>
      <c r="N3110" t="s">
        <v>288</v>
      </c>
      <c r="O3110" t="s">
        <v>288</v>
      </c>
      <c r="P3110" t="s">
        <v>288</v>
      </c>
      <c r="Q3110" t="s">
        <v>288</v>
      </c>
      <c r="R3110" t="s">
        <v>288</v>
      </c>
      <c r="S3110" t="s">
        <v>288</v>
      </c>
      <c r="T3110" t="s">
        <v>288</v>
      </c>
      <c r="U3110" t="s">
        <v>288</v>
      </c>
      <c r="V3110" t="s">
        <v>288</v>
      </c>
      <c r="W3110" t="s">
        <v>288</v>
      </c>
      <c r="X3110" t="s">
        <v>288</v>
      </c>
      <c r="Y3110" t="s">
        <v>288</v>
      </c>
      <c r="Z3110" t="s">
        <v>288</v>
      </c>
      <c r="AA3110" t="s">
        <v>288</v>
      </c>
      <c r="AB3110" t="s">
        <v>288</v>
      </c>
      <c r="AC3110" t="s">
        <v>288</v>
      </c>
      <c r="AD3110" t="s">
        <v>288</v>
      </c>
      <c r="AE3110" t="s">
        <v>288</v>
      </c>
      <c r="AF3110" t="s">
        <v>288</v>
      </c>
      <c r="AG3110" t="s">
        <v>288</v>
      </c>
      <c r="AH3110" t="s">
        <v>288</v>
      </c>
      <c r="AI3110" t="s">
        <v>288</v>
      </c>
    </row>
    <row r="3111" spans="1:35">
      <c r="A3111">
        <v>3110</v>
      </c>
      <c r="B3111" t="str">
        <f>"600002"</f>
        <v>600002</v>
      </c>
      <c r="C3111" t="s">
        <v>13290</v>
      </c>
      <c r="D3111" t="s">
        <v>288</v>
      </c>
      <c r="E3111" t="s">
        <v>288</v>
      </c>
      <c r="F3111" t="s">
        <v>288</v>
      </c>
      <c r="G3111" t="s">
        <v>288</v>
      </c>
      <c r="H3111" t="s">
        <v>288</v>
      </c>
      <c r="I3111" t="s">
        <v>288</v>
      </c>
      <c r="J3111" t="s">
        <v>288</v>
      </c>
      <c r="K3111" t="s">
        <v>288</v>
      </c>
      <c r="L3111" t="s">
        <v>288</v>
      </c>
      <c r="M3111" t="s">
        <v>288</v>
      </c>
      <c r="N3111" t="s">
        <v>288</v>
      </c>
      <c r="O3111" t="s">
        <v>288</v>
      </c>
      <c r="P3111" t="s">
        <v>288</v>
      </c>
      <c r="Q3111" t="s">
        <v>288</v>
      </c>
      <c r="R3111" t="s">
        <v>288</v>
      </c>
      <c r="S3111" t="s">
        <v>288</v>
      </c>
      <c r="T3111" t="s">
        <v>288</v>
      </c>
      <c r="U3111" t="s">
        <v>288</v>
      </c>
      <c r="V3111" t="s">
        <v>288</v>
      </c>
      <c r="W3111" t="s">
        <v>288</v>
      </c>
      <c r="X3111" t="s">
        <v>288</v>
      </c>
      <c r="Y3111" t="s">
        <v>288</v>
      </c>
      <c r="Z3111" t="s">
        <v>288</v>
      </c>
      <c r="AA3111" t="s">
        <v>288</v>
      </c>
      <c r="AB3111" t="s">
        <v>288</v>
      </c>
      <c r="AC3111" t="s">
        <v>288</v>
      </c>
      <c r="AD3111" t="s">
        <v>288</v>
      </c>
      <c r="AE3111" t="s">
        <v>288</v>
      </c>
      <c r="AF3111" t="s">
        <v>288</v>
      </c>
      <c r="AG3111" t="s">
        <v>288</v>
      </c>
      <c r="AH3111" t="s">
        <v>288</v>
      </c>
      <c r="AI3111" t="s">
        <v>288</v>
      </c>
    </row>
    <row r="3112" spans="1:35">
      <c r="A3112">
        <v>3111</v>
      </c>
      <c r="B3112" t="str">
        <f>"600001"</f>
        <v>600001</v>
      </c>
      <c r="C3112" t="s">
        <v>13291</v>
      </c>
      <c r="D3112" t="s">
        <v>288</v>
      </c>
      <c r="E3112" t="s">
        <v>288</v>
      </c>
      <c r="F3112" t="s">
        <v>288</v>
      </c>
      <c r="G3112" t="s">
        <v>288</v>
      </c>
      <c r="H3112" t="s">
        <v>288</v>
      </c>
      <c r="I3112" t="s">
        <v>288</v>
      </c>
      <c r="J3112" t="s">
        <v>288</v>
      </c>
      <c r="K3112" t="s">
        <v>288</v>
      </c>
      <c r="L3112" t="s">
        <v>288</v>
      </c>
      <c r="M3112" t="s">
        <v>288</v>
      </c>
      <c r="N3112" t="s">
        <v>288</v>
      </c>
      <c r="O3112" t="s">
        <v>288</v>
      </c>
      <c r="P3112" t="s">
        <v>288</v>
      </c>
      <c r="Q3112" t="s">
        <v>288</v>
      </c>
      <c r="R3112" t="s">
        <v>288</v>
      </c>
      <c r="S3112" t="s">
        <v>288</v>
      </c>
      <c r="T3112" t="s">
        <v>288</v>
      </c>
      <c r="U3112" t="s">
        <v>288</v>
      </c>
      <c r="V3112" t="s">
        <v>288</v>
      </c>
      <c r="W3112" t="s">
        <v>288</v>
      </c>
      <c r="X3112" t="s">
        <v>288</v>
      </c>
      <c r="Y3112" t="s">
        <v>288</v>
      </c>
      <c r="Z3112" t="s">
        <v>288</v>
      </c>
      <c r="AA3112" t="s">
        <v>288</v>
      </c>
      <c r="AB3112" t="s">
        <v>288</v>
      </c>
      <c r="AC3112" t="s">
        <v>288</v>
      </c>
      <c r="AD3112" t="s">
        <v>288</v>
      </c>
      <c r="AE3112" t="s">
        <v>288</v>
      </c>
      <c r="AF3112" t="s">
        <v>288</v>
      </c>
      <c r="AG3112" t="s">
        <v>288</v>
      </c>
      <c r="AH3112" t="s">
        <v>288</v>
      </c>
      <c r="AI3112" t="s">
        <v>288</v>
      </c>
    </row>
    <row r="3113" spans="1:35">
      <c r="A3113">
        <v>3112</v>
      </c>
      <c r="B3113" t="str">
        <f>"300475"</f>
        <v>300475</v>
      </c>
      <c r="C3113" t="s">
        <v>13292</v>
      </c>
      <c r="D3113" s="4">
        <v>43190</v>
      </c>
      <c r="E3113" t="s">
        <v>293</v>
      </c>
      <c r="F3113" t="s">
        <v>293</v>
      </c>
      <c r="G3113">
        <v>4852</v>
      </c>
      <c r="H3113">
        <v>0</v>
      </c>
      <c r="I3113">
        <v>6.03</v>
      </c>
      <c r="J3113">
        <v>0</v>
      </c>
      <c r="K3113" t="s">
        <v>6636</v>
      </c>
      <c r="L3113">
        <v>-46.49</v>
      </c>
      <c r="M3113" t="s">
        <v>13293</v>
      </c>
      <c r="N3113" t="s">
        <v>5090</v>
      </c>
      <c r="O3113" t="s">
        <v>13294</v>
      </c>
      <c r="P3113" t="s">
        <v>13295</v>
      </c>
      <c r="Q3113">
        <v>-100.26</v>
      </c>
      <c r="R3113" t="s">
        <v>2681</v>
      </c>
      <c r="S3113">
        <v>2.6</v>
      </c>
      <c r="T3113">
        <v>20.79</v>
      </c>
      <c r="U3113" t="s">
        <v>141</v>
      </c>
      <c r="V3113" t="s">
        <v>124</v>
      </c>
      <c r="W3113" t="s">
        <v>13296</v>
      </c>
      <c r="X3113">
        <v>0</v>
      </c>
      <c r="Y3113" t="s">
        <v>1733</v>
      </c>
      <c r="Z3113" t="s">
        <v>219</v>
      </c>
      <c r="AA3113" t="s">
        <v>10490</v>
      </c>
      <c r="AB3113">
        <v>1.52</v>
      </c>
      <c r="AC3113" t="s">
        <v>264</v>
      </c>
      <c r="AD3113">
        <v>81.540000000000006</v>
      </c>
      <c r="AE3113" t="s">
        <v>1209</v>
      </c>
      <c r="AF3113">
        <v>2.17</v>
      </c>
      <c r="AG3113">
        <v>0</v>
      </c>
      <c r="AH3113">
        <v>0</v>
      </c>
      <c r="AI3113" s="4">
        <v>42165</v>
      </c>
    </row>
    <row r="3114" spans="1:35">
      <c r="A3114">
        <v>3113</v>
      </c>
      <c r="B3114" t="str">
        <f>"300372"</f>
        <v>300372</v>
      </c>
      <c r="C3114" t="s">
        <v>13297</v>
      </c>
      <c r="D3114" s="4">
        <v>42916</v>
      </c>
      <c r="E3114" t="s">
        <v>1457</v>
      </c>
      <c r="F3114" t="s">
        <v>7754</v>
      </c>
      <c r="G3114">
        <v>4104</v>
      </c>
      <c r="H3114">
        <v>-0.2</v>
      </c>
      <c r="I3114">
        <v>2.87</v>
      </c>
      <c r="J3114">
        <v>0</v>
      </c>
      <c r="K3114" t="s">
        <v>4425</v>
      </c>
      <c r="L3114">
        <v>-76.81</v>
      </c>
      <c r="M3114" t="s">
        <v>13298</v>
      </c>
      <c r="N3114" t="s">
        <v>13299</v>
      </c>
      <c r="O3114" t="s">
        <v>13300</v>
      </c>
      <c r="P3114" t="s">
        <v>13301</v>
      </c>
      <c r="Q3114">
        <v>-840.94</v>
      </c>
      <c r="R3114" t="s">
        <v>2360</v>
      </c>
      <c r="S3114">
        <v>0.72</v>
      </c>
      <c r="T3114">
        <v>-4.2699999999999996</v>
      </c>
      <c r="U3114" t="s">
        <v>2781</v>
      </c>
      <c r="V3114" t="s">
        <v>846</v>
      </c>
      <c r="W3114" t="s">
        <v>804</v>
      </c>
      <c r="X3114">
        <v>0</v>
      </c>
      <c r="Y3114" t="s">
        <v>2029</v>
      </c>
      <c r="Z3114" t="s">
        <v>1712</v>
      </c>
      <c r="AA3114" t="s">
        <v>870</v>
      </c>
      <c r="AB3114">
        <v>0.52</v>
      </c>
      <c r="AC3114" t="s">
        <v>1483</v>
      </c>
      <c r="AD3114">
        <v>57.23</v>
      </c>
      <c r="AE3114" t="s">
        <v>863</v>
      </c>
      <c r="AF3114">
        <v>0.9</v>
      </c>
      <c r="AG3114">
        <v>0</v>
      </c>
      <c r="AH3114">
        <v>0</v>
      </c>
      <c r="AI3114" s="4">
        <v>41666</v>
      </c>
    </row>
    <row r="3115" spans="1:35">
      <c r="A3115">
        <v>3114</v>
      </c>
      <c r="B3115" t="str">
        <f>"300261"</f>
        <v>300261</v>
      </c>
      <c r="C3115" t="s">
        <v>13302</v>
      </c>
      <c r="D3115" s="4">
        <v>43190</v>
      </c>
      <c r="E3115" t="s">
        <v>424</v>
      </c>
      <c r="F3115" t="s">
        <v>1959</v>
      </c>
      <c r="G3115" t="s">
        <v>13303</v>
      </c>
      <c r="H3115">
        <v>0.06</v>
      </c>
      <c r="I3115">
        <v>3.22</v>
      </c>
      <c r="J3115">
        <v>0</v>
      </c>
      <c r="K3115" t="s">
        <v>1481</v>
      </c>
      <c r="L3115">
        <v>102.73</v>
      </c>
      <c r="M3115" t="s">
        <v>13304</v>
      </c>
      <c r="N3115">
        <v>0</v>
      </c>
      <c r="O3115" t="s">
        <v>11367</v>
      </c>
      <c r="P3115" t="s">
        <v>6267</v>
      </c>
      <c r="Q3115">
        <v>113.21</v>
      </c>
      <c r="R3115" t="s">
        <v>958</v>
      </c>
      <c r="S3115">
        <v>0.43</v>
      </c>
      <c r="T3115">
        <v>20.010000000000002</v>
      </c>
      <c r="U3115" t="s">
        <v>4558</v>
      </c>
      <c r="V3115" t="s">
        <v>980</v>
      </c>
      <c r="W3115" t="s">
        <v>1506</v>
      </c>
      <c r="X3115">
        <v>0</v>
      </c>
      <c r="Y3115" t="s">
        <v>263</v>
      </c>
      <c r="Z3115" t="s">
        <v>405</v>
      </c>
      <c r="AA3115" t="s">
        <v>1364</v>
      </c>
      <c r="AB3115">
        <v>2.2799999999999998</v>
      </c>
      <c r="AC3115" t="s">
        <v>3356</v>
      </c>
      <c r="AD3115">
        <v>56.67</v>
      </c>
      <c r="AE3115" t="s">
        <v>147</v>
      </c>
      <c r="AF3115">
        <v>1.74</v>
      </c>
      <c r="AG3115">
        <v>0</v>
      </c>
      <c r="AH3115">
        <v>0</v>
      </c>
      <c r="AI3115" s="4">
        <v>40792</v>
      </c>
    </row>
    <row r="3116" spans="1:35">
      <c r="A3116">
        <v>3115</v>
      </c>
      <c r="B3116" t="str">
        <f>"300186"</f>
        <v>300186</v>
      </c>
      <c r="C3116" t="s">
        <v>13305</v>
      </c>
      <c r="D3116" s="4">
        <v>42277</v>
      </c>
      <c r="E3116" t="s">
        <v>1212</v>
      </c>
      <c r="F3116" t="s">
        <v>150</v>
      </c>
      <c r="G3116" t="s">
        <v>2511</v>
      </c>
      <c r="H3116">
        <v>0.22</v>
      </c>
      <c r="I3116">
        <v>3.94</v>
      </c>
      <c r="J3116">
        <v>0</v>
      </c>
      <c r="K3116" t="s">
        <v>6611</v>
      </c>
      <c r="L3116">
        <v>41.69</v>
      </c>
      <c r="M3116" t="s">
        <v>1724</v>
      </c>
      <c r="N3116">
        <v>2205</v>
      </c>
      <c r="O3116" t="s">
        <v>1016</v>
      </c>
      <c r="P3116" t="s">
        <v>280</v>
      </c>
      <c r="Q3116">
        <v>98.29</v>
      </c>
      <c r="R3116" t="s">
        <v>976</v>
      </c>
      <c r="S3116">
        <v>0.62</v>
      </c>
      <c r="T3116">
        <v>43.27</v>
      </c>
      <c r="U3116" t="s">
        <v>223</v>
      </c>
      <c r="V3116" t="s">
        <v>1367</v>
      </c>
      <c r="W3116" t="s">
        <v>1212</v>
      </c>
      <c r="X3116">
        <v>0</v>
      </c>
      <c r="Y3116" t="s">
        <v>1004</v>
      </c>
      <c r="Z3116" t="s">
        <v>293</v>
      </c>
      <c r="AA3116" t="s">
        <v>6575</v>
      </c>
      <c r="AB3116">
        <v>11.62</v>
      </c>
      <c r="AC3116" t="s">
        <v>1693</v>
      </c>
      <c r="AD3116">
        <v>87.87</v>
      </c>
      <c r="AE3116" t="s">
        <v>613</v>
      </c>
      <c r="AF3116">
        <v>2.16</v>
      </c>
      <c r="AG3116">
        <v>0</v>
      </c>
      <c r="AH3116">
        <v>0</v>
      </c>
      <c r="AI3116" s="4">
        <v>40610</v>
      </c>
    </row>
    <row r="3117" spans="1:35">
      <c r="A3117">
        <v>3116</v>
      </c>
      <c r="B3117" t="str">
        <f>"002525"</f>
        <v>002525</v>
      </c>
      <c r="C3117" t="s">
        <v>13306</v>
      </c>
      <c r="D3117" s="4">
        <v>40451</v>
      </c>
      <c r="E3117" t="s">
        <v>13307</v>
      </c>
      <c r="F3117">
        <v>0</v>
      </c>
      <c r="G3117">
        <v>0</v>
      </c>
      <c r="H3117">
        <v>0.63</v>
      </c>
      <c r="I3117">
        <v>4.38</v>
      </c>
      <c r="J3117">
        <v>0</v>
      </c>
      <c r="K3117" t="s">
        <v>84</v>
      </c>
      <c r="L3117">
        <v>32.01</v>
      </c>
      <c r="M3117" t="s">
        <v>4958</v>
      </c>
      <c r="N3117">
        <v>0</v>
      </c>
      <c r="O3117" t="s">
        <v>10809</v>
      </c>
      <c r="P3117" t="s">
        <v>13308</v>
      </c>
      <c r="Q3117">
        <v>45.22</v>
      </c>
      <c r="R3117" t="s">
        <v>13309</v>
      </c>
      <c r="S3117">
        <v>1.56</v>
      </c>
      <c r="T3117">
        <v>52.34</v>
      </c>
      <c r="U3117" t="s">
        <v>335</v>
      </c>
      <c r="V3117" t="s">
        <v>160</v>
      </c>
      <c r="W3117" t="s">
        <v>13310</v>
      </c>
      <c r="X3117">
        <v>0</v>
      </c>
      <c r="Y3117" t="s">
        <v>696</v>
      </c>
      <c r="Z3117" t="s">
        <v>3111</v>
      </c>
      <c r="AA3117" t="s">
        <v>564</v>
      </c>
      <c r="AB3117">
        <v>7.81</v>
      </c>
      <c r="AC3117" t="s">
        <v>1435</v>
      </c>
      <c r="AD3117">
        <v>50.65</v>
      </c>
      <c r="AE3117" t="s">
        <v>13311</v>
      </c>
      <c r="AF3117">
        <v>11.93</v>
      </c>
      <c r="AG3117">
        <v>0</v>
      </c>
      <c r="AH3117">
        <v>0</v>
      </c>
      <c r="AI3117" t="s">
        <v>99</v>
      </c>
    </row>
    <row r="3118" spans="1:35">
      <c r="A3118">
        <v>3117</v>
      </c>
      <c r="B3118" t="str">
        <f>"002348"</f>
        <v>002348</v>
      </c>
      <c r="C3118" t="s">
        <v>13312</v>
      </c>
      <c r="D3118" s="4">
        <v>43190</v>
      </c>
      <c r="E3118" t="s">
        <v>1817</v>
      </c>
      <c r="F3118" t="s">
        <v>3234</v>
      </c>
      <c r="G3118" t="s">
        <v>2676</v>
      </c>
      <c r="H3118">
        <v>0</v>
      </c>
      <c r="I3118">
        <v>1.34</v>
      </c>
      <c r="J3118">
        <v>0</v>
      </c>
      <c r="K3118" t="s">
        <v>368</v>
      </c>
      <c r="L3118">
        <v>38.86</v>
      </c>
      <c r="M3118" t="s">
        <v>13313</v>
      </c>
      <c r="N3118" t="s">
        <v>8182</v>
      </c>
      <c r="O3118" t="s">
        <v>12945</v>
      </c>
      <c r="P3118" t="s">
        <v>3240</v>
      </c>
      <c r="Q3118">
        <v>-99.75</v>
      </c>
      <c r="R3118" t="s">
        <v>1905</v>
      </c>
      <c r="S3118">
        <v>0.26</v>
      </c>
      <c r="T3118">
        <v>27.13</v>
      </c>
      <c r="U3118" t="s">
        <v>775</v>
      </c>
      <c r="V3118" t="s">
        <v>792</v>
      </c>
      <c r="W3118" t="s">
        <v>359</v>
      </c>
      <c r="X3118">
        <v>0</v>
      </c>
      <c r="Y3118" t="s">
        <v>1682</v>
      </c>
      <c r="Z3118" t="s">
        <v>3332</v>
      </c>
      <c r="AA3118" t="s">
        <v>748</v>
      </c>
      <c r="AB3118">
        <v>2.4500000000000002</v>
      </c>
      <c r="AC3118" t="s">
        <v>1082</v>
      </c>
      <c r="AD3118">
        <v>72</v>
      </c>
      <c r="AE3118" t="s">
        <v>11046</v>
      </c>
      <c r="AF3118">
        <v>0.01</v>
      </c>
      <c r="AG3118">
        <v>0</v>
      </c>
      <c r="AH3118">
        <v>0</v>
      </c>
      <c r="AI3118" s="4">
        <v>40212</v>
      </c>
    </row>
    <row r="3119" spans="1:35">
      <c r="A3119">
        <v>3118</v>
      </c>
      <c r="B3119" t="str">
        <f>"000995"</f>
        <v>000995</v>
      </c>
      <c r="C3119" t="s">
        <v>13314</v>
      </c>
      <c r="D3119" s="4">
        <v>43190</v>
      </c>
      <c r="E3119" t="s">
        <v>1597</v>
      </c>
      <c r="F3119" t="s">
        <v>1597</v>
      </c>
      <c r="G3119" t="s">
        <v>1105</v>
      </c>
      <c r="H3119">
        <v>-7.0000000000000007E-2</v>
      </c>
      <c r="I3119">
        <v>-0.88</v>
      </c>
      <c r="J3119">
        <v>0</v>
      </c>
      <c r="K3119" t="s">
        <v>6945</v>
      </c>
      <c r="L3119">
        <v>-21.59</v>
      </c>
      <c r="M3119" t="s">
        <v>13315</v>
      </c>
      <c r="N3119">
        <v>0</v>
      </c>
      <c r="O3119" t="s">
        <v>13315</v>
      </c>
      <c r="P3119" t="s">
        <v>13315</v>
      </c>
      <c r="Q3119">
        <v>2.36</v>
      </c>
      <c r="R3119" t="s">
        <v>13316</v>
      </c>
      <c r="S3119">
        <v>-3.64</v>
      </c>
      <c r="T3119">
        <v>0.15</v>
      </c>
      <c r="U3119" t="s">
        <v>1489</v>
      </c>
      <c r="V3119" t="s">
        <v>13317</v>
      </c>
      <c r="W3119" t="s">
        <v>13318</v>
      </c>
      <c r="X3119">
        <v>0</v>
      </c>
      <c r="Y3119" t="s">
        <v>2915</v>
      </c>
      <c r="Z3119" t="s">
        <v>1712</v>
      </c>
      <c r="AA3119" t="s">
        <v>13319</v>
      </c>
      <c r="AB3119">
        <v>-6.04</v>
      </c>
      <c r="AC3119" t="s">
        <v>13269</v>
      </c>
      <c r="AD3119">
        <v>-64.53</v>
      </c>
      <c r="AE3119" t="s">
        <v>1152</v>
      </c>
      <c r="AF3119">
        <v>1.73</v>
      </c>
      <c r="AG3119">
        <v>0</v>
      </c>
      <c r="AH3119">
        <v>0</v>
      </c>
      <c r="AI3119" s="4">
        <v>36745</v>
      </c>
    </row>
    <row r="3120" spans="1:35">
      <c r="A3120">
        <v>3119</v>
      </c>
      <c r="B3120" t="str">
        <f>"000991"</f>
        <v>000991</v>
      </c>
      <c r="C3120" t="s">
        <v>13320</v>
      </c>
      <c r="D3120" s="4">
        <v>36525</v>
      </c>
      <c r="E3120" t="s">
        <v>218</v>
      </c>
      <c r="F3120">
        <v>0</v>
      </c>
      <c r="G3120">
        <v>0</v>
      </c>
      <c r="H3120">
        <v>0.28999999999999998</v>
      </c>
      <c r="I3120">
        <v>1.56</v>
      </c>
      <c r="J3120">
        <v>0</v>
      </c>
      <c r="K3120">
        <v>0</v>
      </c>
      <c r="L3120">
        <v>0</v>
      </c>
      <c r="M3120" t="s">
        <v>290</v>
      </c>
      <c r="N3120" t="s">
        <v>1321</v>
      </c>
      <c r="O3120" t="s">
        <v>368</v>
      </c>
      <c r="P3120" t="s">
        <v>533</v>
      </c>
      <c r="Q3120">
        <v>-27.25</v>
      </c>
      <c r="R3120" t="s">
        <v>13321</v>
      </c>
      <c r="S3120">
        <v>0.22</v>
      </c>
      <c r="T3120">
        <v>0</v>
      </c>
      <c r="U3120" t="s">
        <v>161</v>
      </c>
      <c r="V3120" t="s">
        <v>4000</v>
      </c>
      <c r="W3120" t="s">
        <v>160</v>
      </c>
      <c r="X3120">
        <v>0</v>
      </c>
      <c r="Y3120" t="s">
        <v>519</v>
      </c>
      <c r="Z3120" t="s">
        <v>2569</v>
      </c>
      <c r="AA3120" t="s">
        <v>2034</v>
      </c>
      <c r="AB3120">
        <v>10.85</v>
      </c>
      <c r="AC3120" t="s">
        <v>1166</v>
      </c>
      <c r="AD3120">
        <v>37.85</v>
      </c>
      <c r="AE3120" t="s">
        <v>12093</v>
      </c>
      <c r="AF3120">
        <v>0.25</v>
      </c>
      <c r="AG3120">
        <v>0</v>
      </c>
      <c r="AH3120">
        <v>0</v>
      </c>
      <c r="AI3120" t="s">
        <v>99</v>
      </c>
    </row>
    <row r="3121" spans="1:35">
      <c r="A3121">
        <v>3120</v>
      </c>
      <c r="B3121" t="str">
        <f>"000956"</f>
        <v>000956</v>
      </c>
      <c r="C3121" t="s">
        <v>13322</v>
      </c>
      <c r="D3121" t="s">
        <v>288</v>
      </c>
      <c r="E3121" t="s">
        <v>288</v>
      </c>
      <c r="F3121" t="s">
        <v>288</v>
      </c>
      <c r="G3121" t="s">
        <v>288</v>
      </c>
      <c r="H3121" t="s">
        <v>288</v>
      </c>
      <c r="I3121" t="s">
        <v>288</v>
      </c>
      <c r="J3121" t="s">
        <v>288</v>
      </c>
      <c r="K3121" t="s">
        <v>288</v>
      </c>
      <c r="L3121" t="s">
        <v>288</v>
      </c>
      <c r="M3121" t="s">
        <v>288</v>
      </c>
      <c r="N3121" t="s">
        <v>288</v>
      </c>
      <c r="O3121" t="s">
        <v>288</v>
      </c>
      <c r="P3121" t="s">
        <v>288</v>
      </c>
      <c r="Q3121" t="s">
        <v>288</v>
      </c>
      <c r="R3121" t="s">
        <v>288</v>
      </c>
      <c r="S3121" t="s">
        <v>288</v>
      </c>
      <c r="T3121" t="s">
        <v>288</v>
      </c>
      <c r="U3121" t="s">
        <v>288</v>
      </c>
      <c r="V3121" t="s">
        <v>288</v>
      </c>
      <c r="W3121" t="s">
        <v>288</v>
      </c>
      <c r="X3121" t="s">
        <v>288</v>
      </c>
      <c r="Y3121" t="s">
        <v>288</v>
      </c>
      <c r="Z3121" t="s">
        <v>288</v>
      </c>
      <c r="AA3121" t="s">
        <v>288</v>
      </c>
      <c r="AB3121" t="s">
        <v>288</v>
      </c>
      <c r="AC3121" t="s">
        <v>288</v>
      </c>
      <c r="AD3121" t="s">
        <v>288</v>
      </c>
      <c r="AE3121" t="s">
        <v>288</v>
      </c>
      <c r="AF3121" t="s">
        <v>288</v>
      </c>
      <c r="AG3121" t="s">
        <v>288</v>
      </c>
      <c r="AH3121" t="s">
        <v>288</v>
      </c>
      <c r="AI3121" t="s">
        <v>288</v>
      </c>
    </row>
    <row r="3122" spans="1:35">
      <c r="A3122">
        <v>3121</v>
      </c>
      <c r="B3122" t="str">
        <f>"000953"</f>
        <v>000953</v>
      </c>
      <c r="C3122" t="s">
        <v>13323</v>
      </c>
      <c r="D3122" s="4">
        <v>43190</v>
      </c>
      <c r="E3122" t="s">
        <v>205</v>
      </c>
      <c r="F3122" t="s">
        <v>205</v>
      </c>
      <c r="G3122">
        <v>9891</v>
      </c>
      <c r="H3122">
        <v>-0.13</v>
      </c>
      <c r="I3122">
        <v>-0.05</v>
      </c>
      <c r="J3122">
        <v>0</v>
      </c>
      <c r="K3122" t="s">
        <v>5492</v>
      </c>
      <c r="L3122">
        <v>-5.45</v>
      </c>
      <c r="M3122" t="s">
        <v>13324</v>
      </c>
      <c r="N3122">
        <v>0</v>
      </c>
      <c r="O3122" t="s">
        <v>13325</v>
      </c>
      <c r="P3122" t="s">
        <v>13326</v>
      </c>
      <c r="Q3122">
        <v>-4120.41</v>
      </c>
      <c r="R3122" t="s">
        <v>13327</v>
      </c>
      <c r="S3122">
        <v>-1.61</v>
      </c>
      <c r="T3122">
        <v>-22.5</v>
      </c>
      <c r="U3122" t="s">
        <v>504</v>
      </c>
      <c r="V3122" t="s">
        <v>326</v>
      </c>
      <c r="W3122" t="s">
        <v>1645</v>
      </c>
      <c r="X3122">
        <v>0</v>
      </c>
      <c r="Y3122" t="s">
        <v>1521</v>
      </c>
      <c r="Z3122" t="s">
        <v>43</v>
      </c>
      <c r="AA3122" t="s">
        <v>7951</v>
      </c>
      <c r="AB3122">
        <v>-103.57</v>
      </c>
      <c r="AC3122" t="s">
        <v>673</v>
      </c>
      <c r="AD3122">
        <v>-2.46</v>
      </c>
      <c r="AE3122" t="s">
        <v>2603</v>
      </c>
      <c r="AF3122">
        <v>0.42</v>
      </c>
      <c r="AG3122">
        <v>0</v>
      </c>
      <c r="AH3122">
        <v>0</v>
      </c>
      <c r="AI3122" s="4">
        <v>36496</v>
      </c>
    </row>
    <row r="3123" spans="1:35">
      <c r="A3123">
        <v>3122</v>
      </c>
      <c r="B3123" t="str">
        <f>"000916"</f>
        <v>000916</v>
      </c>
      <c r="C3123" t="s">
        <v>13328</v>
      </c>
      <c r="D3123" s="4">
        <v>43008</v>
      </c>
      <c r="E3123" t="s">
        <v>1223</v>
      </c>
      <c r="F3123" t="s">
        <v>1223</v>
      </c>
      <c r="G3123" t="s">
        <v>3258</v>
      </c>
      <c r="H3123">
        <v>0.26</v>
      </c>
      <c r="I3123">
        <v>4.41</v>
      </c>
      <c r="J3123">
        <v>0</v>
      </c>
      <c r="K3123" t="s">
        <v>2648</v>
      </c>
      <c r="L3123">
        <v>-3.31</v>
      </c>
      <c r="M3123" t="s">
        <v>1028</v>
      </c>
      <c r="N3123" t="s">
        <v>3136</v>
      </c>
      <c r="O3123" t="s">
        <v>1359</v>
      </c>
      <c r="P3123" t="s">
        <v>1609</v>
      </c>
      <c r="Q3123">
        <v>4.78</v>
      </c>
      <c r="R3123" t="s">
        <v>141</v>
      </c>
      <c r="S3123">
        <v>1.36</v>
      </c>
      <c r="T3123">
        <v>56.25</v>
      </c>
      <c r="U3123" t="s">
        <v>5126</v>
      </c>
      <c r="V3123" t="s">
        <v>908</v>
      </c>
      <c r="W3123" t="s">
        <v>1263</v>
      </c>
      <c r="X3123">
        <v>0</v>
      </c>
      <c r="Y3123" t="s">
        <v>1802</v>
      </c>
      <c r="Z3123" t="s">
        <v>944</v>
      </c>
      <c r="AA3123" t="s">
        <v>90</v>
      </c>
      <c r="AB3123">
        <v>2</v>
      </c>
      <c r="AC3123" t="s">
        <v>5794</v>
      </c>
      <c r="AD3123">
        <v>83.73</v>
      </c>
      <c r="AE3123" t="s">
        <v>924</v>
      </c>
      <c r="AF3123">
        <v>1.23</v>
      </c>
      <c r="AG3123">
        <v>0</v>
      </c>
      <c r="AH3123">
        <v>0</v>
      </c>
      <c r="AI3123" s="4">
        <v>36430</v>
      </c>
    </row>
    <row r="3124" spans="1:35">
      <c r="A3124">
        <v>3123</v>
      </c>
      <c r="B3124" t="str">
        <f>"000866"</f>
        <v>000866</v>
      </c>
      <c r="C3124" t="s">
        <v>13329</v>
      </c>
      <c r="D3124" t="s">
        <v>288</v>
      </c>
      <c r="E3124" t="s">
        <v>288</v>
      </c>
      <c r="F3124" t="s">
        <v>288</v>
      </c>
      <c r="G3124" t="s">
        <v>288</v>
      </c>
      <c r="H3124" t="s">
        <v>288</v>
      </c>
      <c r="I3124" t="s">
        <v>288</v>
      </c>
      <c r="J3124" t="s">
        <v>288</v>
      </c>
      <c r="K3124" t="s">
        <v>288</v>
      </c>
      <c r="L3124" t="s">
        <v>288</v>
      </c>
      <c r="M3124" t="s">
        <v>288</v>
      </c>
      <c r="N3124" t="s">
        <v>288</v>
      </c>
      <c r="O3124" t="s">
        <v>288</v>
      </c>
      <c r="P3124" t="s">
        <v>288</v>
      </c>
      <c r="Q3124" t="s">
        <v>288</v>
      </c>
      <c r="R3124" t="s">
        <v>288</v>
      </c>
      <c r="S3124" t="s">
        <v>288</v>
      </c>
      <c r="T3124" t="s">
        <v>288</v>
      </c>
      <c r="U3124" t="s">
        <v>288</v>
      </c>
      <c r="V3124" t="s">
        <v>288</v>
      </c>
      <c r="W3124" t="s">
        <v>288</v>
      </c>
      <c r="X3124" t="s">
        <v>288</v>
      </c>
      <c r="Y3124" t="s">
        <v>288</v>
      </c>
      <c r="Z3124" t="s">
        <v>288</v>
      </c>
      <c r="AA3124" t="s">
        <v>288</v>
      </c>
      <c r="AB3124" t="s">
        <v>288</v>
      </c>
      <c r="AC3124" t="s">
        <v>288</v>
      </c>
      <c r="AD3124" t="s">
        <v>288</v>
      </c>
      <c r="AE3124" t="s">
        <v>288</v>
      </c>
      <c r="AF3124" t="s">
        <v>288</v>
      </c>
      <c r="AG3124" t="s">
        <v>288</v>
      </c>
      <c r="AH3124" t="s">
        <v>288</v>
      </c>
      <c r="AI3124" t="s">
        <v>288</v>
      </c>
    </row>
    <row r="3125" spans="1:35">
      <c r="A3125">
        <v>3124</v>
      </c>
      <c r="B3125" t="str">
        <f>"000832"</f>
        <v>000832</v>
      </c>
      <c r="C3125" t="s">
        <v>13330</v>
      </c>
      <c r="D3125" t="s">
        <v>288</v>
      </c>
      <c r="E3125" t="s">
        <v>288</v>
      </c>
      <c r="F3125" t="s">
        <v>288</v>
      </c>
      <c r="G3125" t="s">
        <v>288</v>
      </c>
      <c r="H3125" t="s">
        <v>288</v>
      </c>
      <c r="I3125" t="s">
        <v>288</v>
      </c>
      <c r="J3125" t="s">
        <v>288</v>
      </c>
      <c r="K3125" t="s">
        <v>288</v>
      </c>
      <c r="L3125" t="s">
        <v>288</v>
      </c>
      <c r="M3125" t="s">
        <v>288</v>
      </c>
      <c r="N3125" t="s">
        <v>288</v>
      </c>
      <c r="O3125" t="s">
        <v>288</v>
      </c>
      <c r="P3125" t="s">
        <v>288</v>
      </c>
      <c r="Q3125" t="s">
        <v>288</v>
      </c>
      <c r="R3125" t="s">
        <v>288</v>
      </c>
      <c r="S3125" t="s">
        <v>288</v>
      </c>
      <c r="T3125" t="s">
        <v>288</v>
      </c>
      <c r="U3125" t="s">
        <v>288</v>
      </c>
      <c r="V3125" t="s">
        <v>288</v>
      </c>
      <c r="W3125" t="s">
        <v>288</v>
      </c>
      <c r="X3125" t="s">
        <v>288</v>
      </c>
      <c r="Y3125" t="s">
        <v>288</v>
      </c>
      <c r="Z3125" t="s">
        <v>288</v>
      </c>
      <c r="AA3125" t="s">
        <v>288</v>
      </c>
      <c r="AB3125" t="s">
        <v>288</v>
      </c>
      <c r="AC3125" t="s">
        <v>288</v>
      </c>
      <c r="AD3125" t="s">
        <v>288</v>
      </c>
      <c r="AE3125" t="s">
        <v>288</v>
      </c>
      <c r="AF3125" t="s">
        <v>288</v>
      </c>
      <c r="AG3125" t="s">
        <v>288</v>
      </c>
      <c r="AH3125" t="s">
        <v>288</v>
      </c>
      <c r="AI3125" t="s">
        <v>288</v>
      </c>
    </row>
    <row r="3126" spans="1:35">
      <c r="A3126">
        <v>3125</v>
      </c>
      <c r="B3126" t="str">
        <f>"000827"</f>
        <v>000827</v>
      </c>
      <c r="C3126" t="s">
        <v>13331</v>
      </c>
      <c r="D3126" t="s">
        <v>288</v>
      </c>
      <c r="E3126" t="s">
        <v>288</v>
      </c>
      <c r="F3126" t="s">
        <v>288</v>
      </c>
      <c r="G3126" t="s">
        <v>288</v>
      </c>
      <c r="H3126" t="s">
        <v>288</v>
      </c>
      <c r="I3126" t="s">
        <v>288</v>
      </c>
      <c r="J3126" t="s">
        <v>288</v>
      </c>
      <c r="K3126" t="s">
        <v>288</v>
      </c>
      <c r="L3126" t="s">
        <v>288</v>
      </c>
      <c r="M3126" t="s">
        <v>288</v>
      </c>
      <c r="N3126" t="s">
        <v>288</v>
      </c>
      <c r="O3126" t="s">
        <v>288</v>
      </c>
      <c r="P3126" t="s">
        <v>288</v>
      </c>
      <c r="Q3126" t="s">
        <v>288</v>
      </c>
      <c r="R3126" t="s">
        <v>288</v>
      </c>
      <c r="S3126" t="s">
        <v>288</v>
      </c>
      <c r="T3126" t="s">
        <v>288</v>
      </c>
      <c r="U3126" t="s">
        <v>288</v>
      </c>
      <c r="V3126" t="s">
        <v>288</v>
      </c>
      <c r="W3126" t="s">
        <v>288</v>
      </c>
      <c r="X3126" t="s">
        <v>288</v>
      </c>
      <c r="Y3126" t="s">
        <v>288</v>
      </c>
      <c r="Z3126" t="s">
        <v>288</v>
      </c>
      <c r="AA3126" t="s">
        <v>288</v>
      </c>
      <c r="AB3126" t="s">
        <v>288</v>
      </c>
      <c r="AC3126" t="s">
        <v>288</v>
      </c>
      <c r="AD3126" t="s">
        <v>288</v>
      </c>
      <c r="AE3126" t="s">
        <v>288</v>
      </c>
      <c r="AF3126" t="s">
        <v>288</v>
      </c>
      <c r="AG3126" t="s">
        <v>288</v>
      </c>
      <c r="AH3126" t="s">
        <v>288</v>
      </c>
      <c r="AI3126" t="s">
        <v>288</v>
      </c>
    </row>
    <row r="3127" spans="1:35">
      <c r="A3127">
        <v>3126</v>
      </c>
      <c r="B3127" t="str">
        <f>"000817"</f>
        <v>000817</v>
      </c>
      <c r="C3127" t="s">
        <v>13332</v>
      </c>
      <c r="D3127" t="s">
        <v>288</v>
      </c>
      <c r="E3127" t="s">
        <v>288</v>
      </c>
      <c r="F3127" t="s">
        <v>288</v>
      </c>
      <c r="G3127" t="s">
        <v>288</v>
      </c>
      <c r="H3127" t="s">
        <v>288</v>
      </c>
      <c r="I3127" t="s">
        <v>288</v>
      </c>
      <c r="J3127" t="s">
        <v>288</v>
      </c>
      <c r="K3127" t="s">
        <v>288</v>
      </c>
      <c r="L3127" t="s">
        <v>288</v>
      </c>
      <c r="M3127" t="s">
        <v>288</v>
      </c>
      <c r="N3127" t="s">
        <v>288</v>
      </c>
      <c r="O3127" t="s">
        <v>288</v>
      </c>
      <c r="P3127" t="s">
        <v>288</v>
      </c>
      <c r="Q3127" t="s">
        <v>288</v>
      </c>
      <c r="R3127" t="s">
        <v>288</v>
      </c>
      <c r="S3127" t="s">
        <v>288</v>
      </c>
      <c r="T3127" t="s">
        <v>288</v>
      </c>
      <c r="U3127" t="s">
        <v>288</v>
      </c>
      <c r="V3127" t="s">
        <v>288</v>
      </c>
      <c r="W3127" t="s">
        <v>288</v>
      </c>
      <c r="X3127" t="s">
        <v>288</v>
      </c>
      <c r="Y3127" t="s">
        <v>288</v>
      </c>
      <c r="Z3127" t="s">
        <v>288</v>
      </c>
      <c r="AA3127" t="s">
        <v>288</v>
      </c>
      <c r="AB3127" t="s">
        <v>288</v>
      </c>
      <c r="AC3127" t="s">
        <v>288</v>
      </c>
      <c r="AD3127" t="s">
        <v>288</v>
      </c>
      <c r="AE3127" t="s">
        <v>288</v>
      </c>
      <c r="AF3127" t="s">
        <v>288</v>
      </c>
      <c r="AG3127" t="s">
        <v>288</v>
      </c>
      <c r="AH3127" t="s">
        <v>288</v>
      </c>
      <c r="AI3127" t="s">
        <v>288</v>
      </c>
    </row>
    <row r="3128" spans="1:35">
      <c r="A3128">
        <v>3127</v>
      </c>
      <c r="B3128" t="str">
        <f>"000805"</f>
        <v>000805</v>
      </c>
      <c r="C3128" t="s">
        <v>13333</v>
      </c>
      <c r="D3128" t="s">
        <v>288</v>
      </c>
      <c r="E3128" t="s">
        <v>288</v>
      </c>
      <c r="F3128" t="s">
        <v>288</v>
      </c>
      <c r="G3128" t="s">
        <v>288</v>
      </c>
      <c r="H3128" t="s">
        <v>288</v>
      </c>
      <c r="I3128" t="s">
        <v>288</v>
      </c>
      <c r="J3128" t="s">
        <v>288</v>
      </c>
      <c r="K3128" t="s">
        <v>288</v>
      </c>
      <c r="L3128" t="s">
        <v>288</v>
      </c>
      <c r="M3128" t="s">
        <v>288</v>
      </c>
      <c r="N3128" t="s">
        <v>288</v>
      </c>
      <c r="O3128" t="s">
        <v>288</v>
      </c>
      <c r="P3128" t="s">
        <v>288</v>
      </c>
      <c r="Q3128" t="s">
        <v>288</v>
      </c>
      <c r="R3128" t="s">
        <v>288</v>
      </c>
      <c r="S3128" t="s">
        <v>288</v>
      </c>
      <c r="T3128" t="s">
        <v>288</v>
      </c>
      <c r="U3128" t="s">
        <v>288</v>
      </c>
      <c r="V3128" t="s">
        <v>288</v>
      </c>
      <c r="W3128" t="s">
        <v>288</v>
      </c>
      <c r="X3128" t="s">
        <v>288</v>
      </c>
      <c r="Y3128" t="s">
        <v>288</v>
      </c>
      <c r="Z3128" t="s">
        <v>288</v>
      </c>
      <c r="AA3128" t="s">
        <v>288</v>
      </c>
      <c r="AB3128" t="s">
        <v>288</v>
      </c>
      <c r="AC3128" t="s">
        <v>288</v>
      </c>
      <c r="AD3128" t="s">
        <v>288</v>
      </c>
      <c r="AE3128" t="s">
        <v>288</v>
      </c>
      <c r="AF3128" t="s">
        <v>288</v>
      </c>
      <c r="AG3128" t="s">
        <v>288</v>
      </c>
      <c r="AH3128" t="s">
        <v>288</v>
      </c>
      <c r="AI3128" t="s">
        <v>288</v>
      </c>
    </row>
    <row r="3129" spans="1:35">
      <c r="A3129">
        <v>3128</v>
      </c>
      <c r="B3129" t="str">
        <f>"000787"</f>
        <v>000787</v>
      </c>
      <c r="C3129" t="s">
        <v>13334</v>
      </c>
      <c r="D3129" t="s">
        <v>288</v>
      </c>
      <c r="E3129" t="s">
        <v>288</v>
      </c>
      <c r="F3129" t="s">
        <v>288</v>
      </c>
      <c r="G3129" t="s">
        <v>288</v>
      </c>
      <c r="H3129" t="s">
        <v>288</v>
      </c>
      <c r="I3129" t="s">
        <v>288</v>
      </c>
      <c r="J3129" t="s">
        <v>288</v>
      </c>
      <c r="K3129" t="s">
        <v>288</v>
      </c>
      <c r="L3129" t="s">
        <v>288</v>
      </c>
      <c r="M3129" t="s">
        <v>288</v>
      </c>
      <c r="N3129" t="s">
        <v>288</v>
      </c>
      <c r="O3129" t="s">
        <v>288</v>
      </c>
      <c r="P3129" t="s">
        <v>288</v>
      </c>
      <c r="Q3129" t="s">
        <v>288</v>
      </c>
      <c r="R3129" t="s">
        <v>288</v>
      </c>
      <c r="S3129" t="s">
        <v>288</v>
      </c>
      <c r="T3129" t="s">
        <v>288</v>
      </c>
      <c r="U3129" t="s">
        <v>288</v>
      </c>
      <c r="V3129" t="s">
        <v>288</v>
      </c>
      <c r="W3129" t="s">
        <v>288</v>
      </c>
      <c r="X3129" t="s">
        <v>288</v>
      </c>
      <c r="Y3129" t="s">
        <v>288</v>
      </c>
      <c r="Z3129" t="s">
        <v>288</v>
      </c>
      <c r="AA3129" t="s">
        <v>288</v>
      </c>
      <c r="AB3129" t="s">
        <v>288</v>
      </c>
      <c r="AC3129" t="s">
        <v>288</v>
      </c>
      <c r="AD3129" t="s">
        <v>288</v>
      </c>
      <c r="AE3129" t="s">
        <v>288</v>
      </c>
      <c r="AF3129" t="s">
        <v>288</v>
      </c>
      <c r="AG3129" t="s">
        <v>288</v>
      </c>
      <c r="AH3129" t="s">
        <v>288</v>
      </c>
      <c r="AI3129" t="s">
        <v>288</v>
      </c>
    </row>
    <row r="3130" spans="1:35">
      <c r="A3130">
        <v>3129</v>
      </c>
      <c r="B3130" t="str">
        <f>"000769"</f>
        <v>000769</v>
      </c>
      <c r="C3130" t="s">
        <v>13335</v>
      </c>
      <c r="D3130" t="s">
        <v>288</v>
      </c>
      <c r="E3130" t="s">
        <v>288</v>
      </c>
      <c r="F3130" t="s">
        <v>288</v>
      </c>
      <c r="G3130" t="s">
        <v>288</v>
      </c>
      <c r="H3130" t="s">
        <v>288</v>
      </c>
      <c r="I3130" t="s">
        <v>288</v>
      </c>
      <c r="J3130" t="s">
        <v>288</v>
      </c>
      <c r="K3130" t="s">
        <v>288</v>
      </c>
      <c r="L3130" t="s">
        <v>288</v>
      </c>
      <c r="M3130" t="s">
        <v>288</v>
      </c>
      <c r="N3130" t="s">
        <v>288</v>
      </c>
      <c r="O3130" t="s">
        <v>288</v>
      </c>
      <c r="P3130" t="s">
        <v>288</v>
      </c>
      <c r="Q3130" t="s">
        <v>288</v>
      </c>
      <c r="R3130" t="s">
        <v>288</v>
      </c>
      <c r="S3130" t="s">
        <v>288</v>
      </c>
      <c r="T3130" t="s">
        <v>288</v>
      </c>
      <c r="U3130" t="s">
        <v>288</v>
      </c>
      <c r="V3130" t="s">
        <v>288</v>
      </c>
      <c r="W3130" t="s">
        <v>288</v>
      </c>
      <c r="X3130" t="s">
        <v>288</v>
      </c>
      <c r="Y3130" t="s">
        <v>288</v>
      </c>
      <c r="Z3130" t="s">
        <v>288</v>
      </c>
      <c r="AA3130" t="s">
        <v>288</v>
      </c>
      <c r="AB3130" t="s">
        <v>288</v>
      </c>
      <c r="AC3130" t="s">
        <v>288</v>
      </c>
      <c r="AD3130" t="s">
        <v>288</v>
      </c>
      <c r="AE3130" t="s">
        <v>288</v>
      </c>
      <c r="AF3130" t="s">
        <v>288</v>
      </c>
      <c r="AG3130" t="s">
        <v>288</v>
      </c>
      <c r="AH3130" t="s">
        <v>288</v>
      </c>
      <c r="AI3130" t="s">
        <v>288</v>
      </c>
    </row>
    <row r="3131" spans="1:35">
      <c r="A3131">
        <v>3130</v>
      </c>
      <c r="B3131" t="str">
        <f>"000765"</f>
        <v>000765</v>
      </c>
      <c r="C3131" t="s">
        <v>13336</v>
      </c>
      <c r="D3131" t="s">
        <v>288</v>
      </c>
      <c r="E3131" t="s">
        <v>288</v>
      </c>
      <c r="F3131" t="s">
        <v>288</v>
      </c>
      <c r="G3131" t="s">
        <v>288</v>
      </c>
      <c r="H3131" t="s">
        <v>288</v>
      </c>
      <c r="I3131" t="s">
        <v>288</v>
      </c>
      <c r="J3131" t="s">
        <v>288</v>
      </c>
      <c r="K3131" t="s">
        <v>288</v>
      </c>
      <c r="L3131" t="s">
        <v>288</v>
      </c>
      <c r="M3131" t="s">
        <v>288</v>
      </c>
      <c r="N3131" t="s">
        <v>288</v>
      </c>
      <c r="O3131" t="s">
        <v>288</v>
      </c>
      <c r="P3131" t="s">
        <v>288</v>
      </c>
      <c r="Q3131" t="s">
        <v>288</v>
      </c>
      <c r="R3131" t="s">
        <v>288</v>
      </c>
      <c r="S3131" t="s">
        <v>288</v>
      </c>
      <c r="T3131" t="s">
        <v>288</v>
      </c>
      <c r="U3131" t="s">
        <v>288</v>
      </c>
      <c r="V3131" t="s">
        <v>288</v>
      </c>
      <c r="W3131" t="s">
        <v>288</v>
      </c>
      <c r="X3131" t="s">
        <v>288</v>
      </c>
      <c r="Y3131" t="s">
        <v>288</v>
      </c>
      <c r="Z3131" t="s">
        <v>288</v>
      </c>
      <c r="AA3131" t="s">
        <v>288</v>
      </c>
      <c r="AB3131" t="s">
        <v>288</v>
      </c>
      <c r="AC3131" t="s">
        <v>288</v>
      </c>
      <c r="AD3131" t="s">
        <v>288</v>
      </c>
      <c r="AE3131" t="s">
        <v>288</v>
      </c>
      <c r="AF3131" t="s">
        <v>288</v>
      </c>
      <c r="AG3131" t="s">
        <v>288</v>
      </c>
      <c r="AH3131" t="s">
        <v>288</v>
      </c>
      <c r="AI3131" t="s">
        <v>288</v>
      </c>
    </row>
    <row r="3132" spans="1:35">
      <c r="A3132">
        <v>3131</v>
      </c>
      <c r="B3132" t="str">
        <f>"000763"</f>
        <v>000763</v>
      </c>
      <c r="C3132" t="s">
        <v>13337</v>
      </c>
      <c r="D3132" t="s">
        <v>288</v>
      </c>
      <c r="E3132" t="s">
        <v>288</v>
      </c>
      <c r="F3132" t="s">
        <v>288</v>
      </c>
      <c r="G3132" t="s">
        <v>288</v>
      </c>
      <c r="H3132" t="s">
        <v>288</v>
      </c>
      <c r="I3132" t="s">
        <v>288</v>
      </c>
      <c r="J3132" t="s">
        <v>288</v>
      </c>
      <c r="K3132" t="s">
        <v>288</v>
      </c>
      <c r="L3132" t="s">
        <v>288</v>
      </c>
      <c r="M3132" t="s">
        <v>288</v>
      </c>
      <c r="N3132" t="s">
        <v>288</v>
      </c>
      <c r="O3132" t="s">
        <v>288</v>
      </c>
      <c r="P3132" t="s">
        <v>288</v>
      </c>
      <c r="Q3132" t="s">
        <v>288</v>
      </c>
      <c r="R3132" t="s">
        <v>288</v>
      </c>
      <c r="S3132" t="s">
        <v>288</v>
      </c>
      <c r="T3132" t="s">
        <v>288</v>
      </c>
      <c r="U3132" t="s">
        <v>288</v>
      </c>
      <c r="V3132" t="s">
        <v>288</v>
      </c>
      <c r="W3132" t="s">
        <v>288</v>
      </c>
      <c r="X3132" t="s">
        <v>288</v>
      </c>
      <c r="Y3132" t="s">
        <v>288</v>
      </c>
      <c r="Z3132" t="s">
        <v>288</v>
      </c>
      <c r="AA3132" t="s">
        <v>288</v>
      </c>
      <c r="AB3132" t="s">
        <v>288</v>
      </c>
      <c r="AC3132" t="s">
        <v>288</v>
      </c>
      <c r="AD3132" t="s">
        <v>288</v>
      </c>
      <c r="AE3132" t="s">
        <v>288</v>
      </c>
      <c r="AF3132" t="s">
        <v>288</v>
      </c>
      <c r="AG3132" t="s">
        <v>288</v>
      </c>
      <c r="AH3132" t="s">
        <v>288</v>
      </c>
      <c r="AI3132" t="s">
        <v>288</v>
      </c>
    </row>
    <row r="3133" spans="1:35">
      <c r="A3133">
        <v>3132</v>
      </c>
      <c r="B3133" t="str">
        <f>"000748"</f>
        <v>000748</v>
      </c>
      <c r="C3133" t="s">
        <v>13338</v>
      </c>
      <c r="D3133" s="4">
        <v>42643</v>
      </c>
      <c r="E3133" t="s">
        <v>1584</v>
      </c>
      <c r="F3133" t="s">
        <v>4009</v>
      </c>
      <c r="G3133" t="s">
        <v>2234</v>
      </c>
      <c r="H3133">
        <v>0.11</v>
      </c>
      <c r="I3133">
        <v>5.15</v>
      </c>
      <c r="J3133">
        <v>0</v>
      </c>
      <c r="K3133" t="s">
        <v>405</v>
      </c>
      <c r="L3133">
        <v>-6.32</v>
      </c>
      <c r="M3133" t="s">
        <v>13339</v>
      </c>
      <c r="N3133" t="s">
        <v>13340</v>
      </c>
      <c r="O3133" t="s">
        <v>198</v>
      </c>
      <c r="P3133" t="s">
        <v>13341</v>
      </c>
      <c r="Q3133">
        <v>38.880000000000003</v>
      </c>
      <c r="R3133" t="s">
        <v>1618</v>
      </c>
      <c r="S3133">
        <v>0.74</v>
      </c>
      <c r="T3133">
        <v>23.98</v>
      </c>
      <c r="U3133" t="s">
        <v>3982</v>
      </c>
      <c r="V3133" t="s">
        <v>352</v>
      </c>
      <c r="W3133" t="s">
        <v>1364</v>
      </c>
      <c r="X3133">
        <v>0</v>
      </c>
      <c r="Y3133" t="s">
        <v>115</v>
      </c>
      <c r="Z3133" t="s">
        <v>458</v>
      </c>
      <c r="AA3133" t="s">
        <v>488</v>
      </c>
      <c r="AB3133">
        <v>3.95</v>
      </c>
      <c r="AC3133" t="s">
        <v>2348</v>
      </c>
      <c r="AD3133">
        <v>70.760000000000005</v>
      </c>
      <c r="AE3133" t="s">
        <v>2421</v>
      </c>
      <c r="AF3133">
        <v>1.19</v>
      </c>
      <c r="AG3133">
        <v>0</v>
      </c>
      <c r="AH3133">
        <v>0</v>
      </c>
      <c r="AI3133" s="4">
        <v>35615</v>
      </c>
    </row>
    <row r="3134" spans="1:35">
      <c r="A3134">
        <v>3133</v>
      </c>
      <c r="B3134" t="str">
        <f>"000737"</f>
        <v>000737</v>
      </c>
      <c r="C3134" t="s">
        <v>13342</v>
      </c>
      <c r="D3134" s="4">
        <v>43190</v>
      </c>
      <c r="E3134" t="s">
        <v>2413</v>
      </c>
      <c r="F3134" t="s">
        <v>2413</v>
      </c>
      <c r="G3134" t="s">
        <v>3219</v>
      </c>
      <c r="H3134">
        <v>-0.08</v>
      </c>
      <c r="I3134">
        <v>-0.54</v>
      </c>
      <c r="J3134">
        <v>0</v>
      </c>
      <c r="K3134" t="s">
        <v>2255</v>
      </c>
      <c r="L3134">
        <v>3.94</v>
      </c>
      <c r="M3134" t="s">
        <v>13343</v>
      </c>
      <c r="N3134">
        <v>0</v>
      </c>
      <c r="O3134" t="s">
        <v>13344</v>
      </c>
      <c r="P3134" t="s">
        <v>13345</v>
      </c>
      <c r="Q3134">
        <v>-12.31</v>
      </c>
      <c r="R3134" t="s">
        <v>13346</v>
      </c>
      <c r="S3134">
        <v>-2.84</v>
      </c>
      <c r="T3134">
        <v>23.85</v>
      </c>
      <c r="U3134" t="s">
        <v>402</v>
      </c>
      <c r="V3134" t="s">
        <v>982</v>
      </c>
      <c r="W3134" t="s">
        <v>4936</v>
      </c>
      <c r="X3134">
        <v>0</v>
      </c>
      <c r="Y3134" t="s">
        <v>589</v>
      </c>
      <c r="Z3134" t="s">
        <v>1687</v>
      </c>
      <c r="AA3134" t="s">
        <v>3376</v>
      </c>
      <c r="AB3134">
        <v>-5.44</v>
      </c>
      <c r="AC3134" t="s">
        <v>13347</v>
      </c>
      <c r="AD3134">
        <v>-11.54</v>
      </c>
      <c r="AE3134" t="s">
        <v>2517</v>
      </c>
      <c r="AF3134">
        <v>1.1399999999999999</v>
      </c>
      <c r="AG3134">
        <v>0</v>
      </c>
      <c r="AH3134">
        <v>0</v>
      </c>
      <c r="AI3134" s="4">
        <v>35548</v>
      </c>
    </row>
    <row r="3135" spans="1:35">
      <c r="A3135">
        <v>3134</v>
      </c>
      <c r="B3135" t="str">
        <f>"000730"</f>
        <v>000730</v>
      </c>
      <c r="C3135" t="s">
        <v>13348</v>
      </c>
      <c r="D3135" t="s">
        <v>288</v>
      </c>
      <c r="E3135" t="s">
        <v>288</v>
      </c>
      <c r="F3135" t="s">
        <v>288</v>
      </c>
      <c r="G3135" t="s">
        <v>288</v>
      </c>
      <c r="H3135" t="s">
        <v>288</v>
      </c>
      <c r="I3135" t="s">
        <v>288</v>
      </c>
      <c r="J3135" t="s">
        <v>288</v>
      </c>
      <c r="K3135" t="s">
        <v>288</v>
      </c>
      <c r="L3135" t="s">
        <v>288</v>
      </c>
      <c r="M3135" t="s">
        <v>288</v>
      </c>
      <c r="N3135" t="s">
        <v>288</v>
      </c>
      <c r="O3135" t="s">
        <v>288</v>
      </c>
      <c r="P3135" t="s">
        <v>288</v>
      </c>
      <c r="Q3135" t="s">
        <v>288</v>
      </c>
      <c r="R3135" t="s">
        <v>288</v>
      </c>
      <c r="S3135" t="s">
        <v>288</v>
      </c>
      <c r="T3135" t="s">
        <v>288</v>
      </c>
      <c r="U3135" t="s">
        <v>288</v>
      </c>
      <c r="V3135" t="s">
        <v>288</v>
      </c>
      <c r="W3135" t="s">
        <v>288</v>
      </c>
      <c r="X3135" t="s">
        <v>288</v>
      </c>
      <c r="Y3135" t="s">
        <v>288</v>
      </c>
      <c r="Z3135" t="s">
        <v>288</v>
      </c>
      <c r="AA3135" t="s">
        <v>288</v>
      </c>
      <c r="AB3135" t="s">
        <v>288</v>
      </c>
      <c r="AC3135" t="s">
        <v>288</v>
      </c>
      <c r="AD3135" t="s">
        <v>288</v>
      </c>
      <c r="AE3135" t="s">
        <v>288</v>
      </c>
      <c r="AF3135" t="s">
        <v>288</v>
      </c>
      <c r="AG3135" t="s">
        <v>288</v>
      </c>
      <c r="AH3135" t="s">
        <v>288</v>
      </c>
      <c r="AI3135" t="s">
        <v>288</v>
      </c>
    </row>
    <row r="3136" spans="1:35">
      <c r="A3136">
        <v>3135</v>
      </c>
      <c r="B3136" t="str">
        <f>"000699"</f>
        <v>000699</v>
      </c>
      <c r="C3136" t="s">
        <v>13349</v>
      </c>
      <c r="D3136" t="s">
        <v>288</v>
      </c>
      <c r="E3136" t="s">
        <v>288</v>
      </c>
      <c r="F3136" t="s">
        <v>288</v>
      </c>
      <c r="G3136" t="s">
        <v>288</v>
      </c>
      <c r="H3136" t="s">
        <v>288</v>
      </c>
      <c r="I3136" t="s">
        <v>288</v>
      </c>
      <c r="J3136" t="s">
        <v>288</v>
      </c>
      <c r="K3136" t="s">
        <v>288</v>
      </c>
      <c r="L3136" t="s">
        <v>288</v>
      </c>
      <c r="M3136" t="s">
        <v>288</v>
      </c>
      <c r="N3136" t="s">
        <v>288</v>
      </c>
      <c r="O3136" t="s">
        <v>288</v>
      </c>
      <c r="P3136" t="s">
        <v>288</v>
      </c>
      <c r="Q3136" t="s">
        <v>288</v>
      </c>
      <c r="R3136" t="s">
        <v>288</v>
      </c>
      <c r="S3136" t="s">
        <v>288</v>
      </c>
      <c r="T3136" t="s">
        <v>288</v>
      </c>
      <c r="U3136" t="s">
        <v>288</v>
      </c>
      <c r="V3136" t="s">
        <v>288</v>
      </c>
      <c r="W3136" t="s">
        <v>288</v>
      </c>
      <c r="X3136" t="s">
        <v>288</v>
      </c>
      <c r="Y3136" t="s">
        <v>288</v>
      </c>
      <c r="Z3136" t="s">
        <v>288</v>
      </c>
      <c r="AA3136" t="s">
        <v>288</v>
      </c>
      <c r="AB3136" t="s">
        <v>288</v>
      </c>
      <c r="AC3136" t="s">
        <v>288</v>
      </c>
      <c r="AD3136" t="s">
        <v>288</v>
      </c>
      <c r="AE3136" t="s">
        <v>288</v>
      </c>
      <c r="AF3136" t="s">
        <v>288</v>
      </c>
      <c r="AG3136" t="s">
        <v>288</v>
      </c>
      <c r="AH3136" t="s">
        <v>288</v>
      </c>
      <c r="AI3136" t="s">
        <v>288</v>
      </c>
    </row>
    <row r="3137" spans="1:35">
      <c r="A3137">
        <v>3136</v>
      </c>
      <c r="B3137" t="str">
        <f>"000689"</f>
        <v>000689</v>
      </c>
      <c r="C3137" t="s">
        <v>13350</v>
      </c>
      <c r="D3137" t="s">
        <v>288</v>
      </c>
      <c r="E3137" t="s">
        <v>288</v>
      </c>
      <c r="F3137" t="s">
        <v>288</v>
      </c>
      <c r="G3137" t="s">
        <v>288</v>
      </c>
      <c r="H3137" t="s">
        <v>288</v>
      </c>
      <c r="I3137" t="s">
        <v>288</v>
      </c>
      <c r="J3137" t="s">
        <v>288</v>
      </c>
      <c r="K3137" t="s">
        <v>288</v>
      </c>
      <c r="L3137" t="s">
        <v>288</v>
      </c>
      <c r="M3137" t="s">
        <v>288</v>
      </c>
      <c r="N3137" t="s">
        <v>288</v>
      </c>
      <c r="O3137" t="s">
        <v>288</v>
      </c>
      <c r="P3137" t="s">
        <v>288</v>
      </c>
      <c r="Q3137" t="s">
        <v>288</v>
      </c>
      <c r="R3137" t="s">
        <v>288</v>
      </c>
      <c r="S3137" t="s">
        <v>288</v>
      </c>
      <c r="T3137" t="s">
        <v>288</v>
      </c>
      <c r="U3137" t="s">
        <v>288</v>
      </c>
      <c r="V3137" t="s">
        <v>288</v>
      </c>
      <c r="W3137" t="s">
        <v>288</v>
      </c>
      <c r="X3137" t="s">
        <v>288</v>
      </c>
      <c r="Y3137" t="s">
        <v>288</v>
      </c>
      <c r="Z3137" t="s">
        <v>288</v>
      </c>
      <c r="AA3137" t="s">
        <v>288</v>
      </c>
      <c r="AB3137" t="s">
        <v>288</v>
      </c>
      <c r="AC3137" t="s">
        <v>288</v>
      </c>
      <c r="AD3137" t="s">
        <v>288</v>
      </c>
      <c r="AE3137" t="s">
        <v>288</v>
      </c>
      <c r="AF3137" t="s">
        <v>288</v>
      </c>
      <c r="AG3137" t="s">
        <v>288</v>
      </c>
      <c r="AH3137" t="s">
        <v>288</v>
      </c>
      <c r="AI3137" t="s">
        <v>288</v>
      </c>
    </row>
    <row r="3138" spans="1:35">
      <c r="A3138">
        <v>3137</v>
      </c>
      <c r="B3138" t="str">
        <f>"000675"</f>
        <v>000675</v>
      </c>
      <c r="C3138" t="s">
        <v>13351</v>
      </c>
      <c r="D3138" t="s">
        <v>288</v>
      </c>
      <c r="E3138" t="s">
        <v>288</v>
      </c>
      <c r="F3138" t="s">
        <v>288</v>
      </c>
      <c r="G3138" t="s">
        <v>288</v>
      </c>
      <c r="H3138" t="s">
        <v>288</v>
      </c>
      <c r="I3138" t="s">
        <v>288</v>
      </c>
      <c r="J3138" t="s">
        <v>288</v>
      </c>
      <c r="K3138" t="s">
        <v>288</v>
      </c>
      <c r="L3138" t="s">
        <v>288</v>
      </c>
      <c r="M3138" t="s">
        <v>288</v>
      </c>
      <c r="N3138" t="s">
        <v>288</v>
      </c>
      <c r="O3138" t="s">
        <v>288</v>
      </c>
      <c r="P3138" t="s">
        <v>288</v>
      </c>
      <c r="Q3138" t="s">
        <v>288</v>
      </c>
      <c r="R3138" t="s">
        <v>288</v>
      </c>
      <c r="S3138" t="s">
        <v>288</v>
      </c>
      <c r="T3138" t="s">
        <v>288</v>
      </c>
      <c r="U3138" t="s">
        <v>288</v>
      </c>
      <c r="V3138" t="s">
        <v>288</v>
      </c>
      <c r="W3138" t="s">
        <v>288</v>
      </c>
      <c r="X3138" t="s">
        <v>288</v>
      </c>
      <c r="Y3138" t="s">
        <v>288</v>
      </c>
      <c r="Z3138" t="s">
        <v>288</v>
      </c>
      <c r="AA3138" t="s">
        <v>288</v>
      </c>
      <c r="AB3138" t="s">
        <v>288</v>
      </c>
      <c r="AC3138" t="s">
        <v>288</v>
      </c>
      <c r="AD3138" t="s">
        <v>288</v>
      </c>
      <c r="AE3138" t="s">
        <v>288</v>
      </c>
      <c r="AF3138" t="s">
        <v>288</v>
      </c>
      <c r="AG3138" t="s">
        <v>288</v>
      </c>
      <c r="AH3138" t="s">
        <v>288</v>
      </c>
      <c r="AI3138" t="s">
        <v>288</v>
      </c>
    </row>
    <row r="3139" spans="1:35">
      <c r="A3139">
        <v>3138</v>
      </c>
      <c r="B3139" t="str">
        <f>"000660"</f>
        <v>000660</v>
      </c>
      <c r="C3139" t="s">
        <v>13352</v>
      </c>
      <c r="D3139" t="s">
        <v>288</v>
      </c>
      <c r="E3139" t="s">
        <v>288</v>
      </c>
      <c r="F3139" t="s">
        <v>288</v>
      </c>
      <c r="G3139" t="s">
        <v>288</v>
      </c>
      <c r="H3139" t="s">
        <v>288</v>
      </c>
      <c r="I3139" t="s">
        <v>288</v>
      </c>
      <c r="J3139" t="s">
        <v>288</v>
      </c>
      <c r="K3139" t="s">
        <v>288</v>
      </c>
      <c r="L3139" t="s">
        <v>288</v>
      </c>
      <c r="M3139" t="s">
        <v>288</v>
      </c>
      <c r="N3139" t="s">
        <v>288</v>
      </c>
      <c r="O3139" t="s">
        <v>288</v>
      </c>
      <c r="P3139" t="s">
        <v>288</v>
      </c>
      <c r="Q3139" t="s">
        <v>288</v>
      </c>
      <c r="R3139" t="s">
        <v>288</v>
      </c>
      <c r="S3139" t="s">
        <v>288</v>
      </c>
      <c r="T3139" t="s">
        <v>288</v>
      </c>
      <c r="U3139" t="s">
        <v>288</v>
      </c>
      <c r="V3139" t="s">
        <v>288</v>
      </c>
      <c r="W3139" t="s">
        <v>288</v>
      </c>
      <c r="X3139" t="s">
        <v>288</v>
      </c>
      <c r="Y3139" t="s">
        <v>288</v>
      </c>
      <c r="Z3139" t="s">
        <v>288</v>
      </c>
      <c r="AA3139" t="s">
        <v>288</v>
      </c>
      <c r="AB3139" t="s">
        <v>288</v>
      </c>
      <c r="AC3139" t="s">
        <v>288</v>
      </c>
      <c r="AD3139" t="s">
        <v>288</v>
      </c>
      <c r="AE3139" t="s">
        <v>288</v>
      </c>
      <c r="AF3139" t="s">
        <v>288</v>
      </c>
      <c r="AG3139" t="s">
        <v>288</v>
      </c>
      <c r="AH3139" t="s">
        <v>288</v>
      </c>
      <c r="AI3139" t="s">
        <v>288</v>
      </c>
    </row>
    <row r="3140" spans="1:35">
      <c r="A3140">
        <v>3139</v>
      </c>
      <c r="B3140" t="str">
        <f>"000658"</f>
        <v>000658</v>
      </c>
      <c r="C3140" t="s">
        <v>13353</v>
      </c>
      <c r="D3140" t="s">
        <v>288</v>
      </c>
      <c r="E3140" t="s">
        <v>288</v>
      </c>
      <c r="F3140" t="s">
        <v>288</v>
      </c>
      <c r="G3140" t="s">
        <v>288</v>
      </c>
      <c r="H3140" t="s">
        <v>288</v>
      </c>
      <c r="I3140" t="s">
        <v>288</v>
      </c>
      <c r="J3140" t="s">
        <v>288</v>
      </c>
      <c r="K3140" t="s">
        <v>288</v>
      </c>
      <c r="L3140" t="s">
        <v>288</v>
      </c>
      <c r="M3140" t="s">
        <v>288</v>
      </c>
      <c r="N3140" t="s">
        <v>288</v>
      </c>
      <c r="O3140" t="s">
        <v>288</v>
      </c>
      <c r="P3140" t="s">
        <v>288</v>
      </c>
      <c r="Q3140" t="s">
        <v>288</v>
      </c>
      <c r="R3140" t="s">
        <v>288</v>
      </c>
      <c r="S3140" t="s">
        <v>288</v>
      </c>
      <c r="T3140" t="s">
        <v>288</v>
      </c>
      <c r="U3140" t="s">
        <v>288</v>
      </c>
      <c r="V3140" t="s">
        <v>288</v>
      </c>
      <c r="W3140" t="s">
        <v>288</v>
      </c>
      <c r="X3140" t="s">
        <v>288</v>
      </c>
      <c r="Y3140" t="s">
        <v>288</v>
      </c>
      <c r="Z3140" t="s">
        <v>288</v>
      </c>
      <c r="AA3140" t="s">
        <v>288</v>
      </c>
      <c r="AB3140" t="s">
        <v>288</v>
      </c>
      <c r="AC3140" t="s">
        <v>288</v>
      </c>
      <c r="AD3140" t="s">
        <v>288</v>
      </c>
      <c r="AE3140" t="s">
        <v>288</v>
      </c>
      <c r="AF3140" t="s">
        <v>288</v>
      </c>
      <c r="AG3140" t="s">
        <v>288</v>
      </c>
      <c r="AH3140" t="s">
        <v>288</v>
      </c>
      <c r="AI3140" t="s">
        <v>288</v>
      </c>
    </row>
    <row r="3141" spans="1:35">
      <c r="A3141">
        <v>3140</v>
      </c>
      <c r="B3141" t="str">
        <f>"000653"</f>
        <v>000653</v>
      </c>
      <c r="C3141" t="s">
        <v>13354</v>
      </c>
      <c r="D3141" t="s">
        <v>288</v>
      </c>
      <c r="E3141" t="s">
        <v>288</v>
      </c>
      <c r="F3141" t="s">
        <v>288</v>
      </c>
      <c r="G3141" t="s">
        <v>288</v>
      </c>
      <c r="H3141" t="s">
        <v>288</v>
      </c>
      <c r="I3141" t="s">
        <v>288</v>
      </c>
      <c r="J3141" t="s">
        <v>288</v>
      </c>
      <c r="K3141" t="s">
        <v>288</v>
      </c>
      <c r="L3141" t="s">
        <v>288</v>
      </c>
      <c r="M3141" t="s">
        <v>288</v>
      </c>
      <c r="N3141" t="s">
        <v>288</v>
      </c>
      <c r="O3141" t="s">
        <v>288</v>
      </c>
      <c r="P3141" t="s">
        <v>288</v>
      </c>
      <c r="Q3141" t="s">
        <v>288</v>
      </c>
      <c r="R3141" t="s">
        <v>288</v>
      </c>
      <c r="S3141" t="s">
        <v>288</v>
      </c>
      <c r="T3141" t="s">
        <v>288</v>
      </c>
      <c r="U3141" t="s">
        <v>288</v>
      </c>
      <c r="V3141" t="s">
        <v>288</v>
      </c>
      <c r="W3141" t="s">
        <v>288</v>
      </c>
      <c r="X3141" t="s">
        <v>288</v>
      </c>
      <c r="Y3141" t="s">
        <v>288</v>
      </c>
      <c r="Z3141" t="s">
        <v>288</v>
      </c>
      <c r="AA3141" t="s">
        <v>288</v>
      </c>
      <c r="AB3141" t="s">
        <v>288</v>
      </c>
      <c r="AC3141" t="s">
        <v>288</v>
      </c>
      <c r="AD3141" t="s">
        <v>288</v>
      </c>
      <c r="AE3141" t="s">
        <v>288</v>
      </c>
      <c r="AF3141" t="s">
        <v>288</v>
      </c>
      <c r="AG3141" t="s">
        <v>288</v>
      </c>
      <c r="AH3141" t="s">
        <v>288</v>
      </c>
      <c r="AI3141" t="s">
        <v>288</v>
      </c>
    </row>
    <row r="3142" spans="1:35">
      <c r="A3142">
        <v>3141</v>
      </c>
      <c r="B3142" t="str">
        <f>"000621"</f>
        <v>000621</v>
      </c>
      <c r="C3142" t="s">
        <v>13355</v>
      </c>
      <c r="D3142" t="s">
        <v>288</v>
      </c>
      <c r="E3142" t="s">
        <v>288</v>
      </c>
      <c r="F3142" t="s">
        <v>288</v>
      </c>
      <c r="G3142" t="s">
        <v>288</v>
      </c>
      <c r="H3142" t="s">
        <v>288</v>
      </c>
      <c r="I3142" t="s">
        <v>288</v>
      </c>
      <c r="J3142" t="s">
        <v>288</v>
      </c>
      <c r="K3142" t="s">
        <v>288</v>
      </c>
      <c r="L3142" t="s">
        <v>288</v>
      </c>
      <c r="M3142" t="s">
        <v>288</v>
      </c>
      <c r="N3142" t="s">
        <v>288</v>
      </c>
      <c r="O3142" t="s">
        <v>288</v>
      </c>
      <c r="P3142" t="s">
        <v>288</v>
      </c>
      <c r="Q3142" t="s">
        <v>288</v>
      </c>
      <c r="R3142" t="s">
        <v>288</v>
      </c>
      <c r="S3142" t="s">
        <v>288</v>
      </c>
      <c r="T3142" t="s">
        <v>288</v>
      </c>
      <c r="U3142" t="s">
        <v>288</v>
      </c>
      <c r="V3142" t="s">
        <v>288</v>
      </c>
      <c r="W3142" t="s">
        <v>288</v>
      </c>
      <c r="X3142" t="s">
        <v>288</v>
      </c>
      <c r="Y3142" t="s">
        <v>288</v>
      </c>
      <c r="Z3142" t="s">
        <v>288</v>
      </c>
      <c r="AA3142" t="s">
        <v>288</v>
      </c>
      <c r="AB3142" t="s">
        <v>288</v>
      </c>
      <c r="AC3142" t="s">
        <v>288</v>
      </c>
      <c r="AD3142" t="s">
        <v>288</v>
      </c>
      <c r="AE3142" t="s">
        <v>288</v>
      </c>
      <c r="AF3142" t="s">
        <v>288</v>
      </c>
      <c r="AG3142" t="s">
        <v>288</v>
      </c>
      <c r="AH3142" t="s">
        <v>288</v>
      </c>
      <c r="AI3142" t="s">
        <v>288</v>
      </c>
    </row>
    <row r="3143" spans="1:35">
      <c r="A3143">
        <v>3142</v>
      </c>
      <c r="B3143" t="str">
        <f>"000618"</f>
        <v>000618</v>
      </c>
      <c r="C3143" t="s">
        <v>13356</v>
      </c>
      <c r="D3143" t="s">
        <v>288</v>
      </c>
      <c r="E3143" t="s">
        <v>288</v>
      </c>
      <c r="F3143" t="s">
        <v>288</v>
      </c>
      <c r="G3143" t="s">
        <v>288</v>
      </c>
      <c r="H3143" t="s">
        <v>288</v>
      </c>
      <c r="I3143" t="s">
        <v>288</v>
      </c>
      <c r="J3143" t="s">
        <v>288</v>
      </c>
      <c r="K3143" t="s">
        <v>288</v>
      </c>
      <c r="L3143" t="s">
        <v>288</v>
      </c>
      <c r="M3143" t="s">
        <v>288</v>
      </c>
      <c r="N3143" t="s">
        <v>288</v>
      </c>
      <c r="O3143" t="s">
        <v>288</v>
      </c>
      <c r="P3143" t="s">
        <v>288</v>
      </c>
      <c r="Q3143" t="s">
        <v>288</v>
      </c>
      <c r="R3143" t="s">
        <v>288</v>
      </c>
      <c r="S3143" t="s">
        <v>288</v>
      </c>
      <c r="T3143" t="s">
        <v>288</v>
      </c>
      <c r="U3143" t="s">
        <v>288</v>
      </c>
      <c r="V3143" t="s">
        <v>288</v>
      </c>
      <c r="W3143" t="s">
        <v>288</v>
      </c>
      <c r="X3143" t="s">
        <v>288</v>
      </c>
      <c r="Y3143" t="s">
        <v>288</v>
      </c>
      <c r="Z3143" t="s">
        <v>288</v>
      </c>
      <c r="AA3143" t="s">
        <v>288</v>
      </c>
      <c r="AB3143" t="s">
        <v>288</v>
      </c>
      <c r="AC3143" t="s">
        <v>288</v>
      </c>
      <c r="AD3143" t="s">
        <v>288</v>
      </c>
      <c r="AE3143" t="s">
        <v>288</v>
      </c>
      <c r="AF3143" t="s">
        <v>288</v>
      </c>
      <c r="AG3143" t="s">
        <v>288</v>
      </c>
      <c r="AH3143" t="s">
        <v>288</v>
      </c>
      <c r="AI3143" t="s">
        <v>288</v>
      </c>
    </row>
    <row r="3144" spans="1:35">
      <c r="A3144">
        <v>3143</v>
      </c>
      <c r="B3144" t="str">
        <f>"000602"</f>
        <v>000602</v>
      </c>
      <c r="C3144" t="s">
        <v>13357</v>
      </c>
      <c r="D3144" t="s">
        <v>288</v>
      </c>
      <c r="E3144" t="s">
        <v>288</v>
      </c>
      <c r="F3144" t="s">
        <v>288</v>
      </c>
      <c r="G3144" t="s">
        <v>288</v>
      </c>
      <c r="H3144" t="s">
        <v>288</v>
      </c>
      <c r="I3144" t="s">
        <v>288</v>
      </c>
      <c r="J3144" t="s">
        <v>288</v>
      </c>
      <c r="K3144" t="s">
        <v>288</v>
      </c>
      <c r="L3144" t="s">
        <v>288</v>
      </c>
      <c r="M3144" t="s">
        <v>288</v>
      </c>
      <c r="N3144" t="s">
        <v>288</v>
      </c>
      <c r="O3144" t="s">
        <v>288</v>
      </c>
      <c r="P3144" t="s">
        <v>288</v>
      </c>
      <c r="Q3144" t="s">
        <v>288</v>
      </c>
      <c r="R3144" t="s">
        <v>288</v>
      </c>
      <c r="S3144" t="s">
        <v>288</v>
      </c>
      <c r="T3144" t="s">
        <v>288</v>
      </c>
      <c r="U3144" t="s">
        <v>288</v>
      </c>
      <c r="V3144" t="s">
        <v>288</v>
      </c>
      <c r="W3144" t="s">
        <v>288</v>
      </c>
      <c r="X3144" t="s">
        <v>288</v>
      </c>
      <c r="Y3144" t="s">
        <v>288</v>
      </c>
      <c r="Z3144" t="s">
        <v>288</v>
      </c>
      <c r="AA3144" t="s">
        <v>288</v>
      </c>
      <c r="AB3144" t="s">
        <v>288</v>
      </c>
      <c r="AC3144" t="s">
        <v>288</v>
      </c>
      <c r="AD3144" t="s">
        <v>288</v>
      </c>
      <c r="AE3144" t="s">
        <v>288</v>
      </c>
      <c r="AF3144" t="s">
        <v>288</v>
      </c>
      <c r="AG3144" t="s">
        <v>288</v>
      </c>
      <c r="AH3144" t="s">
        <v>288</v>
      </c>
      <c r="AI3144" t="s">
        <v>288</v>
      </c>
    </row>
    <row r="3145" spans="1:35">
      <c r="A3145">
        <v>3144</v>
      </c>
      <c r="B3145" t="str">
        <f>"000594"</f>
        <v>000594</v>
      </c>
      <c r="C3145" t="s">
        <v>13358</v>
      </c>
      <c r="D3145" s="4">
        <v>42094</v>
      </c>
      <c r="E3145" t="s">
        <v>759</v>
      </c>
      <c r="F3145" t="s">
        <v>759</v>
      </c>
      <c r="G3145" t="s">
        <v>3064</v>
      </c>
      <c r="H3145">
        <v>-0.01</v>
      </c>
      <c r="I3145">
        <v>1.73</v>
      </c>
      <c r="J3145">
        <v>0</v>
      </c>
      <c r="K3145" t="s">
        <v>3991</v>
      </c>
      <c r="L3145">
        <v>-35.479999999999997</v>
      </c>
      <c r="M3145" t="s">
        <v>13359</v>
      </c>
      <c r="N3145">
        <v>0</v>
      </c>
      <c r="O3145" t="s">
        <v>13360</v>
      </c>
      <c r="P3145" t="s">
        <v>13361</v>
      </c>
      <c r="Q3145">
        <v>0</v>
      </c>
      <c r="R3145" t="s">
        <v>13362</v>
      </c>
      <c r="S3145">
        <v>-0.19</v>
      </c>
      <c r="T3145">
        <v>-387.29</v>
      </c>
      <c r="U3145" t="s">
        <v>2600</v>
      </c>
      <c r="V3145" t="s">
        <v>789</v>
      </c>
      <c r="W3145" t="s">
        <v>277</v>
      </c>
      <c r="X3145">
        <v>0</v>
      </c>
      <c r="Y3145" t="s">
        <v>1792</v>
      </c>
      <c r="Z3145" t="s">
        <v>624</v>
      </c>
      <c r="AA3145" t="s">
        <v>1200</v>
      </c>
      <c r="AB3145">
        <v>0.74</v>
      </c>
      <c r="AC3145" t="s">
        <v>512</v>
      </c>
      <c r="AD3145">
        <v>60.88</v>
      </c>
      <c r="AE3145" t="s">
        <v>101</v>
      </c>
      <c r="AF3145">
        <v>0.86</v>
      </c>
      <c r="AG3145">
        <v>0</v>
      </c>
      <c r="AH3145">
        <v>0</v>
      </c>
      <c r="AI3145" s="4">
        <v>35144</v>
      </c>
    </row>
    <row r="3146" spans="1:35">
      <c r="A3146">
        <v>3145</v>
      </c>
      <c r="B3146" t="str">
        <f>"000588"</f>
        <v>000588</v>
      </c>
      <c r="C3146" t="s">
        <v>13363</v>
      </c>
      <c r="D3146" t="s">
        <v>288</v>
      </c>
      <c r="E3146" t="s">
        <v>288</v>
      </c>
      <c r="F3146" t="s">
        <v>288</v>
      </c>
      <c r="G3146" t="s">
        <v>288</v>
      </c>
      <c r="H3146" t="s">
        <v>288</v>
      </c>
      <c r="I3146" t="s">
        <v>288</v>
      </c>
      <c r="J3146" t="s">
        <v>288</v>
      </c>
      <c r="K3146" t="s">
        <v>288</v>
      </c>
      <c r="L3146" t="s">
        <v>288</v>
      </c>
      <c r="M3146" t="s">
        <v>288</v>
      </c>
      <c r="N3146" t="s">
        <v>288</v>
      </c>
      <c r="O3146" t="s">
        <v>288</v>
      </c>
      <c r="P3146" t="s">
        <v>288</v>
      </c>
      <c r="Q3146" t="s">
        <v>288</v>
      </c>
      <c r="R3146" t="s">
        <v>288</v>
      </c>
      <c r="S3146" t="s">
        <v>288</v>
      </c>
      <c r="T3146" t="s">
        <v>288</v>
      </c>
      <c r="U3146" t="s">
        <v>288</v>
      </c>
      <c r="V3146" t="s">
        <v>288</v>
      </c>
      <c r="W3146" t="s">
        <v>288</v>
      </c>
      <c r="X3146" t="s">
        <v>288</v>
      </c>
      <c r="Y3146" t="s">
        <v>288</v>
      </c>
      <c r="Z3146" t="s">
        <v>288</v>
      </c>
      <c r="AA3146" t="s">
        <v>288</v>
      </c>
      <c r="AB3146" t="s">
        <v>288</v>
      </c>
      <c r="AC3146" t="s">
        <v>288</v>
      </c>
      <c r="AD3146" t="s">
        <v>288</v>
      </c>
      <c r="AE3146" t="s">
        <v>288</v>
      </c>
      <c r="AF3146" t="s">
        <v>288</v>
      </c>
      <c r="AG3146" t="s">
        <v>288</v>
      </c>
      <c r="AH3146" t="s">
        <v>288</v>
      </c>
      <c r="AI3146" t="s">
        <v>288</v>
      </c>
    </row>
    <row r="3147" spans="1:35">
      <c r="A3147">
        <v>3146</v>
      </c>
      <c r="B3147" t="str">
        <f>"000583"</f>
        <v>000583</v>
      </c>
      <c r="C3147" t="s">
        <v>13364</v>
      </c>
      <c r="D3147" t="s">
        <v>288</v>
      </c>
      <c r="E3147" t="s">
        <v>288</v>
      </c>
      <c r="F3147" t="s">
        <v>288</v>
      </c>
      <c r="G3147" t="s">
        <v>288</v>
      </c>
      <c r="H3147" t="s">
        <v>288</v>
      </c>
      <c r="I3147" t="s">
        <v>288</v>
      </c>
      <c r="J3147" t="s">
        <v>288</v>
      </c>
      <c r="K3147" t="s">
        <v>288</v>
      </c>
      <c r="L3147" t="s">
        <v>288</v>
      </c>
      <c r="M3147" t="s">
        <v>288</v>
      </c>
      <c r="N3147" t="s">
        <v>288</v>
      </c>
      <c r="O3147" t="s">
        <v>288</v>
      </c>
      <c r="P3147" t="s">
        <v>288</v>
      </c>
      <c r="Q3147" t="s">
        <v>288</v>
      </c>
      <c r="R3147" t="s">
        <v>288</v>
      </c>
      <c r="S3147" t="s">
        <v>288</v>
      </c>
      <c r="T3147" t="s">
        <v>288</v>
      </c>
      <c r="U3147" t="s">
        <v>288</v>
      </c>
      <c r="V3147" t="s">
        <v>288</v>
      </c>
      <c r="W3147" t="s">
        <v>288</v>
      </c>
      <c r="X3147" t="s">
        <v>288</v>
      </c>
      <c r="Y3147" t="s">
        <v>288</v>
      </c>
      <c r="Z3147" t="s">
        <v>288</v>
      </c>
      <c r="AA3147" t="s">
        <v>288</v>
      </c>
      <c r="AB3147" t="s">
        <v>288</v>
      </c>
      <c r="AC3147" t="s">
        <v>288</v>
      </c>
      <c r="AD3147" t="s">
        <v>288</v>
      </c>
      <c r="AE3147" t="s">
        <v>288</v>
      </c>
      <c r="AF3147" t="s">
        <v>288</v>
      </c>
      <c r="AG3147" t="s">
        <v>288</v>
      </c>
      <c r="AH3147" t="s">
        <v>288</v>
      </c>
      <c r="AI3147" t="s">
        <v>288</v>
      </c>
    </row>
    <row r="3148" spans="1:35">
      <c r="A3148">
        <v>3147</v>
      </c>
      <c r="B3148" t="str">
        <f>"000578"</f>
        <v>000578</v>
      </c>
      <c r="C3148" t="s">
        <v>13365</v>
      </c>
      <c r="D3148" t="s">
        <v>288</v>
      </c>
      <c r="E3148" t="s">
        <v>288</v>
      </c>
      <c r="F3148" t="s">
        <v>288</v>
      </c>
      <c r="G3148" t="s">
        <v>288</v>
      </c>
      <c r="H3148" t="s">
        <v>288</v>
      </c>
      <c r="I3148" t="s">
        <v>288</v>
      </c>
      <c r="J3148" t="s">
        <v>288</v>
      </c>
      <c r="K3148" t="s">
        <v>288</v>
      </c>
      <c r="L3148" t="s">
        <v>288</v>
      </c>
      <c r="M3148" t="s">
        <v>288</v>
      </c>
      <c r="N3148" t="s">
        <v>288</v>
      </c>
      <c r="O3148" t="s">
        <v>288</v>
      </c>
      <c r="P3148" t="s">
        <v>288</v>
      </c>
      <c r="Q3148" t="s">
        <v>288</v>
      </c>
      <c r="R3148" t="s">
        <v>288</v>
      </c>
      <c r="S3148" t="s">
        <v>288</v>
      </c>
      <c r="T3148" t="s">
        <v>288</v>
      </c>
      <c r="U3148" t="s">
        <v>288</v>
      </c>
      <c r="V3148" t="s">
        <v>288</v>
      </c>
      <c r="W3148" t="s">
        <v>288</v>
      </c>
      <c r="X3148" t="s">
        <v>288</v>
      </c>
      <c r="Y3148" t="s">
        <v>288</v>
      </c>
      <c r="Z3148" t="s">
        <v>288</v>
      </c>
      <c r="AA3148" t="s">
        <v>288</v>
      </c>
      <c r="AB3148" t="s">
        <v>288</v>
      </c>
      <c r="AC3148" t="s">
        <v>288</v>
      </c>
      <c r="AD3148" t="s">
        <v>288</v>
      </c>
      <c r="AE3148" t="s">
        <v>288</v>
      </c>
      <c r="AF3148" t="s">
        <v>288</v>
      </c>
      <c r="AG3148" t="s">
        <v>288</v>
      </c>
      <c r="AH3148" t="s">
        <v>288</v>
      </c>
      <c r="AI3148" t="s">
        <v>288</v>
      </c>
    </row>
    <row r="3149" spans="1:35">
      <c r="A3149">
        <v>3148</v>
      </c>
      <c r="B3149" t="str">
        <f>"000569"</f>
        <v>000569</v>
      </c>
      <c r="C3149" t="s">
        <v>13366</v>
      </c>
      <c r="D3149" t="s">
        <v>288</v>
      </c>
      <c r="E3149" t="s">
        <v>288</v>
      </c>
      <c r="F3149" t="s">
        <v>288</v>
      </c>
      <c r="G3149" t="s">
        <v>288</v>
      </c>
      <c r="H3149" t="s">
        <v>288</v>
      </c>
      <c r="I3149" t="s">
        <v>288</v>
      </c>
      <c r="J3149" t="s">
        <v>288</v>
      </c>
      <c r="K3149" t="s">
        <v>288</v>
      </c>
      <c r="L3149" t="s">
        <v>288</v>
      </c>
      <c r="M3149" t="s">
        <v>288</v>
      </c>
      <c r="N3149" t="s">
        <v>288</v>
      </c>
      <c r="O3149" t="s">
        <v>288</v>
      </c>
      <c r="P3149" t="s">
        <v>288</v>
      </c>
      <c r="Q3149" t="s">
        <v>288</v>
      </c>
      <c r="R3149" t="s">
        <v>288</v>
      </c>
      <c r="S3149" t="s">
        <v>288</v>
      </c>
      <c r="T3149" t="s">
        <v>288</v>
      </c>
      <c r="U3149" t="s">
        <v>288</v>
      </c>
      <c r="V3149" t="s">
        <v>288</v>
      </c>
      <c r="W3149" t="s">
        <v>288</v>
      </c>
      <c r="X3149" t="s">
        <v>288</v>
      </c>
      <c r="Y3149" t="s">
        <v>288</v>
      </c>
      <c r="Z3149" t="s">
        <v>288</v>
      </c>
      <c r="AA3149" t="s">
        <v>288</v>
      </c>
      <c r="AB3149" t="s">
        <v>288</v>
      </c>
      <c r="AC3149" t="s">
        <v>288</v>
      </c>
      <c r="AD3149" t="s">
        <v>288</v>
      </c>
      <c r="AE3149" t="s">
        <v>288</v>
      </c>
      <c r="AF3149" t="s">
        <v>288</v>
      </c>
      <c r="AG3149" t="s">
        <v>288</v>
      </c>
      <c r="AH3149" t="s">
        <v>288</v>
      </c>
      <c r="AI3149" t="s">
        <v>288</v>
      </c>
    </row>
    <row r="3150" spans="1:35">
      <c r="A3150">
        <v>3149</v>
      </c>
      <c r="B3150" t="str">
        <f>"000562"</f>
        <v>000562</v>
      </c>
      <c r="C3150" t="s">
        <v>13367</v>
      </c>
      <c r="D3150" t="s">
        <v>288</v>
      </c>
      <c r="E3150" t="s">
        <v>288</v>
      </c>
      <c r="F3150" t="s">
        <v>288</v>
      </c>
      <c r="G3150" t="s">
        <v>288</v>
      </c>
      <c r="H3150" t="s">
        <v>288</v>
      </c>
      <c r="I3150" t="s">
        <v>288</v>
      </c>
      <c r="J3150" t="s">
        <v>288</v>
      </c>
      <c r="K3150" t="s">
        <v>288</v>
      </c>
      <c r="L3150" t="s">
        <v>288</v>
      </c>
      <c r="M3150" t="s">
        <v>288</v>
      </c>
      <c r="N3150" t="s">
        <v>288</v>
      </c>
      <c r="O3150" t="s">
        <v>288</v>
      </c>
      <c r="P3150" t="s">
        <v>288</v>
      </c>
      <c r="Q3150" t="s">
        <v>288</v>
      </c>
      <c r="R3150" t="s">
        <v>288</v>
      </c>
      <c r="S3150" t="s">
        <v>288</v>
      </c>
      <c r="T3150" t="s">
        <v>288</v>
      </c>
      <c r="U3150" t="s">
        <v>288</v>
      </c>
      <c r="V3150" t="s">
        <v>288</v>
      </c>
      <c r="W3150" t="s">
        <v>288</v>
      </c>
      <c r="X3150" t="s">
        <v>288</v>
      </c>
      <c r="Y3150" t="s">
        <v>288</v>
      </c>
      <c r="Z3150" t="s">
        <v>288</v>
      </c>
      <c r="AA3150" t="s">
        <v>288</v>
      </c>
      <c r="AB3150" t="s">
        <v>288</v>
      </c>
      <c r="AC3150" t="s">
        <v>288</v>
      </c>
      <c r="AD3150" t="s">
        <v>288</v>
      </c>
      <c r="AE3150" t="s">
        <v>288</v>
      </c>
      <c r="AF3150" t="s">
        <v>288</v>
      </c>
      <c r="AG3150" t="s">
        <v>288</v>
      </c>
      <c r="AH3150" t="s">
        <v>288</v>
      </c>
      <c r="AI3150" t="s">
        <v>288</v>
      </c>
    </row>
    <row r="3151" spans="1:35">
      <c r="A3151">
        <v>3150</v>
      </c>
      <c r="B3151" t="str">
        <f>"000556"</f>
        <v>000556</v>
      </c>
      <c r="C3151" t="s">
        <v>13368</v>
      </c>
      <c r="D3151" t="s">
        <v>288</v>
      </c>
      <c r="E3151" t="s">
        <v>288</v>
      </c>
      <c r="F3151" t="s">
        <v>288</v>
      </c>
      <c r="G3151" t="s">
        <v>288</v>
      </c>
      <c r="H3151" t="s">
        <v>288</v>
      </c>
      <c r="I3151" t="s">
        <v>288</v>
      </c>
      <c r="J3151" t="s">
        <v>288</v>
      </c>
      <c r="K3151" t="s">
        <v>288</v>
      </c>
      <c r="L3151" t="s">
        <v>288</v>
      </c>
      <c r="M3151" t="s">
        <v>288</v>
      </c>
      <c r="N3151" t="s">
        <v>288</v>
      </c>
      <c r="O3151" t="s">
        <v>288</v>
      </c>
      <c r="P3151" t="s">
        <v>288</v>
      </c>
      <c r="Q3151" t="s">
        <v>288</v>
      </c>
      <c r="R3151" t="s">
        <v>288</v>
      </c>
      <c r="S3151" t="s">
        <v>288</v>
      </c>
      <c r="T3151" t="s">
        <v>288</v>
      </c>
      <c r="U3151" t="s">
        <v>288</v>
      </c>
      <c r="V3151" t="s">
        <v>288</v>
      </c>
      <c r="W3151" t="s">
        <v>288</v>
      </c>
      <c r="X3151" t="s">
        <v>288</v>
      </c>
      <c r="Y3151" t="s">
        <v>288</v>
      </c>
      <c r="Z3151" t="s">
        <v>288</v>
      </c>
      <c r="AA3151" t="s">
        <v>288</v>
      </c>
      <c r="AB3151" t="s">
        <v>288</v>
      </c>
      <c r="AC3151" t="s">
        <v>288</v>
      </c>
      <c r="AD3151" t="s">
        <v>288</v>
      </c>
      <c r="AE3151" t="s">
        <v>288</v>
      </c>
      <c r="AF3151" t="s">
        <v>288</v>
      </c>
      <c r="AG3151" t="s">
        <v>288</v>
      </c>
      <c r="AH3151" t="s">
        <v>288</v>
      </c>
      <c r="AI3151" t="s">
        <v>288</v>
      </c>
    </row>
    <row r="3152" spans="1:35">
      <c r="A3152">
        <v>3151</v>
      </c>
      <c r="B3152" t="str">
        <f>"000549"</f>
        <v>000549</v>
      </c>
      <c r="C3152" t="s">
        <v>13369</v>
      </c>
      <c r="D3152" t="s">
        <v>288</v>
      </c>
      <c r="E3152" t="s">
        <v>288</v>
      </c>
      <c r="F3152" t="s">
        <v>288</v>
      </c>
      <c r="G3152" t="s">
        <v>288</v>
      </c>
      <c r="H3152" t="s">
        <v>288</v>
      </c>
      <c r="I3152" t="s">
        <v>288</v>
      </c>
      <c r="J3152" t="s">
        <v>288</v>
      </c>
      <c r="K3152" t="s">
        <v>288</v>
      </c>
      <c r="L3152" t="s">
        <v>288</v>
      </c>
      <c r="M3152" t="s">
        <v>288</v>
      </c>
      <c r="N3152" t="s">
        <v>288</v>
      </c>
      <c r="O3152" t="s">
        <v>288</v>
      </c>
      <c r="P3152" t="s">
        <v>288</v>
      </c>
      <c r="Q3152" t="s">
        <v>288</v>
      </c>
      <c r="R3152" t="s">
        <v>288</v>
      </c>
      <c r="S3152" t="s">
        <v>288</v>
      </c>
      <c r="T3152" t="s">
        <v>288</v>
      </c>
      <c r="U3152" t="s">
        <v>288</v>
      </c>
      <c r="V3152" t="s">
        <v>288</v>
      </c>
      <c r="W3152" t="s">
        <v>288</v>
      </c>
      <c r="X3152" t="s">
        <v>288</v>
      </c>
      <c r="Y3152" t="s">
        <v>288</v>
      </c>
      <c r="Z3152" t="s">
        <v>288</v>
      </c>
      <c r="AA3152" t="s">
        <v>288</v>
      </c>
      <c r="AB3152" t="s">
        <v>288</v>
      </c>
      <c r="AC3152" t="s">
        <v>288</v>
      </c>
      <c r="AD3152" t="s">
        <v>288</v>
      </c>
      <c r="AE3152" t="s">
        <v>288</v>
      </c>
      <c r="AF3152" t="s">
        <v>288</v>
      </c>
      <c r="AG3152" t="s">
        <v>288</v>
      </c>
      <c r="AH3152" t="s">
        <v>288</v>
      </c>
      <c r="AI3152" t="s">
        <v>288</v>
      </c>
    </row>
    <row r="3153" spans="1:35">
      <c r="A3153">
        <v>3152</v>
      </c>
      <c r="B3153" t="str">
        <f>"000542"</f>
        <v>000542</v>
      </c>
      <c r="C3153" t="s">
        <v>13370</v>
      </c>
      <c r="D3153" t="s">
        <v>288</v>
      </c>
      <c r="E3153" t="s">
        <v>288</v>
      </c>
      <c r="F3153" t="s">
        <v>288</v>
      </c>
      <c r="G3153" t="s">
        <v>288</v>
      </c>
      <c r="H3153" t="s">
        <v>288</v>
      </c>
      <c r="I3153" t="s">
        <v>288</v>
      </c>
      <c r="J3153" t="s">
        <v>288</v>
      </c>
      <c r="K3153" t="s">
        <v>288</v>
      </c>
      <c r="L3153" t="s">
        <v>288</v>
      </c>
      <c r="M3153" t="s">
        <v>288</v>
      </c>
      <c r="N3153" t="s">
        <v>288</v>
      </c>
      <c r="O3153" t="s">
        <v>288</v>
      </c>
      <c r="P3153" t="s">
        <v>288</v>
      </c>
      <c r="Q3153" t="s">
        <v>288</v>
      </c>
      <c r="R3153" t="s">
        <v>288</v>
      </c>
      <c r="S3153" t="s">
        <v>288</v>
      </c>
      <c r="T3153" t="s">
        <v>288</v>
      </c>
      <c r="U3153" t="s">
        <v>288</v>
      </c>
      <c r="V3153" t="s">
        <v>288</v>
      </c>
      <c r="W3153" t="s">
        <v>288</v>
      </c>
      <c r="X3153" t="s">
        <v>288</v>
      </c>
      <c r="Y3153" t="s">
        <v>288</v>
      </c>
      <c r="Z3153" t="s">
        <v>288</v>
      </c>
      <c r="AA3153" t="s">
        <v>288</v>
      </c>
      <c r="AB3153" t="s">
        <v>288</v>
      </c>
      <c r="AC3153" t="s">
        <v>288</v>
      </c>
      <c r="AD3153" t="s">
        <v>288</v>
      </c>
      <c r="AE3153" t="s">
        <v>288</v>
      </c>
      <c r="AF3153" t="s">
        <v>288</v>
      </c>
      <c r="AG3153" t="s">
        <v>288</v>
      </c>
      <c r="AH3153" t="s">
        <v>288</v>
      </c>
      <c r="AI3153" t="s">
        <v>288</v>
      </c>
    </row>
    <row r="3154" spans="1:35">
      <c r="A3154">
        <v>3153</v>
      </c>
      <c r="B3154" t="str">
        <f>"000535"</f>
        <v>000535</v>
      </c>
      <c r="C3154" t="s">
        <v>13371</v>
      </c>
      <c r="D3154" t="s">
        <v>288</v>
      </c>
      <c r="E3154" t="s">
        <v>288</v>
      </c>
      <c r="F3154" t="s">
        <v>288</v>
      </c>
      <c r="G3154" t="s">
        <v>288</v>
      </c>
      <c r="H3154" t="s">
        <v>288</v>
      </c>
      <c r="I3154" t="s">
        <v>288</v>
      </c>
      <c r="J3154" t="s">
        <v>288</v>
      </c>
      <c r="K3154" t="s">
        <v>288</v>
      </c>
      <c r="L3154" t="s">
        <v>288</v>
      </c>
      <c r="M3154" t="s">
        <v>288</v>
      </c>
      <c r="N3154" t="s">
        <v>288</v>
      </c>
      <c r="O3154" t="s">
        <v>288</v>
      </c>
      <c r="P3154" t="s">
        <v>288</v>
      </c>
      <c r="Q3154" t="s">
        <v>288</v>
      </c>
      <c r="R3154" t="s">
        <v>288</v>
      </c>
      <c r="S3154" t="s">
        <v>288</v>
      </c>
      <c r="T3154" t="s">
        <v>288</v>
      </c>
      <c r="U3154" t="s">
        <v>288</v>
      </c>
      <c r="V3154" t="s">
        <v>288</v>
      </c>
      <c r="W3154" t="s">
        <v>288</v>
      </c>
      <c r="X3154" t="s">
        <v>288</v>
      </c>
      <c r="Y3154" t="s">
        <v>288</v>
      </c>
      <c r="Z3154" t="s">
        <v>288</v>
      </c>
      <c r="AA3154" t="s">
        <v>288</v>
      </c>
      <c r="AB3154" t="s">
        <v>288</v>
      </c>
      <c r="AC3154" t="s">
        <v>288</v>
      </c>
      <c r="AD3154" t="s">
        <v>288</v>
      </c>
      <c r="AE3154" t="s">
        <v>288</v>
      </c>
      <c r="AF3154" t="s">
        <v>288</v>
      </c>
      <c r="AG3154" t="s">
        <v>288</v>
      </c>
      <c r="AH3154" t="s">
        <v>288</v>
      </c>
      <c r="AI3154" t="s">
        <v>288</v>
      </c>
    </row>
    <row r="3155" spans="1:35">
      <c r="A3155">
        <v>3154</v>
      </c>
      <c r="B3155" t="str">
        <f>"000527"</f>
        <v>000527</v>
      </c>
      <c r="C3155" t="s">
        <v>13372</v>
      </c>
      <c r="D3155" t="s">
        <v>288</v>
      </c>
      <c r="E3155" t="s">
        <v>288</v>
      </c>
      <c r="F3155" t="s">
        <v>288</v>
      </c>
      <c r="G3155" t="s">
        <v>288</v>
      </c>
      <c r="H3155" t="s">
        <v>288</v>
      </c>
      <c r="I3155" t="s">
        <v>288</v>
      </c>
      <c r="J3155" t="s">
        <v>288</v>
      </c>
      <c r="K3155" t="s">
        <v>288</v>
      </c>
      <c r="L3155" t="s">
        <v>288</v>
      </c>
      <c r="M3155" t="s">
        <v>288</v>
      </c>
      <c r="N3155" t="s">
        <v>288</v>
      </c>
      <c r="O3155" t="s">
        <v>288</v>
      </c>
      <c r="P3155" t="s">
        <v>288</v>
      </c>
      <c r="Q3155" t="s">
        <v>288</v>
      </c>
      <c r="R3155" t="s">
        <v>288</v>
      </c>
      <c r="S3155" t="s">
        <v>288</v>
      </c>
      <c r="T3155" t="s">
        <v>288</v>
      </c>
      <c r="U3155" t="s">
        <v>288</v>
      </c>
      <c r="V3155" t="s">
        <v>288</v>
      </c>
      <c r="W3155" t="s">
        <v>288</v>
      </c>
      <c r="X3155" t="s">
        <v>288</v>
      </c>
      <c r="Y3155" t="s">
        <v>288</v>
      </c>
      <c r="Z3155" t="s">
        <v>288</v>
      </c>
      <c r="AA3155" t="s">
        <v>288</v>
      </c>
      <c r="AB3155" t="s">
        <v>288</v>
      </c>
      <c r="AC3155" t="s">
        <v>288</v>
      </c>
      <c r="AD3155" t="s">
        <v>288</v>
      </c>
      <c r="AE3155" t="s">
        <v>288</v>
      </c>
      <c r="AF3155" t="s">
        <v>288</v>
      </c>
      <c r="AG3155" t="s">
        <v>288</v>
      </c>
      <c r="AH3155" t="s">
        <v>288</v>
      </c>
      <c r="AI3155" t="s">
        <v>288</v>
      </c>
    </row>
    <row r="3156" spans="1:35">
      <c r="A3156">
        <v>3155</v>
      </c>
      <c r="B3156" t="str">
        <f>"000522"</f>
        <v>000522</v>
      </c>
      <c r="C3156" t="s">
        <v>13373</v>
      </c>
      <c r="D3156" t="s">
        <v>288</v>
      </c>
      <c r="E3156" t="s">
        <v>288</v>
      </c>
      <c r="F3156" t="s">
        <v>288</v>
      </c>
      <c r="G3156" t="s">
        <v>288</v>
      </c>
      <c r="H3156" t="s">
        <v>288</v>
      </c>
      <c r="I3156" t="s">
        <v>288</v>
      </c>
      <c r="J3156" t="s">
        <v>288</v>
      </c>
      <c r="K3156" t="s">
        <v>288</v>
      </c>
      <c r="L3156" t="s">
        <v>288</v>
      </c>
      <c r="M3156" t="s">
        <v>288</v>
      </c>
      <c r="N3156" t="s">
        <v>288</v>
      </c>
      <c r="O3156" t="s">
        <v>288</v>
      </c>
      <c r="P3156" t="s">
        <v>288</v>
      </c>
      <c r="Q3156" t="s">
        <v>288</v>
      </c>
      <c r="R3156" t="s">
        <v>288</v>
      </c>
      <c r="S3156" t="s">
        <v>288</v>
      </c>
      <c r="T3156" t="s">
        <v>288</v>
      </c>
      <c r="U3156" t="s">
        <v>288</v>
      </c>
      <c r="V3156" t="s">
        <v>288</v>
      </c>
      <c r="W3156" t="s">
        <v>288</v>
      </c>
      <c r="X3156" t="s">
        <v>288</v>
      </c>
      <c r="Y3156" t="s">
        <v>288</v>
      </c>
      <c r="Z3156" t="s">
        <v>288</v>
      </c>
      <c r="AA3156" t="s">
        <v>288</v>
      </c>
      <c r="AB3156" t="s">
        <v>288</v>
      </c>
      <c r="AC3156" t="s">
        <v>288</v>
      </c>
      <c r="AD3156" t="s">
        <v>288</v>
      </c>
      <c r="AE3156" t="s">
        <v>288</v>
      </c>
      <c r="AF3156" t="s">
        <v>288</v>
      </c>
      <c r="AG3156" t="s">
        <v>288</v>
      </c>
      <c r="AH3156" t="s">
        <v>288</v>
      </c>
      <c r="AI3156" t="s">
        <v>288</v>
      </c>
    </row>
    <row r="3157" spans="1:35">
      <c r="A3157">
        <v>3156</v>
      </c>
      <c r="B3157" t="str">
        <f>"000515"</f>
        <v>000515</v>
      </c>
      <c r="C3157" t="s">
        <v>13374</v>
      </c>
      <c r="D3157" t="s">
        <v>288</v>
      </c>
      <c r="E3157" t="s">
        <v>288</v>
      </c>
      <c r="F3157" t="s">
        <v>288</v>
      </c>
      <c r="G3157" t="s">
        <v>288</v>
      </c>
      <c r="H3157" t="s">
        <v>288</v>
      </c>
      <c r="I3157" t="s">
        <v>288</v>
      </c>
      <c r="J3157" t="s">
        <v>288</v>
      </c>
      <c r="K3157" t="s">
        <v>288</v>
      </c>
      <c r="L3157" t="s">
        <v>288</v>
      </c>
      <c r="M3157" t="s">
        <v>288</v>
      </c>
      <c r="N3157" t="s">
        <v>288</v>
      </c>
      <c r="O3157" t="s">
        <v>288</v>
      </c>
      <c r="P3157" t="s">
        <v>288</v>
      </c>
      <c r="Q3157" t="s">
        <v>288</v>
      </c>
      <c r="R3157" t="s">
        <v>288</v>
      </c>
      <c r="S3157" t="s">
        <v>288</v>
      </c>
      <c r="T3157" t="s">
        <v>288</v>
      </c>
      <c r="U3157" t="s">
        <v>288</v>
      </c>
      <c r="V3157" t="s">
        <v>288</v>
      </c>
      <c r="W3157" t="s">
        <v>288</v>
      </c>
      <c r="X3157" t="s">
        <v>288</v>
      </c>
      <c r="Y3157" t="s">
        <v>288</v>
      </c>
      <c r="Z3157" t="s">
        <v>288</v>
      </c>
      <c r="AA3157" t="s">
        <v>288</v>
      </c>
      <c r="AB3157" t="s">
        <v>288</v>
      </c>
      <c r="AC3157" t="s">
        <v>288</v>
      </c>
      <c r="AD3157" t="s">
        <v>288</v>
      </c>
      <c r="AE3157" t="s">
        <v>288</v>
      </c>
      <c r="AF3157" t="s">
        <v>288</v>
      </c>
      <c r="AG3157" t="s">
        <v>288</v>
      </c>
      <c r="AH3157" t="s">
        <v>288</v>
      </c>
      <c r="AI3157" t="s">
        <v>288</v>
      </c>
    </row>
    <row r="3158" spans="1:35">
      <c r="A3158">
        <v>3157</v>
      </c>
      <c r="B3158" t="str">
        <f>"000508"</f>
        <v>000508</v>
      </c>
      <c r="C3158" t="s">
        <v>13375</v>
      </c>
      <c r="D3158" t="s">
        <v>288</v>
      </c>
      <c r="E3158" t="s">
        <v>288</v>
      </c>
      <c r="F3158" t="s">
        <v>288</v>
      </c>
      <c r="G3158" t="s">
        <v>288</v>
      </c>
      <c r="H3158" t="s">
        <v>288</v>
      </c>
      <c r="I3158" t="s">
        <v>288</v>
      </c>
      <c r="J3158" t="s">
        <v>288</v>
      </c>
      <c r="K3158" t="s">
        <v>288</v>
      </c>
      <c r="L3158" t="s">
        <v>288</v>
      </c>
      <c r="M3158" t="s">
        <v>288</v>
      </c>
      <c r="N3158" t="s">
        <v>288</v>
      </c>
      <c r="O3158" t="s">
        <v>288</v>
      </c>
      <c r="P3158" t="s">
        <v>288</v>
      </c>
      <c r="Q3158" t="s">
        <v>288</v>
      </c>
      <c r="R3158" t="s">
        <v>288</v>
      </c>
      <c r="S3158" t="s">
        <v>288</v>
      </c>
      <c r="T3158" t="s">
        <v>288</v>
      </c>
      <c r="U3158" t="s">
        <v>288</v>
      </c>
      <c r="V3158" t="s">
        <v>288</v>
      </c>
      <c r="W3158" t="s">
        <v>288</v>
      </c>
      <c r="X3158" t="s">
        <v>288</v>
      </c>
      <c r="Y3158" t="s">
        <v>288</v>
      </c>
      <c r="Z3158" t="s">
        <v>288</v>
      </c>
      <c r="AA3158" t="s">
        <v>288</v>
      </c>
      <c r="AB3158" t="s">
        <v>288</v>
      </c>
      <c r="AC3158" t="s">
        <v>288</v>
      </c>
      <c r="AD3158" t="s">
        <v>288</v>
      </c>
      <c r="AE3158" t="s">
        <v>288</v>
      </c>
      <c r="AF3158" t="s">
        <v>288</v>
      </c>
      <c r="AG3158" t="s">
        <v>288</v>
      </c>
      <c r="AH3158" t="s">
        <v>288</v>
      </c>
      <c r="AI3158" t="s">
        <v>288</v>
      </c>
    </row>
    <row r="3159" spans="1:35">
      <c r="A3159">
        <v>3158</v>
      </c>
      <c r="B3159" t="str">
        <f>"000412"</f>
        <v>000412</v>
      </c>
      <c r="C3159" t="s">
        <v>13376</v>
      </c>
      <c r="D3159" t="s">
        <v>288</v>
      </c>
      <c r="E3159" t="s">
        <v>288</v>
      </c>
      <c r="F3159" t="s">
        <v>288</v>
      </c>
      <c r="G3159" t="s">
        <v>288</v>
      </c>
      <c r="H3159" t="s">
        <v>288</v>
      </c>
      <c r="I3159" t="s">
        <v>288</v>
      </c>
      <c r="J3159" t="s">
        <v>288</v>
      </c>
      <c r="K3159" t="s">
        <v>288</v>
      </c>
      <c r="L3159" t="s">
        <v>288</v>
      </c>
      <c r="M3159" t="s">
        <v>288</v>
      </c>
      <c r="N3159" t="s">
        <v>288</v>
      </c>
      <c r="O3159" t="s">
        <v>288</v>
      </c>
      <c r="P3159" t="s">
        <v>288</v>
      </c>
      <c r="Q3159" t="s">
        <v>288</v>
      </c>
      <c r="R3159" t="s">
        <v>288</v>
      </c>
      <c r="S3159" t="s">
        <v>288</v>
      </c>
      <c r="T3159" t="s">
        <v>288</v>
      </c>
      <c r="U3159" t="s">
        <v>288</v>
      </c>
      <c r="V3159" t="s">
        <v>288</v>
      </c>
      <c r="W3159" t="s">
        <v>288</v>
      </c>
      <c r="X3159" t="s">
        <v>288</v>
      </c>
      <c r="Y3159" t="s">
        <v>288</v>
      </c>
      <c r="Z3159" t="s">
        <v>288</v>
      </c>
      <c r="AA3159" t="s">
        <v>288</v>
      </c>
      <c r="AB3159" t="s">
        <v>288</v>
      </c>
      <c r="AC3159" t="s">
        <v>288</v>
      </c>
      <c r="AD3159" t="s">
        <v>288</v>
      </c>
      <c r="AE3159" t="s">
        <v>288</v>
      </c>
      <c r="AF3159" t="s">
        <v>288</v>
      </c>
      <c r="AG3159" t="s">
        <v>288</v>
      </c>
      <c r="AH3159" t="s">
        <v>288</v>
      </c>
      <c r="AI3159" t="s">
        <v>288</v>
      </c>
    </row>
    <row r="3160" spans="1:35">
      <c r="A3160">
        <v>3159</v>
      </c>
      <c r="B3160" t="str">
        <f>"000406"</f>
        <v>000406</v>
      </c>
      <c r="C3160" t="s">
        <v>13377</v>
      </c>
      <c r="D3160" t="s">
        <v>288</v>
      </c>
      <c r="E3160" t="s">
        <v>288</v>
      </c>
      <c r="F3160" t="s">
        <v>288</v>
      </c>
      <c r="G3160" t="s">
        <v>288</v>
      </c>
      <c r="H3160" t="s">
        <v>288</v>
      </c>
      <c r="I3160" t="s">
        <v>288</v>
      </c>
      <c r="J3160" t="s">
        <v>288</v>
      </c>
      <c r="K3160" t="s">
        <v>288</v>
      </c>
      <c r="L3160" t="s">
        <v>288</v>
      </c>
      <c r="M3160" t="s">
        <v>288</v>
      </c>
      <c r="N3160" t="s">
        <v>288</v>
      </c>
      <c r="O3160" t="s">
        <v>288</v>
      </c>
      <c r="P3160" t="s">
        <v>288</v>
      </c>
      <c r="Q3160" t="s">
        <v>288</v>
      </c>
      <c r="R3160" t="s">
        <v>288</v>
      </c>
      <c r="S3160" t="s">
        <v>288</v>
      </c>
      <c r="T3160" t="s">
        <v>288</v>
      </c>
      <c r="U3160" t="s">
        <v>288</v>
      </c>
      <c r="V3160" t="s">
        <v>288</v>
      </c>
      <c r="W3160" t="s">
        <v>288</v>
      </c>
      <c r="X3160" t="s">
        <v>288</v>
      </c>
      <c r="Y3160" t="s">
        <v>288</v>
      </c>
      <c r="Z3160" t="s">
        <v>288</v>
      </c>
      <c r="AA3160" t="s">
        <v>288</v>
      </c>
      <c r="AB3160" t="s">
        <v>288</v>
      </c>
      <c r="AC3160" t="s">
        <v>288</v>
      </c>
      <c r="AD3160" t="s">
        <v>288</v>
      </c>
      <c r="AE3160" t="s">
        <v>288</v>
      </c>
      <c r="AF3160" t="s">
        <v>288</v>
      </c>
      <c r="AG3160" t="s">
        <v>288</v>
      </c>
      <c r="AH3160" t="s">
        <v>288</v>
      </c>
      <c r="AI3160" t="s">
        <v>288</v>
      </c>
    </row>
    <row r="3161" spans="1:35">
      <c r="A3161">
        <v>3160</v>
      </c>
      <c r="B3161" t="str">
        <f>"000405"</f>
        <v>000405</v>
      </c>
      <c r="C3161" t="s">
        <v>13378</v>
      </c>
      <c r="D3161" t="s">
        <v>288</v>
      </c>
      <c r="E3161" t="s">
        <v>288</v>
      </c>
      <c r="F3161" t="s">
        <v>288</v>
      </c>
      <c r="G3161" t="s">
        <v>288</v>
      </c>
      <c r="H3161" t="s">
        <v>288</v>
      </c>
      <c r="I3161" t="s">
        <v>288</v>
      </c>
      <c r="J3161" t="s">
        <v>288</v>
      </c>
      <c r="K3161" t="s">
        <v>288</v>
      </c>
      <c r="L3161" t="s">
        <v>288</v>
      </c>
      <c r="M3161" t="s">
        <v>288</v>
      </c>
      <c r="N3161" t="s">
        <v>288</v>
      </c>
      <c r="O3161" t="s">
        <v>288</v>
      </c>
      <c r="P3161" t="s">
        <v>288</v>
      </c>
      <c r="Q3161" t="s">
        <v>288</v>
      </c>
      <c r="R3161" t="s">
        <v>288</v>
      </c>
      <c r="S3161" t="s">
        <v>288</v>
      </c>
      <c r="T3161" t="s">
        <v>288</v>
      </c>
      <c r="U3161" t="s">
        <v>288</v>
      </c>
      <c r="V3161" t="s">
        <v>288</v>
      </c>
      <c r="W3161" t="s">
        <v>288</v>
      </c>
      <c r="X3161" t="s">
        <v>288</v>
      </c>
      <c r="Y3161" t="s">
        <v>288</v>
      </c>
      <c r="Z3161" t="s">
        <v>288</v>
      </c>
      <c r="AA3161" t="s">
        <v>288</v>
      </c>
      <c r="AB3161" t="s">
        <v>288</v>
      </c>
      <c r="AC3161" t="s">
        <v>288</v>
      </c>
      <c r="AD3161" t="s">
        <v>288</v>
      </c>
      <c r="AE3161" t="s">
        <v>288</v>
      </c>
      <c r="AF3161" t="s">
        <v>288</v>
      </c>
      <c r="AG3161" t="s">
        <v>288</v>
      </c>
      <c r="AH3161" t="s">
        <v>288</v>
      </c>
      <c r="AI3161" t="s">
        <v>288</v>
      </c>
    </row>
    <row r="3162" spans="1:35">
      <c r="A3162">
        <v>3161</v>
      </c>
      <c r="B3162" t="str">
        <f>"000047"</f>
        <v>000047</v>
      </c>
      <c r="C3162" t="s">
        <v>13379</v>
      </c>
      <c r="D3162" t="s">
        <v>288</v>
      </c>
      <c r="E3162" t="s">
        <v>288</v>
      </c>
      <c r="F3162" t="s">
        <v>288</v>
      </c>
      <c r="G3162" t="s">
        <v>288</v>
      </c>
      <c r="H3162" t="s">
        <v>288</v>
      </c>
      <c r="I3162" t="s">
        <v>288</v>
      </c>
      <c r="J3162" t="s">
        <v>288</v>
      </c>
      <c r="K3162" t="s">
        <v>288</v>
      </c>
      <c r="L3162" t="s">
        <v>288</v>
      </c>
      <c r="M3162" t="s">
        <v>288</v>
      </c>
      <c r="N3162" t="s">
        <v>288</v>
      </c>
      <c r="O3162" t="s">
        <v>288</v>
      </c>
      <c r="P3162" t="s">
        <v>288</v>
      </c>
      <c r="Q3162" t="s">
        <v>288</v>
      </c>
      <c r="R3162" t="s">
        <v>288</v>
      </c>
      <c r="S3162" t="s">
        <v>288</v>
      </c>
      <c r="T3162" t="s">
        <v>288</v>
      </c>
      <c r="U3162" t="s">
        <v>288</v>
      </c>
      <c r="V3162" t="s">
        <v>288</v>
      </c>
      <c r="W3162" t="s">
        <v>288</v>
      </c>
      <c r="X3162" t="s">
        <v>288</v>
      </c>
      <c r="Y3162" t="s">
        <v>288</v>
      </c>
      <c r="Z3162" t="s">
        <v>288</v>
      </c>
      <c r="AA3162" t="s">
        <v>288</v>
      </c>
      <c r="AB3162" t="s">
        <v>288</v>
      </c>
      <c r="AC3162" t="s">
        <v>288</v>
      </c>
      <c r="AD3162" t="s">
        <v>288</v>
      </c>
      <c r="AE3162" t="s">
        <v>288</v>
      </c>
      <c r="AF3162" t="s">
        <v>288</v>
      </c>
      <c r="AG3162" t="s">
        <v>288</v>
      </c>
      <c r="AH3162" t="s">
        <v>288</v>
      </c>
      <c r="AI3162" t="s">
        <v>288</v>
      </c>
    </row>
    <row r="3163" spans="1:35">
      <c r="A3163">
        <v>3162</v>
      </c>
      <c r="B3163" t="str">
        <f>"000033"</f>
        <v>000033</v>
      </c>
      <c r="C3163" t="s">
        <v>13380</v>
      </c>
      <c r="D3163" s="4">
        <v>42825</v>
      </c>
      <c r="E3163" t="s">
        <v>914</v>
      </c>
      <c r="F3163" t="s">
        <v>914</v>
      </c>
      <c r="G3163" t="s">
        <v>3761</v>
      </c>
      <c r="H3163">
        <v>0</v>
      </c>
      <c r="I3163">
        <v>0.05</v>
      </c>
      <c r="J3163">
        <v>0</v>
      </c>
      <c r="K3163" t="s">
        <v>9623</v>
      </c>
      <c r="L3163">
        <v>-38.83</v>
      </c>
      <c r="M3163" t="s">
        <v>13381</v>
      </c>
      <c r="N3163">
        <v>0</v>
      </c>
      <c r="O3163" t="s">
        <v>13382</v>
      </c>
      <c r="P3163" t="s">
        <v>4480</v>
      </c>
      <c r="Q3163">
        <v>-38.04</v>
      </c>
      <c r="R3163" t="s">
        <v>13383</v>
      </c>
      <c r="S3163">
        <v>-1.29</v>
      </c>
      <c r="T3163">
        <v>38.81</v>
      </c>
      <c r="U3163" t="s">
        <v>2551</v>
      </c>
      <c r="V3163" t="s">
        <v>1048</v>
      </c>
      <c r="W3163" t="s">
        <v>13384</v>
      </c>
      <c r="X3163">
        <v>0</v>
      </c>
      <c r="Y3163" t="s">
        <v>486</v>
      </c>
      <c r="Z3163" t="s">
        <v>10109</v>
      </c>
      <c r="AA3163" t="s">
        <v>507</v>
      </c>
      <c r="AB3163">
        <v>31.1</v>
      </c>
      <c r="AC3163" t="s">
        <v>6192</v>
      </c>
      <c r="AD3163">
        <v>7.52</v>
      </c>
      <c r="AE3163" t="s">
        <v>657</v>
      </c>
      <c r="AF3163">
        <v>0.32</v>
      </c>
      <c r="AG3163">
        <v>0</v>
      </c>
      <c r="AH3163">
        <v>0</v>
      </c>
      <c r="AI3163" s="4">
        <v>34337</v>
      </c>
    </row>
    <row r="3164" spans="1:35">
      <c r="A3164">
        <v>3163</v>
      </c>
      <c r="B3164" t="str">
        <f>"000024"</f>
        <v>000024</v>
      </c>
      <c r="C3164" t="s">
        <v>13385</v>
      </c>
      <c r="D3164" s="4">
        <v>42277</v>
      </c>
      <c r="E3164" t="s">
        <v>1504</v>
      </c>
      <c r="F3164" t="s">
        <v>978</v>
      </c>
      <c r="G3164" t="s">
        <v>2531</v>
      </c>
      <c r="H3164">
        <v>0.86</v>
      </c>
      <c r="I3164">
        <v>12.76</v>
      </c>
      <c r="J3164">
        <v>0</v>
      </c>
      <c r="K3164" t="s">
        <v>1099</v>
      </c>
      <c r="L3164">
        <v>0.64</v>
      </c>
      <c r="M3164" t="s">
        <v>1133</v>
      </c>
      <c r="N3164" t="s">
        <v>3471</v>
      </c>
      <c r="O3164" t="s">
        <v>113</v>
      </c>
      <c r="P3164" t="s">
        <v>728</v>
      </c>
      <c r="Q3164">
        <v>-0.97</v>
      </c>
      <c r="R3164" t="s">
        <v>1221</v>
      </c>
      <c r="S3164">
        <v>7.79</v>
      </c>
      <c r="T3164">
        <v>33.17</v>
      </c>
      <c r="U3164" t="s">
        <v>13386</v>
      </c>
      <c r="V3164" t="s">
        <v>5276</v>
      </c>
      <c r="W3164" t="s">
        <v>303</v>
      </c>
      <c r="X3164">
        <v>0</v>
      </c>
      <c r="Y3164" t="s">
        <v>13387</v>
      </c>
      <c r="Z3164" t="s">
        <v>13388</v>
      </c>
      <c r="AA3164" t="s">
        <v>2018</v>
      </c>
      <c r="AB3164">
        <v>3.17</v>
      </c>
      <c r="AC3164" t="s">
        <v>9704</v>
      </c>
      <c r="AD3164">
        <v>18.12</v>
      </c>
      <c r="AE3164" t="s">
        <v>4810</v>
      </c>
      <c r="AF3164">
        <v>3.45</v>
      </c>
      <c r="AG3164" t="s">
        <v>1011</v>
      </c>
      <c r="AH3164">
        <v>0</v>
      </c>
      <c r="AI3164" s="4">
        <v>34127</v>
      </c>
    </row>
    <row r="3165" spans="1:35">
      <c r="A3165">
        <v>3164</v>
      </c>
      <c r="B3165" t="str">
        <f>"000015"</f>
        <v>000015</v>
      </c>
      <c r="C3165" t="s">
        <v>13389</v>
      </c>
      <c r="D3165" t="s">
        <v>288</v>
      </c>
      <c r="E3165" t="s">
        <v>288</v>
      </c>
      <c r="F3165" t="s">
        <v>288</v>
      </c>
      <c r="G3165" t="s">
        <v>288</v>
      </c>
      <c r="H3165" t="s">
        <v>288</v>
      </c>
      <c r="I3165" t="s">
        <v>288</v>
      </c>
      <c r="J3165" t="s">
        <v>288</v>
      </c>
      <c r="K3165" t="s">
        <v>288</v>
      </c>
      <c r="L3165" t="s">
        <v>288</v>
      </c>
      <c r="M3165" t="s">
        <v>288</v>
      </c>
      <c r="N3165" t="s">
        <v>288</v>
      </c>
      <c r="O3165" t="s">
        <v>288</v>
      </c>
      <c r="P3165" t="s">
        <v>288</v>
      </c>
      <c r="Q3165" t="s">
        <v>288</v>
      </c>
      <c r="R3165" t="s">
        <v>288</v>
      </c>
      <c r="S3165" t="s">
        <v>288</v>
      </c>
      <c r="T3165" t="s">
        <v>288</v>
      </c>
      <c r="U3165" t="s">
        <v>288</v>
      </c>
      <c r="V3165" t="s">
        <v>288</v>
      </c>
      <c r="W3165" t="s">
        <v>288</v>
      </c>
      <c r="X3165" t="s">
        <v>288</v>
      </c>
      <c r="Y3165" t="s">
        <v>288</v>
      </c>
      <c r="Z3165" t="s">
        <v>288</v>
      </c>
      <c r="AA3165" t="s">
        <v>288</v>
      </c>
      <c r="AB3165" t="s">
        <v>288</v>
      </c>
      <c r="AC3165" t="s">
        <v>288</v>
      </c>
      <c r="AD3165" t="s">
        <v>288</v>
      </c>
      <c r="AE3165" t="s">
        <v>288</v>
      </c>
      <c r="AF3165" t="s">
        <v>288</v>
      </c>
      <c r="AG3165" t="s">
        <v>288</v>
      </c>
      <c r="AH3165" t="s">
        <v>288</v>
      </c>
      <c r="AI3165" t="s">
        <v>288</v>
      </c>
    </row>
    <row r="3166" spans="1:35">
      <c r="A3166">
        <v>3165</v>
      </c>
      <c r="B3166" t="str">
        <f>"000013"</f>
        <v>000013</v>
      </c>
      <c r="C3166" t="s">
        <v>13390</v>
      </c>
      <c r="D3166" t="s">
        <v>288</v>
      </c>
      <c r="E3166" t="s">
        <v>288</v>
      </c>
      <c r="F3166" t="s">
        <v>288</v>
      </c>
      <c r="G3166" t="s">
        <v>288</v>
      </c>
      <c r="H3166" t="s">
        <v>288</v>
      </c>
      <c r="I3166" t="s">
        <v>288</v>
      </c>
      <c r="J3166" t="s">
        <v>288</v>
      </c>
      <c r="K3166" t="s">
        <v>288</v>
      </c>
      <c r="L3166" t="s">
        <v>288</v>
      </c>
      <c r="M3166" t="s">
        <v>288</v>
      </c>
      <c r="N3166" t="s">
        <v>288</v>
      </c>
      <c r="O3166" t="s">
        <v>288</v>
      </c>
      <c r="P3166" t="s">
        <v>288</v>
      </c>
      <c r="Q3166" t="s">
        <v>288</v>
      </c>
      <c r="R3166" t="s">
        <v>288</v>
      </c>
      <c r="S3166" t="s">
        <v>288</v>
      </c>
      <c r="T3166" t="s">
        <v>288</v>
      </c>
      <c r="U3166" t="s">
        <v>288</v>
      </c>
      <c r="V3166" t="s">
        <v>288</v>
      </c>
      <c r="W3166" t="s">
        <v>288</v>
      </c>
      <c r="X3166" t="s">
        <v>288</v>
      </c>
      <c r="Y3166" t="s">
        <v>288</v>
      </c>
      <c r="Z3166" t="s">
        <v>288</v>
      </c>
      <c r="AA3166" t="s">
        <v>288</v>
      </c>
      <c r="AB3166" t="s">
        <v>288</v>
      </c>
      <c r="AC3166" t="s">
        <v>288</v>
      </c>
      <c r="AD3166" t="s">
        <v>288</v>
      </c>
      <c r="AE3166" t="s">
        <v>288</v>
      </c>
      <c r="AF3166" t="s">
        <v>288</v>
      </c>
      <c r="AG3166" t="s">
        <v>288</v>
      </c>
      <c r="AH3166" t="s">
        <v>288</v>
      </c>
      <c r="AI3166" t="s">
        <v>288</v>
      </c>
    </row>
    <row r="3167" spans="1:35">
      <c r="A3167">
        <v>3166</v>
      </c>
      <c r="B3167" t="str">
        <f>"000003"</f>
        <v>000003</v>
      </c>
      <c r="C3167" t="s">
        <v>13391</v>
      </c>
      <c r="D3167" t="s">
        <v>288</v>
      </c>
      <c r="E3167" t="s">
        <v>288</v>
      </c>
      <c r="F3167" t="s">
        <v>288</v>
      </c>
      <c r="G3167" t="s">
        <v>288</v>
      </c>
      <c r="H3167" t="s">
        <v>288</v>
      </c>
      <c r="I3167" t="s">
        <v>288</v>
      </c>
      <c r="J3167" t="s">
        <v>288</v>
      </c>
      <c r="K3167" t="s">
        <v>288</v>
      </c>
      <c r="L3167" t="s">
        <v>288</v>
      </c>
      <c r="M3167" t="s">
        <v>288</v>
      </c>
      <c r="N3167" t="s">
        <v>288</v>
      </c>
      <c r="O3167" t="s">
        <v>288</v>
      </c>
      <c r="P3167" t="s">
        <v>288</v>
      </c>
      <c r="Q3167" t="s">
        <v>288</v>
      </c>
      <c r="R3167" t="s">
        <v>288</v>
      </c>
      <c r="S3167" t="s">
        <v>288</v>
      </c>
      <c r="T3167" t="s">
        <v>288</v>
      </c>
      <c r="U3167" t="s">
        <v>288</v>
      </c>
      <c r="V3167" t="s">
        <v>288</v>
      </c>
      <c r="W3167" t="s">
        <v>288</v>
      </c>
      <c r="X3167" t="s">
        <v>288</v>
      </c>
      <c r="Y3167" t="s">
        <v>288</v>
      </c>
      <c r="Z3167" t="s">
        <v>288</v>
      </c>
      <c r="AA3167" t="s">
        <v>288</v>
      </c>
      <c r="AB3167" t="s">
        <v>288</v>
      </c>
      <c r="AC3167" t="s">
        <v>288</v>
      </c>
      <c r="AD3167" t="s">
        <v>288</v>
      </c>
      <c r="AE3167" t="s">
        <v>288</v>
      </c>
      <c r="AF3167" t="s">
        <v>288</v>
      </c>
      <c r="AG3167" t="s">
        <v>288</v>
      </c>
      <c r="AH3167" t="s">
        <v>288</v>
      </c>
      <c r="AI3167" t="s">
        <v>288</v>
      </c>
    </row>
    <row r="3168" spans="1:35">
      <c r="A3168">
        <v>3167</v>
      </c>
      <c r="B3168" t="str">
        <f>"601798"</f>
        <v>601798</v>
      </c>
      <c r="C3168" t="s">
        <v>13392</v>
      </c>
      <c r="D3168" s="4">
        <v>43190</v>
      </c>
      <c r="E3168" t="s">
        <v>139</v>
      </c>
      <c r="F3168" t="s">
        <v>139</v>
      </c>
      <c r="G3168" t="s">
        <v>1080</v>
      </c>
      <c r="H3168">
        <v>-0.05</v>
      </c>
      <c r="I3168">
        <v>4.8499999999999996</v>
      </c>
      <c r="J3168">
        <v>-0.01</v>
      </c>
      <c r="K3168" t="s">
        <v>3552</v>
      </c>
      <c r="L3168">
        <v>-26.19</v>
      </c>
      <c r="M3168" t="s">
        <v>13393</v>
      </c>
      <c r="N3168" t="s">
        <v>13394</v>
      </c>
      <c r="O3168" t="s">
        <v>13395</v>
      </c>
      <c r="P3168" t="s">
        <v>13396</v>
      </c>
      <c r="Q3168">
        <v>-982.21</v>
      </c>
      <c r="R3168" t="s">
        <v>1320</v>
      </c>
      <c r="S3168">
        <v>0.91</v>
      </c>
      <c r="T3168">
        <v>34</v>
      </c>
      <c r="U3168" t="s">
        <v>2071</v>
      </c>
      <c r="V3168" t="s">
        <v>1190</v>
      </c>
      <c r="W3168" t="s">
        <v>3839</v>
      </c>
      <c r="X3168">
        <v>-0.01</v>
      </c>
      <c r="Y3168" t="s">
        <v>1214</v>
      </c>
      <c r="Z3168" t="s">
        <v>2032</v>
      </c>
      <c r="AA3168" t="s">
        <v>69</v>
      </c>
      <c r="AB3168">
        <v>0.88</v>
      </c>
      <c r="AC3168" t="s">
        <v>304</v>
      </c>
      <c r="AD3168">
        <v>55.71</v>
      </c>
      <c r="AE3168" t="s">
        <v>3489</v>
      </c>
      <c r="AF3168">
        <v>2.81</v>
      </c>
      <c r="AG3168">
        <v>0</v>
      </c>
      <c r="AH3168">
        <v>0</v>
      </c>
      <c r="AI3168" s="4">
        <v>40716</v>
      </c>
    </row>
    <row r="3169" spans="1:35">
      <c r="A3169">
        <v>3168</v>
      </c>
      <c r="B3169" t="str">
        <f>"600743"</f>
        <v>600743</v>
      </c>
      <c r="C3169" t="s">
        <v>13397</v>
      </c>
      <c r="D3169" s="4">
        <v>43190</v>
      </c>
      <c r="E3169" t="s">
        <v>244</v>
      </c>
      <c r="F3169" t="s">
        <v>244</v>
      </c>
      <c r="G3169" t="s">
        <v>13398</v>
      </c>
      <c r="H3169">
        <v>0</v>
      </c>
      <c r="I3169">
        <v>3.02</v>
      </c>
      <c r="J3169">
        <v>-0.01</v>
      </c>
      <c r="K3169" t="s">
        <v>1685</v>
      </c>
      <c r="L3169">
        <v>60.7</v>
      </c>
      <c r="M3169" t="s">
        <v>3442</v>
      </c>
      <c r="N3169" t="s">
        <v>9639</v>
      </c>
      <c r="O3169" t="s">
        <v>6044</v>
      </c>
      <c r="P3169" t="s">
        <v>13399</v>
      </c>
      <c r="Q3169">
        <v>-100.51</v>
      </c>
      <c r="R3169" t="s">
        <v>884</v>
      </c>
      <c r="S3169">
        <v>1.35</v>
      </c>
      <c r="T3169">
        <v>28.67</v>
      </c>
      <c r="U3169" t="s">
        <v>5040</v>
      </c>
      <c r="V3169" t="s">
        <v>4542</v>
      </c>
      <c r="W3169" t="s">
        <v>1025</v>
      </c>
      <c r="X3169">
        <v>-0.01</v>
      </c>
      <c r="Y3169" t="s">
        <v>8006</v>
      </c>
      <c r="Z3169" t="s">
        <v>1753</v>
      </c>
      <c r="AA3169" t="s">
        <v>719</v>
      </c>
      <c r="AB3169">
        <v>0.84</v>
      </c>
      <c r="AC3169" t="s">
        <v>4997</v>
      </c>
      <c r="AD3169">
        <v>20.99</v>
      </c>
      <c r="AE3169" t="s">
        <v>926</v>
      </c>
      <c r="AF3169">
        <v>0.54</v>
      </c>
      <c r="AG3169">
        <v>0</v>
      </c>
      <c r="AH3169">
        <v>0</v>
      </c>
      <c r="AI3169" s="4">
        <v>35317</v>
      </c>
    </row>
    <row r="3170" spans="1:35">
      <c r="A3170">
        <v>3169</v>
      </c>
      <c r="B3170" t="str">
        <f>"600712"</f>
        <v>600712</v>
      </c>
      <c r="C3170" t="s">
        <v>13400</v>
      </c>
      <c r="D3170" s="4">
        <v>43190</v>
      </c>
      <c r="E3170" t="s">
        <v>1166</v>
      </c>
      <c r="F3170" t="s">
        <v>2587</v>
      </c>
      <c r="G3170" t="s">
        <v>4301</v>
      </c>
      <c r="H3170">
        <v>0</v>
      </c>
      <c r="I3170">
        <v>1.95</v>
      </c>
      <c r="J3170">
        <v>-0.01</v>
      </c>
      <c r="K3170" t="s">
        <v>108</v>
      </c>
      <c r="L3170">
        <v>10.199999999999999</v>
      </c>
      <c r="M3170" t="s">
        <v>13401</v>
      </c>
      <c r="N3170">
        <v>1684</v>
      </c>
      <c r="O3170" t="s">
        <v>6044</v>
      </c>
      <c r="P3170" t="s">
        <v>13402</v>
      </c>
      <c r="Q3170">
        <v>31.62</v>
      </c>
      <c r="R3170" t="s">
        <v>13403</v>
      </c>
      <c r="S3170">
        <v>0.17</v>
      </c>
      <c r="T3170">
        <v>15.51</v>
      </c>
      <c r="U3170" t="s">
        <v>261</v>
      </c>
      <c r="V3170" t="s">
        <v>175</v>
      </c>
      <c r="W3170" t="s">
        <v>602</v>
      </c>
      <c r="X3170">
        <v>-0.01</v>
      </c>
      <c r="Y3170" t="s">
        <v>192</v>
      </c>
      <c r="Z3170" t="s">
        <v>192</v>
      </c>
      <c r="AA3170">
        <v>0</v>
      </c>
      <c r="AB3170">
        <v>2.52</v>
      </c>
      <c r="AC3170" t="s">
        <v>521</v>
      </c>
      <c r="AD3170">
        <v>47.59</v>
      </c>
      <c r="AE3170" t="s">
        <v>1324</v>
      </c>
      <c r="AF3170">
        <v>0.68</v>
      </c>
      <c r="AG3170">
        <v>0</v>
      </c>
      <c r="AH3170">
        <v>0</v>
      </c>
      <c r="AI3170" s="4">
        <v>35242</v>
      </c>
    </row>
    <row r="3171" spans="1:35">
      <c r="A3171">
        <v>3170</v>
      </c>
      <c r="B3171" t="str">
        <f>"300478"</f>
        <v>300478</v>
      </c>
      <c r="C3171" t="s">
        <v>13404</v>
      </c>
      <c r="D3171" s="4">
        <v>43190</v>
      </c>
      <c r="E3171" t="s">
        <v>2115</v>
      </c>
      <c r="F3171" t="s">
        <v>13405</v>
      </c>
      <c r="G3171">
        <v>3001</v>
      </c>
      <c r="H3171">
        <v>-0.01</v>
      </c>
      <c r="I3171">
        <v>4.2300000000000004</v>
      </c>
      <c r="J3171">
        <v>-0.03</v>
      </c>
      <c r="K3171" t="s">
        <v>1365</v>
      </c>
      <c r="L3171">
        <v>29.07</v>
      </c>
      <c r="M3171" t="s">
        <v>13406</v>
      </c>
      <c r="N3171">
        <v>0</v>
      </c>
      <c r="O3171" t="s">
        <v>13407</v>
      </c>
      <c r="P3171" t="s">
        <v>13408</v>
      </c>
      <c r="Q3171">
        <v>-165.79</v>
      </c>
      <c r="R3171" t="s">
        <v>293</v>
      </c>
      <c r="S3171">
        <v>1.5</v>
      </c>
      <c r="T3171">
        <v>23.46</v>
      </c>
      <c r="U3171" t="s">
        <v>971</v>
      </c>
      <c r="V3171" t="s">
        <v>2429</v>
      </c>
      <c r="W3171" t="s">
        <v>13409</v>
      </c>
      <c r="X3171">
        <v>-0.03</v>
      </c>
      <c r="Y3171" t="s">
        <v>1644</v>
      </c>
      <c r="Z3171" t="s">
        <v>2029</v>
      </c>
      <c r="AA3171" t="s">
        <v>1059</v>
      </c>
      <c r="AB3171">
        <v>3.66</v>
      </c>
      <c r="AC3171" t="s">
        <v>127</v>
      </c>
      <c r="AD3171">
        <v>39.79</v>
      </c>
      <c r="AE3171" t="s">
        <v>94</v>
      </c>
      <c r="AF3171">
        <v>1.42</v>
      </c>
      <c r="AG3171">
        <v>0</v>
      </c>
      <c r="AH3171">
        <v>0</v>
      </c>
      <c r="AI3171" s="4">
        <v>42165</v>
      </c>
    </row>
    <row r="3172" spans="1:35">
      <c r="A3172">
        <v>3171</v>
      </c>
      <c r="B3172" t="str">
        <f>"002528"</f>
        <v>002528</v>
      </c>
      <c r="C3172" t="s">
        <v>13410</v>
      </c>
      <c r="D3172" s="4">
        <v>43190</v>
      </c>
      <c r="E3172" t="s">
        <v>407</v>
      </c>
      <c r="F3172" t="s">
        <v>1375</v>
      </c>
      <c r="G3172" t="s">
        <v>294</v>
      </c>
      <c r="H3172">
        <v>0</v>
      </c>
      <c r="I3172">
        <v>2.78</v>
      </c>
      <c r="J3172">
        <v>-0.03</v>
      </c>
      <c r="K3172" t="s">
        <v>1787</v>
      </c>
      <c r="L3172">
        <v>39.130000000000003</v>
      </c>
      <c r="M3172" t="s">
        <v>13411</v>
      </c>
      <c r="N3172" t="s">
        <v>904</v>
      </c>
      <c r="O3172" t="s">
        <v>3109</v>
      </c>
      <c r="P3172" t="s">
        <v>13412</v>
      </c>
      <c r="Q3172">
        <v>96.39</v>
      </c>
      <c r="R3172" t="s">
        <v>12443</v>
      </c>
      <c r="S3172">
        <v>-0.13</v>
      </c>
      <c r="T3172">
        <v>25.1</v>
      </c>
      <c r="U3172" t="s">
        <v>893</v>
      </c>
      <c r="V3172" t="s">
        <v>1675</v>
      </c>
      <c r="W3172" t="s">
        <v>651</v>
      </c>
      <c r="X3172">
        <v>-0.03</v>
      </c>
      <c r="Y3172" t="s">
        <v>547</v>
      </c>
      <c r="Z3172" t="s">
        <v>147</v>
      </c>
      <c r="AA3172" t="s">
        <v>479</v>
      </c>
      <c r="AB3172">
        <v>1.39</v>
      </c>
      <c r="AC3172" t="s">
        <v>1546</v>
      </c>
      <c r="AD3172">
        <v>65.66</v>
      </c>
      <c r="AE3172" t="s">
        <v>516</v>
      </c>
      <c r="AF3172">
        <v>1.79</v>
      </c>
      <c r="AG3172">
        <v>0</v>
      </c>
      <c r="AH3172">
        <v>0</v>
      </c>
      <c r="AI3172" s="4">
        <v>40536</v>
      </c>
    </row>
    <row r="3173" spans="1:35">
      <c r="A3173">
        <v>3172</v>
      </c>
      <c r="B3173" t="str">
        <f>"300330"</f>
        <v>300330</v>
      </c>
      <c r="C3173" t="s">
        <v>13413</v>
      </c>
      <c r="D3173" s="4">
        <v>43190</v>
      </c>
      <c r="E3173" t="s">
        <v>290</v>
      </c>
      <c r="F3173" t="s">
        <v>290</v>
      </c>
      <c r="G3173" t="s">
        <v>1381</v>
      </c>
      <c r="H3173">
        <v>0</v>
      </c>
      <c r="I3173">
        <v>2.31</v>
      </c>
      <c r="J3173">
        <v>-0.05</v>
      </c>
      <c r="K3173" t="s">
        <v>7008</v>
      </c>
      <c r="L3173">
        <v>2.86</v>
      </c>
      <c r="M3173" t="s">
        <v>13414</v>
      </c>
      <c r="N3173" t="s">
        <v>3109</v>
      </c>
      <c r="O3173" t="s">
        <v>13414</v>
      </c>
      <c r="P3173" t="s">
        <v>13415</v>
      </c>
      <c r="Q3173">
        <v>96.72</v>
      </c>
      <c r="R3173" t="s">
        <v>3395</v>
      </c>
      <c r="S3173">
        <v>0.1</v>
      </c>
      <c r="T3173">
        <v>29.22</v>
      </c>
      <c r="U3173" t="s">
        <v>1018</v>
      </c>
      <c r="V3173" t="s">
        <v>1939</v>
      </c>
      <c r="W3173" t="s">
        <v>1119</v>
      </c>
      <c r="X3173">
        <v>-0.05</v>
      </c>
      <c r="Y3173" t="s">
        <v>282</v>
      </c>
      <c r="Z3173" t="s">
        <v>1349</v>
      </c>
      <c r="AA3173" t="s">
        <v>6965</v>
      </c>
      <c r="AB3173">
        <v>3.63</v>
      </c>
      <c r="AC3173" t="s">
        <v>2098</v>
      </c>
      <c r="AD3173">
        <v>76.97</v>
      </c>
      <c r="AE3173" t="s">
        <v>2123</v>
      </c>
      <c r="AF3173">
        <v>1.1299999999999999</v>
      </c>
      <c r="AG3173">
        <v>0</v>
      </c>
      <c r="AH3173">
        <v>0</v>
      </c>
      <c r="AI3173" s="4">
        <v>41079</v>
      </c>
    </row>
    <row r="3174" spans="1:35">
      <c r="A3174">
        <v>3173</v>
      </c>
      <c r="B3174" t="str">
        <f>"603869"</f>
        <v>603869</v>
      </c>
      <c r="C3174" t="s">
        <v>13416</v>
      </c>
      <c r="D3174" s="4">
        <v>43190</v>
      </c>
      <c r="E3174" t="s">
        <v>330</v>
      </c>
      <c r="F3174" t="s">
        <v>1666</v>
      </c>
      <c r="G3174" t="s">
        <v>4495</v>
      </c>
      <c r="H3174">
        <v>-0.01</v>
      </c>
      <c r="I3174">
        <v>10.5</v>
      </c>
      <c r="J3174">
        <v>-0.06</v>
      </c>
      <c r="K3174" t="s">
        <v>348</v>
      </c>
      <c r="L3174">
        <v>38.39</v>
      </c>
      <c r="M3174" t="s">
        <v>13417</v>
      </c>
      <c r="N3174" t="s">
        <v>13418</v>
      </c>
      <c r="O3174" t="s">
        <v>13419</v>
      </c>
      <c r="P3174" t="s">
        <v>3652</v>
      </c>
      <c r="Q3174">
        <v>-123.51</v>
      </c>
      <c r="R3174" t="s">
        <v>2413</v>
      </c>
      <c r="S3174">
        <v>1.57</v>
      </c>
      <c r="T3174">
        <v>35.590000000000003</v>
      </c>
      <c r="U3174" t="s">
        <v>5750</v>
      </c>
      <c r="V3174" t="s">
        <v>457</v>
      </c>
      <c r="W3174" t="s">
        <v>323</v>
      </c>
      <c r="X3174">
        <v>-0.06</v>
      </c>
      <c r="Y3174" t="s">
        <v>1504</v>
      </c>
      <c r="Z3174" t="s">
        <v>242</v>
      </c>
      <c r="AA3174" t="s">
        <v>916</v>
      </c>
      <c r="AB3174">
        <v>1.56</v>
      </c>
      <c r="AC3174" t="s">
        <v>1314</v>
      </c>
      <c r="AD3174">
        <v>57.72</v>
      </c>
      <c r="AE3174" t="s">
        <v>158</v>
      </c>
      <c r="AF3174">
        <v>7.75</v>
      </c>
      <c r="AG3174">
        <v>0</v>
      </c>
      <c r="AH3174">
        <v>0</v>
      </c>
      <c r="AI3174" s="4">
        <v>42089</v>
      </c>
    </row>
    <row r="3175" spans="1:35">
      <c r="A3175">
        <v>3174</v>
      </c>
      <c r="B3175" t="str">
        <f>"600187"</f>
        <v>600187</v>
      </c>
      <c r="C3175" t="s">
        <v>13420</v>
      </c>
      <c r="D3175" s="4">
        <v>43190</v>
      </c>
      <c r="E3175" t="s">
        <v>1052</v>
      </c>
      <c r="F3175" t="s">
        <v>584</v>
      </c>
      <c r="G3175">
        <v>9459</v>
      </c>
      <c r="H3175">
        <v>0</v>
      </c>
      <c r="I3175">
        <v>2.12</v>
      </c>
      <c r="J3175">
        <v>-0.06</v>
      </c>
      <c r="K3175" t="s">
        <v>7890</v>
      </c>
      <c r="L3175">
        <v>1.1200000000000001</v>
      </c>
      <c r="M3175" t="s">
        <v>13421</v>
      </c>
      <c r="N3175" t="s">
        <v>6517</v>
      </c>
      <c r="O3175" t="s">
        <v>13422</v>
      </c>
      <c r="P3175" t="s">
        <v>13423</v>
      </c>
      <c r="Q3175">
        <v>54.41</v>
      </c>
      <c r="R3175" t="s">
        <v>13424</v>
      </c>
      <c r="S3175">
        <v>-0.15</v>
      </c>
      <c r="T3175">
        <v>31.47</v>
      </c>
      <c r="U3175" t="s">
        <v>1344</v>
      </c>
      <c r="V3175" t="s">
        <v>2291</v>
      </c>
      <c r="W3175" t="s">
        <v>46</v>
      </c>
      <c r="X3175">
        <v>-0.06</v>
      </c>
      <c r="Y3175" t="s">
        <v>891</v>
      </c>
      <c r="Z3175" t="s">
        <v>300</v>
      </c>
      <c r="AA3175" t="s">
        <v>2445</v>
      </c>
      <c r="AB3175">
        <v>1.58</v>
      </c>
      <c r="AC3175" t="s">
        <v>1174</v>
      </c>
      <c r="AD3175">
        <v>63.52</v>
      </c>
      <c r="AE3175" t="s">
        <v>251</v>
      </c>
      <c r="AF3175">
        <v>1.25</v>
      </c>
      <c r="AG3175">
        <v>0</v>
      </c>
      <c r="AH3175">
        <v>0</v>
      </c>
      <c r="AI3175" s="4">
        <v>36110</v>
      </c>
    </row>
    <row r="3176" spans="1:35">
      <c r="A3176">
        <v>3175</v>
      </c>
      <c r="B3176" t="str">
        <f>"002313"</f>
        <v>002313</v>
      </c>
      <c r="C3176" t="s">
        <v>13425</v>
      </c>
      <c r="D3176" s="4">
        <v>43190</v>
      </c>
      <c r="E3176" t="s">
        <v>2551</v>
      </c>
      <c r="F3176" t="s">
        <v>2551</v>
      </c>
      <c r="G3176" t="s">
        <v>7028</v>
      </c>
      <c r="H3176">
        <v>-0.01</v>
      </c>
      <c r="I3176">
        <v>6.32</v>
      </c>
      <c r="J3176">
        <v>-0.06</v>
      </c>
      <c r="K3176" t="s">
        <v>2938</v>
      </c>
      <c r="L3176">
        <v>45.2</v>
      </c>
      <c r="M3176" t="s">
        <v>13426</v>
      </c>
      <c r="N3176">
        <v>0</v>
      </c>
      <c r="O3176" t="s">
        <v>13242</v>
      </c>
      <c r="P3176" t="s">
        <v>13427</v>
      </c>
      <c r="Q3176">
        <v>73.540000000000006</v>
      </c>
      <c r="R3176" t="s">
        <v>2587</v>
      </c>
      <c r="S3176">
        <v>1.69</v>
      </c>
      <c r="T3176">
        <v>19.47</v>
      </c>
      <c r="U3176" t="s">
        <v>1776</v>
      </c>
      <c r="V3176" t="s">
        <v>2600</v>
      </c>
      <c r="W3176" t="s">
        <v>120</v>
      </c>
      <c r="X3176">
        <v>-0.06</v>
      </c>
      <c r="Y3176" t="s">
        <v>1127</v>
      </c>
      <c r="Z3176" t="s">
        <v>733</v>
      </c>
      <c r="AA3176" t="s">
        <v>415</v>
      </c>
      <c r="AB3176">
        <v>4.0199999999999996</v>
      </c>
      <c r="AC3176" t="s">
        <v>691</v>
      </c>
      <c r="AD3176">
        <v>36.46</v>
      </c>
      <c r="AE3176" t="s">
        <v>295</v>
      </c>
      <c r="AF3176">
        <v>3.44</v>
      </c>
      <c r="AG3176">
        <v>0</v>
      </c>
      <c r="AH3176">
        <v>0</v>
      </c>
      <c r="AI3176" s="4">
        <v>40150</v>
      </c>
    </row>
    <row r="3177" spans="1:35">
      <c r="A3177">
        <v>3176</v>
      </c>
      <c r="B3177" t="str">
        <f>"300228"</f>
        <v>300228</v>
      </c>
      <c r="C3177" t="s">
        <v>13428</v>
      </c>
      <c r="D3177" s="4">
        <v>43190</v>
      </c>
      <c r="E3177" t="s">
        <v>611</v>
      </c>
      <c r="F3177" t="s">
        <v>365</v>
      </c>
      <c r="G3177" t="s">
        <v>1228</v>
      </c>
      <c r="H3177">
        <v>0</v>
      </c>
      <c r="I3177">
        <v>3.83</v>
      </c>
      <c r="J3177">
        <v>-7.0000000000000007E-2</v>
      </c>
      <c r="K3177" t="s">
        <v>985</v>
      </c>
      <c r="L3177">
        <v>-28.08</v>
      </c>
      <c r="M3177" t="s">
        <v>13429</v>
      </c>
      <c r="N3177" t="s">
        <v>13430</v>
      </c>
      <c r="O3177" t="s">
        <v>1937</v>
      </c>
      <c r="P3177" t="s">
        <v>9407</v>
      </c>
      <c r="Q3177">
        <v>-87.42</v>
      </c>
      <c r="R3177" t="s">
        <v>1461</v>
      </c>
      <c r="S3177">
        <v>0.76</v>
      </c>
      <c r="T3177">
        <v>33.200000000000003</v>
      </c>
      <c r="U3177" t="s">
        <v>528</v>
      </c>
      <c r="V3177" t="s">
        <v>158</v>
      </c>
      <c r="W3177" t="s">
        <v>1223</v>
      </c>
      <c r="X3177">
        <v>-7.0000000000000007E-2</v>
      </c>
      <c r="Y3177" t="s">
        <v>1687</v>
      </c>
      <c r="Z3177" t="s">
        <v>243</v>
      </c>
      <c r="AA3177" t="s">
        <v>985</v>
      </c>
      <c r="AB3177">
        <v>1.86</v>
      </c>
      <c r="AC3177" t="s">
        <v>754</v>
      </c>
      <c r="AD3177">
        <v>41.98</v>
      </c>
      <c r="AE3177" t="s">
        <v>2073</v>
      </c>
      <c r="AF3177">
        <v>1.94</v>
      </c>
      <c r="AG3177">
        <v>0</v>
      </c>
      <c r="AH3177">
        <v>0</v>
      </c>
      <c r="AI3177" s="4">
        <v>40702</v>
      </c>
    </row>
    <row r="3178" spans="1:35">
      <c r="A3178">
        <v>3177</v>
      </c>
      <c r="B3178" t="str">
        <f>"300609"</f>
        <v>300609</v>
      </c>
      <c r="C3178" t="s">
        <v>13431</v>
      </c>
      <c r="D3178" s="4">
        <v>43190</v>
      </c>
      <c r="E3178" t="s">
        <v>651</v>
      </c>
      <c r="F3178" t="s">
        <v>13432</v>
      </c>
      <c r="G3178">
        <v>3862</v>
      </c>
      <c r="H3178">
        <v>0</v>
      </c>
      <c r="I3178">
        <v>4.46</v>
      </c>
      <c r="J3178">
        <v>-0.08</v>
      </c>
      <c r="K3178" t="s">
        <v>13433</v>
      </c>
      <c r="L3178">
        <v>58.91</v>
      </c>
      <c r="M3178" t="s">
        <v>13434</v>
      </c>
      <c r="N3178" t="s">
        <v>13127</v>
      </c>
      <c r="O3178" t="s">
        <v>13435</v>
      </c>
      <c r="P3178" t="s">
        <v>3427</v>
      </c>
      <c r="Q3178">
        <v>84.24</v>
      </c>
      <c r="R3178" t="s">
        <v>326</v>
      </c>
      <c r="S3178">
        <v>1.17</v>
      </c>
      <c r="T3178">
        <v>66.98</v>
      </c>
      <c r="U3178" t="s">
        <v>68</v>
      </c>
      <c r="V3178" t="s">
        <v>4044</v>
      </c>
      <c r="W3178" t="s">
        <v>8628</v>
      </c>
      <c r="X3178">
        <v>-0.08</v>
      </c>
      <c r="Y3178" t="s">
        <v>13436</v>
      </c>
      <c r="Z3178" t="s">
        <v>9823</v>
      </c>
      <c r="AA3178" t="s">
        <v>3460</v>
      </c>
      <c r="AB3178">
        <v>6.26</v>
      </c>
      <c r="AC3178" t="s">
        <v>611</v>
      </c>
      <c r="AD3178">
        <v>89.41</v>
      </c>
      <c r="AE3178" t="s">
        <v>4614</v>
      </c>
      <c r="AF3178">
        <v>2.29</v>
      </c>
      <c r="AG3178">
        <v>0</v>
      </c>
      <c r="AH3178">
        <v>0</v>
      </c>
      <c r="AI3178" s="4">
        <v>42781</v>
      </c>
    </row>
    <row r="3179" spans="1:35">
      <c r="A3179">
        <v>3178</v>
      </c>
      <c r="B3179" t="str">
        <f>"300011"</f>
        <v>300011</v>
      </c>
      <c r="C3179" t="s">
        <v>13437</v>
      </c>
      <c r="D3179" s="4">
        <v>43190</v>
      </c>
      <c r="E3179" t="s">
        <v>1450</v>
      </c>
      <c r="F3179" t="s">
        <v>123</v>
      </c>
      <c r="G3179" t="s">
        <v>3258</v>
      </c>
      <c r="H3179">
        <v>0</v>
      </c>
      <c r="I3179">
        <v>4.4400000000000004</v>
      </c>
      <c r="J3179">
        <v>-0.08</v>
      </c>
      <c r="K3179" t="s">
        <v>998</v>
      </c>
      <c r="L3179">
        <v>37.58</v>
      </c>
      <c r="M3179" t="s">
        <v>12236</v>
      </c>
      <c r="N3179" t="s">
        <v>13438</v>
      </c>
      <c r="O3179" t="s">
        <v>13439</v>
      </c>
      <c r="P3179" t="s">
        <v>13440</v>
      </c>
      <c r="Q3179">
        <v>-148.01</v>
      </c>
      <c r="R3179" t="s">
        <v>5415</v>
      </c>
      <c r="S3179">
        <v>1.26</v>
      </c>
      <c r="T3179">
        <v>27.85</v>
      </c>
      <c r="U3179" t="s">
        <v>2513</v>
      </c>
      <c r="V3179" t="s">
        <v>1752</v>
      </c>
      <c r="W3179" t="s">
        <v>5842</v>
      </c>
      <c r="X3179">
        <v>-0.08</v>
      </c>
      <c r="Y3179" t="s">
        <v>848</v>
      </c>
      <c r="Z3179" t="s">
        <v>323</v>
      </c>
      <c r="AA3179" t="s">
        <v>3067</v>
      </c>
      <c r="AB3179">
        <v>1.38</v>
      </c>
      <c r="AC3179" t="s">
        <v>253</v>
      </c>
      <c r="AD3179">
        <v>61.21</v>
      </c>
      <c r="AE3179" t="s">
        <v>192</v>
      </c>
      <c r="AF3179">
        <v>2.1</v>
      </c>
      <c r="AG3179">
        <v>0</v>
      </c>
      <c r="AH3179">
        <v>0</v>
      </c>
      <c r="AI3179" s="4">
        <v>40116</v>
      </c>
    </row>
    <row r="3180" spans="1:35">
      <c r="A3180">
        <v>3179</v>
      </c>
      <c r="B3180" t="str">
        <f>"000780"</f>
        <v>000780</v>
      </c>
      <c r="C3180" t="s">
        <v>13441</v>
      </c>
      <c r="D3180" s="4">
        <v>43190</v>
      </c>
      <c r="E3180" t="s">
        <v>1094</v>
      </c>
      <c r="F3180" t="s">
        <v>1094</v>
      </c>
      <c r="G3180" t="s">
        <v>9465</v>
      </c>
      <c r="H3180">
        <v>0</v>
      </c>
      <c r="I3180">
        <v>4.55</v>
      </c>
      <c r="J3180">
        <v>-0.09</v>
      </c>
      <c r="K3180" t="s">
        <v>174</v>
      </c>
      <c r="L3180">
        <v>-1.73</v>
      </c>
      <c r="M3180" t="s">
        <v>13442</v>
      </c>
      <c r="N3180">
        <v>0</v>
      </c>
      <c r="O3180" t="s">
        <v>13443</v>
      </c>
      <c r="P3180" t="s">
        <v>11179</v>
      </c>
      <c r="Q3180">
        <v>82.07</v>
      </c>
      <c r="R3180" t="s">
        <v>1307</v>
      </c>
      <c r="S3180">
        <v>1.3</v>
      </c>
      <c r="T3180">
        <v>46.43</v>
      </c>
      <c r="U3180" t="s">
        <v>742</v>
      </c>
      <c r="V3180" t="s">
        <v>2725</v>
      </c>
      <c r="W3180" t="s">
        <v>2061</v>
      </c>
      <c r="X3180">
        <v>-0.09</v>
      </c>
      <c r="Y3180" t="s">
        <v>3745</v>
      </c>
      <c r="Z3180" t="s">
        <v>1021</v>
      </c>
      <c r="AA3180" t="s">
        <v>1376</v>
      </c>
      <c r="AB3180">
        <v>0.89</v>
      </c>
      <c r="AC3180" t="s">
        <v>1738</v>
      </c>
      <c r="AD3180">
        <v>83.43</v>
      </c>
      <c r="AE3180" t="s">
        <v>161</v>
      </c>
      <c r="AF3180">
        <v>1.42</v>
      </c>
      <c r="AG3180">
        <v>0</v>
      </c>
      <c r="AH3180">
        <v>0</v>
      </c>
      <c r="AI3180" s="4">
        <v>35587</v>
      </c>
    </row>
    <row r="3181" spans="1:35">
      <c r="A3181">
        <v>3180</v>
      </c>
      <c r="B3181" t="str">
        <f>"002181"</f>
        <v>002181</v>
      </c>
      <c r="C3181" t="s">
        <v>13444</v>
      </c>
      <c r="D3181" s="4">
        <v>43190</v>
      </c>
      <c r="E3181" t="s">
        <v>613</v>
      </c>
      <c r="F3181" t="s">
        <v>835</v>
      </c>
      <c r="G3181" t="s">
        <v>3620</v>
      </c>
      <c r="H3181">
        <v>0</v>
      </c>
      <c r="I3181">
        <v>3.37</v>
      </c>
      <c r="J3181">
        <v>-0.1</v>
      </c>
      <c r="K3181" t="s">
        <v>698</v>
      </c>
      <c r="L3181">
        <v>-3.68</v>
      </c>
      <c r="M3181" t="s">
        <v>13445</v>
      </c>
      <c r="N3181" t="s">
        <v>13446</v>
      </c>
      <c r="O3181" t="s">
        <v>13447</v>
      </c>
      <c r="P3181" t="s">
        <v>13448</v>
      </c>
      <c r="Q3181">
        <v>87.15</v>
      </c>
      <c r="R3181" t="s">
        <v>147</v>
      </c>
      <c r="S3181">
        <v>0.96</v>
      </c>
      <c r="T3181">
        <v>31.21</v>
      </c>
      <c r="U3181" t="s">
        <v>1291</v>
      </c>
      <c r="V3181" t="s">
        <v>1687</v>
      </c>
      <c r="W3181" t="s">
        <v>184</v>
      </c>
      <c r="X3181">
        <v>-0.1</v>
      </c>
      <c r="Y3181" t="s">
        <v>314</v>
      </c>
      <c r="Z3181" t="s">
        <v>1578</v>
      </c>
      <c r="AA3181" t="s">
        <v>7657</v>
      </c>
      <c r="AB3181">
        <v>1.28</v>
      </c>
      <c r="AC3181" t="s">
        <v>447</v>
      </c>
      <c r="AD3181">
        <v>91.41</v>
      </c>
      <c r="AE3181" t="s">
        <v>924</v>
      </c>
      <c r="AF3181">
        <v>1.1499999999999999</v>
      </c>
      <c r="AG3181">
        <v>0</v>
      </c>
      <c r="AH3181">
        <v>0</v>
      </c>
      <c r="AI3181" s="4">
        <v>39402</v>
      </c>
    </row>
    <row r="3182" spans="1:35">
      <c r="A3182">
        <v>3181</v>
      </c>
      <c r="B3182" t="str">
        <f>"600215"</f>
        <v>600215</v>
      </c>
      <c r="C3182" t="s">
        <v>13449</v>
      </c>
      <c r="D3182" s="4">
        <v>43190</v>
      </c>
      <c r="E3182" t="s">
        <v>1659</v>
      </c>
      <c r="F3182" t="s">
        <v>1659</v>
      </c>
      <c r="G3182" t="s">
        <v>1639</v>
      </c>
      <c r="H3182">
        <v>-0.01</v>
      </c>
      <c r="I3182">
        <v>5.22</v>
      </c>
      <c r="J3182">
        <v>-0.11</v>
      </c>
      <c r="K3182" t="s">
        <v>11721</v>
      </c>
      <c r="L3182">
        <v>6.75</v>
      </c>
      <c r="M3182" t="s">
        <v>13450</v>
      </c>
      <c r="N3182" t="s">
        <v>1218</v>
      </c>
      <c r="O3182" t="s">
        <v>13451</v>
      </c>
      <c r="P3182" t="s">
        <v>13451</v>
      </c>
      <c r="Q3182">
        <v>9.08</v>
      </c>
      <c r="R3182" t="s">
        <v>776</v>
      </c>
      <c r="S3182">
        <v>1.68</v>
      </c>
      <c r="T3182">
        <v>30.7</v>
      </c>
      <c r="U3182" t="s">
        <v>907</v>
      </c>
      <c r="V3182" t="s">
        <v>420</v>
      </c>
      <c r="W3182" t="s">
        <v>12623</v>
      </c>
      <c r="X3182">
        <v>-0.11</v>
      </c>
      <c r="Y3182" t="s">
        <v>2194</v>
      </c>
      <c r="Z3182" t="s">
        <v>2637</v>
      </c>
      <c r="AA3182" t="s">
        <v>7939</v>
      </c>
      <c r="AB3182">
        <v>1.41</v>
      </c>
      <c r="AC3182" t="s">
        <v>306</v>
      </c>
      <c r="AD3182">
        <v>76.75</v>
      </c>
      <c r="AE3182" t="s">
        <v>721</v>
      </c>
      <c r="AF3182">
        <v>2.1</v>
      </c>
      <c r="AG3182">
        <v>0</v>
      </c>
      <c r="AH3182">
        <v>0</v>
      </c>
      <c r="AI3182" s="4">
        <v>36412</v>
      </c>
    </row>
    <row r="3183" spans="1:35">
      <c r="A3183">
        <v>3182</v>
      </c>
      <c r="B3183" t="str">
        <f>"601858"</f>
        <v>601858</v>
      </c>
      <c r="C3183" t="s">
        <v>13452</v>
      </c>
      <c r="D3183" s="4">
        <v>43190</v>
      </c>
      <c r="E3183" t="s">
        <v>3549</v>
      </c>
      <c r="F3183" t="s">
        <v>802</v>
      </c>
      <c r="G3183">
        <v>3202</v>
      </c>
      <c r="H3183">
        <v>0</v>
      </c>
      <c r="I3183">
        <v>3.93</v>
      </c>
      <c r="J3183">
        <v>-0.11</v>
      </c>
      <c r="K3183" t="s">
        <v>145</v>
      </c>
      <c r="L3183">
        <v>11.33</v>
      </c>
      <c r="M3183" t="s">
        <v>13453</v>
      </c>
      <c r="N3183" t="s">
        <v>6021</v>
      </c>
      <c r="O3183" t="s">
        <v>13454</v>
      </c>
      <c r="P3183" t="s">
        <v>13455</v>
      </c>
      <c r="Q3183">
        <v>-121.13</v>
      </c>
      <c r="R3183" t="s">
        <v>908</v>
      </c>
      <c r="S3183">
        <v>1.74</v>
      </c>
      <c r="T3183">
        <v>28.8</v>
      </c>
      <c r="U3183" t="s">
        <v>893</v>
      </c>
      <c r="V3183" t="s">
        <v>1859</v>
      </c>
      <c r="W3183" t="s">
        <v>618</v>
      </c>
      <c r="X3183">
        <v>-0.11</v>
      </c>
      <c r="Y3183" t="s">
        <v>973</v>
      </c>
      <c r="Z3183" t="s">
        <v>1094</v>
      </c>
      <c r="AA3183" t="s">
        <v>1724</v>
      </c>
      <c r="AB3183">
        <v>2.38</v>
      </c>
      <c r="AC3183" t="s">
        <v>1396</v>
      </c>
      <c r="AD3183">
        <v>73.27</v>
      </c>
      <c r="AE3183" t="s">
        <v>488</v>
      </c>
      <c r="AF3183">
        <v>0.99</v>
      </c>
      <c r="AG3183">
        <v>0</v>
      </c>
      <c r="AH3183">
        <v>0</v>
      </c>
      <c r="AI3183" s="4">
        <v>42753</v>
      </c>
    </row>
    <row r="3184" spans="1:35">
      <c r="A3184">
        <v>3183</v>
      </c>
      <c r="B3184" t="str">
        <f>"603800"</f>
        <v>603800</v>
      </c>
      <c r="C3184" t="s">
        <v>13456</v>
      </c>
      <c r="D3184" s="4">
        <v>43190</v>
      </c>
      <c r="E3184" t="s">
        <v>415</v>
      </c>
      <c r="F3184" t="s">
        <v>4578</v>
      </c>
      <c r="G3184">
        <v>2469</v>
      </c>
      <c r="H3184">
        <v>-0.01</v>
      </c>
      <c r="I3184">
        <v>4.38</v>
      </c>
      <c r="J3184">
        <v>-0.12</v>
      </c>
      <c r="K3184" t="s">
        <v>1970</v>
      </c>
      <c r="L3184">
        <v>40.54</v>
      </c>
      <c r="M3184" t="s">
        <v>11041</v>
      </c>
      <c r="N3184" t="s">
        <v>1773</v>
      </c>
      <c r="O3184" t="s">
        <v>13457</v>
      </c>
      <c r="P3184" t="s">
        <v>11071</v>
      </c>
      <c r="Q3184">
        <v>-115.02</v>
      </c>
      <c r="R3184" t="s">
        <v>3768</v>
      </c>
      <c r="S3184">
        <v>0.87</v>
      </c>
      <c r="T3184">
        <v>18.61</v>
      </c>
      <c r="U3184" t="s">
        <v>391</v>
      </c>
      <c r="V3184" t="s">
        <v>973</v>
      </c>
      <c r="W3184" t="s">
        <v>91</v>
      </c>
      <c r="X3184">
        <v>-0.12</v>
      </c>
      <c r="Y3184" t="s">
        <v>2851</v>
      </c>
      <c r="Z3184" t="s">
        <v>2739</v>
      </c>
      <c r="AA3184" t="s">
        <v>10715</v>
      </c>
      <c r="AB3184">
        <v>3.42</v>
      </c>
      <c r="AC3184" t="s">
        <v>62</v>
      </c>
      <c r="AD3184">
        <v>61.06</v>
      </c>
      <c r="AE3184" t="s">
        <v>1645</v>
      </c>
      <c r="AF3184">
        <v>2.39</v>
      </c>
      <c r="AG3184">
        <v>0</v>
      </c>
      <c r="AH3184">
        <v>0</v>
      </c>
      <c r="AI3184" s="4">
        <v>42348</v>
      </c>
    </row>
    <row r="3185" spans="1:35">
      <c r="A3185">
        <v>3184</v>
      </c>
      <c r="B3185" t="str">
        <f>"601968"</f>
        <v>601968</v>
      </c>
      <c r="C3185" t="s">
        <v>13458</v>
      </c>
      <c r="D3185" s="4">
        <v>43190</v>
      </c>
      <c r="E3185" t="s">
        <v>1561</v>
      </c>
      <c r="F3185" t="s">
        <v>1561</v>
      </c>
      <c r="G3185">
        <v>4474</v>
      </c>
      <c r="H3185">
        <v>0</v>
      </c>
      <c r="I3185">
        <v>2.37</v>
      </c>
      <c r="J3185">
        <v>-0.13</v>
      </c>
      <c r="K3185" t="s">
        <v>973</v>
      </c>
      <c r="L3185">
        <v>21.84</v>
      </c>
      <c r="M3185" t="s">
        <v>10965</v>
      </c>
      <c r="N3185">
        <v>0</v>
      </c>
      <c r="O3185" t="s">
        <v>4557</v>
      </c>
      <c r="P3185" t="s">
        <v>13459</v>
      </c>
      <c r="Q3185">
        <v>86.89</v>
      </c>
      <c r="R3185" t="s">
        <v>5614</v>
      </c>
      <c r="S3185">
        <v>0.43</v>
      </c>
      <c r="T3185">
        <v>9.91</v>
      </c>
      <c r="U3185" t="s">
        <v>1143</v>
      </c>
      <c r="V3185" t="s">
        <v>1542</v>
      </c>
      <c r="W3185" t="s">
        <v>2941</v>
      </c>
      <c r="X3185">
        <v>-0.13</v>
      </c>
      <c r="Y3185" t="s">
        <v>447</v>
      </c>
      <c r="Z3185" t="s">
        <v>1248</v>
      </c>
      <c r="AA3185" t="s">
        <v>140</v>
      </c>
      <c r="AB3185">
        <v>1.56</v>
      </c>
      <c r="AC3185" t="s">
        <v>691</v>
      </c>
      <c r="AD3185">
        <v>32.78</v>
      </c>
      <c r="AE3185" t="s">
        <v>632</v>
      </c>
      <c r="AF3185">
        <v>0.9</v>
      </c>
      <c r="AG3185">
        <v>0</v>
      </c>
      <c r="AH3185">
        <v>0</v>
      </c>
      <c r="AI3185" s="4">
        <v>42166</v>
      </c>
    </row>
    <row r="3186" spans="1:35">
      <c r="A3186">
        <v>3185</v>
      </c>
      <c r="B3186" t="str">
        <f>"600707"</f>
        <v>600707</v>
      </c>
      <c r="C3186" t="s">
        <v>13460</v>
      </c>
      <c r="D3186" s="4">
        <v>43190</v>
      </c>
      <c r="E3186" t="s">
        <v>1593</v>
      </c>
      <c r="F3186" t="s">
        <v>2194</v>
      </c>
      <c r="G3186" t="s">
        <v>915</v>
      </c>
      <c r="H3186">
        <v>-0.01</v>
      </c>
      <c r="I3186">
        <v>5.68</v>
      </c>
      <c r="J3186">
        <v>-0.13</v>
      </c>
      <c r="K3186" t="s">
        <v>711</v>
      </c>
      <c r="L3186">
        <v>55.62</v>
      </c>
      <c r="M3186" t="s">
        <v>12726</v>
      </c>
      <c r="N3186" t="s">
        <v>8367</v>
      </c>
      <c r="O3186" t="s">
        <v>13461</v>
      </c>
      <c r="P3186" t="s">
        <v>13462</v>
      </c>
      <c r="Q3186">
        <v>42.14</v>
      </c>
      <c r="R3186" t="s">
        <v>13463</v>
      </c>
      <c r="S3186">
        <v>-1.1100000000000001</v>
      </c>
      <c r="T3186">
        <v>14.9</v>
      </c>
      <c r="U3186" t="s">
        <v>3512</v>
      </c>
      <c r="V3186" t="s">
        <v>841</v>
      </c>
      <c r="W3186" t="s">
        <v>236</v>
      </c>
      <c r="X3186">
        <v>-0.13</v>
      </c>
      <c r="Y3186" t="s">
        <v>1146</v>
      </c>
      <c r="Z3186" t="s">
        <v>463</v>
      </c>
      <c r="AA3186" t="s">
        <v>1386</v>
      </c>
      <c r="AB3186">
        <v>1.23</v>
      </c>
      <c r="AC3186" t="s">
        <v>1098</v>
      </c>
      <c r="AD3186">
        <v>55.57</v>
      </c>
      <c r="AE3186" t="s">
        <v>2522</v>
      </c>
      <c r="AF3186">
        <v>5.73</v>
      </c>
      <c r="AG3186">
        <v>0</v>
      </c>
      <c r="AH3186">
        <v>0</v>
      </c>
      <c r="AI3186" s="4">
        <v>35205</v>
      </c>
    </row>
    <row r="3187" spans="1:35">
      <c r="A3187">
        <v>3186</v>
      </c>
      <c r="B3187" t="str">
        <f>"002246"</f>
        <v>002246</v>
      </c>
      <c r="C3187" t="s">
        <v>13464</v>
      </c>
      <c r="D3187" s="4">
        <v>43190</v>
      </c>
      <c r="E3187" t="s">
        <v>2413</v>
      </c>
      <c r="F3187" t="s">
        <v>3119</v>
      </c>
      <c r="G3187">
        <v>7556</v>
      </c>
      <c r="H3187">
        <v>-0.01</v>
      </c>
      <c r="I3187">
        <v>4.0999999999999996</v>
      </c>
      <c r="J3187">
        <v>-0.13</v>
      </c>
      <c r="K3187" t="s">
        <v>559</v>
      </c>
      <c r="L3187">
        <v>-15.39</v>
      </c>
      <c r="M3187" t="s">
        <v>13465</v>
      </c>
      <c r="N3187" t="s">
        <v>13466</v>
      </c>
      <c r="O3187" t="s">
        <v>13467</v>
      </c>
      <c r="P3187" t="s">
        <v>13109</v>
      </c>
      <c r="Q3187">
        <v>-121.36</v>
      </c>
      <c r="R3187" t="s">
        <v>3894</v>
      </c>
      <c r="S3187">
        <v>1.26</v>
      </c>
      <c r="T3187">
        <v>18.41</v>
      </c>
      <c r="U3187" t="s">
        <v>2901</v>
      </c>
      <c r="V3187" t="s">
        <v>983</v>
      </c>
      <c r="W3187" t="s">
        <v>5061</v>
      </c>
      <c r="X3187">
        <v>-0.13</v>
      </c>
      <c r="Y3187" t="s">
        <v>1976</v>
      </c>
      <c r="Z3187" t="s">
        <v>2235</v>
      </c>
      <c r="AA3187" t="s">
        <v>10778</v>
      </c>
      <c r="AB3187">
        <v>2.12</v>
      </c>
      <c r="AC3187" t="s">
        <v>565</v>
      </c>
      <c r="AD3187">
        <v>65.11</v>
      </c>
      <c r="AE3187" t="s">
        <v>3161</v>
      </c>
      <c r="AF3187">
        <v>1.71</v>
      </c>
      <c r="AG3187">
        <v>0</v>
      </c>
      <c r="AH3187">
        <v>0</v>
      </c>
      <c r="AI3187" s="4">
        <v>39604</v>
      </c>
    </row>
    <row r="3188" spans="1:35">
      <c r="A3188">
        <v>3187</v>
      </c>
      <c r="B3188" t="str">
        <f>"300234"</f>
        <v>300234</v>
      </c>
      <c r="C3188" t="s">
        <v>13468</v>
      </c>
      <c r="D3188" s="4">
        <v>43190</v>
      </c>
      <c r="E3188" t="s">
        <v>286</v>
      </c>
      <c r="F3188" t="s">
        <v>1936</v>
      </c>
      <c r="G3188">
        <v>8217</v>
      </c>
      <c r="H3188">
        <v>0</v>
      </c>
      <c r="I3188">
        <v>3.43</v>
      </c>
      <c r="J3188">
        <v>-0.14000000000000001</v>
      </c>
      <c r="K3188" t="s">
        <v>13469</v>
      </c>
      <c r="L3188">
        <v>-11.2</v>
      </c>
      <c r="M3188" t="s">
        <v>13470</v>
      </c>
      <c r="N3188" t="s">
        <v>10065</v>
      </c>
      <c r="O3188" t="s">
        <v>13471</v>
      </c>
      <c r="P3188" t="s">
        <v>13472</v>
      </c>
      <c r="Q3188">
        <v>36.99</v>
      </c>
      <c r="R3188" t="s">
        <v>641</v>
      </c>
      <c r="S3188">
        <v>0.87</v>
      </c>
      <c r="T3188">
        <v>23.58</v>
      </c>
      <c r="U3188" t="s">
        <v>1033</v>
      </c>
      <c r="V3188" t="s">
        <v>1241</v>
      </c>
      <c r="W3188" t="s">
        <v>531</v>
      </c>
      <c r="X3188">
        <v>-0.14000000000000001</v>
      </c>
      <c r="Y3188" t="s">
        <v>2769</v>
      </c>
      <c r="Z3188" t="s">
        <v>1597</v>
      </c>
      <c r="AA3188" t="s">
        <v>6724</v>
      </c>
      <c r="AB3188">
        <v>1.89</v>
      </c>
      <c r="AC3188" t="s">
        <v>6194</v>
      </c>
      <c r="AD3188">
        <v>83.29</v>
      </c>
      <c r="AE3188" t="s">
        <v>749</v>
      </c>
      <c r="AF3188">
        <v>1.43</v>
      </c>
      <c r="AG3188">
        <v>0</v>
      </c>
      <c r="AH3188">
        <v>0</v>
      </c>
      <c r="AI3188" s="4">
        <v>40716</v>
      </c>
    </row>
    <row r="3189" spans="1:35">
      <c r="A3189">
        <v>3188</v>
      </c>
      <c r="B3189" t="str">
        <f>"300334"</f>
        <v>300334</v>
      </c>
      <c r="C3189" t="s">
        <v>13473</v>
      </c>
      <c r="D3189" s="4">
        <v>43190</v>
      </c>
      <c r="E3189" t="s">
        <v>145</v>
      </c>
      <c r="F3189" t="s">
        <v>1732</v>
      </c>
      <c r="G3189">
        <v>8469</v>
      </c>
      <c r="H3189">
        <v>-0.01</v>
      </c>
      <c r="I3189">
        <v>5.47</v>
      </c>
      <c r="J3189">
        <v>-0.15</v>
      </c>
      <c r="K3189" t="s">
        <v>1936</v>
      </c>
      <c r="L3189">
        <v>9.31</v>
      </c>
      <c r="M3189" t="s">
        <v>13474</v>
      </c>
      <c r="N3189" t="s">
        <v>13475</v>
      </c>
      <c r="O3189" t="s">
        <v>13476</v>
      </c>
      <c r="P3189" t="s">
        <v>13477</v>
      </c>
      <c r="Q3189">
        <v>-294.97000000000003</v>
      </c>
      <c r="R3189" t="s">
        <v>219</v>
      </c>
      <c r="S3189">
        <v>0.81</v>
      </c>
      <c r="T3189">
        <v>37.04</v>
      </c>
      <c r="U3189" t="s">
        <v>356</v>
      </c>
      <c r="V3189" t="s">
        <v>1062</v>
      </c>
      <c r="W3189" t="s">
        <v>478</v>
      </c>
      <c r="X3189">
        <v>-0.15</v>
      </c>
      <c r="Y3189" t="s">
        <v>147</v>
      </c>
      <c r="Z3189" t="s">
        <v>909</v>
      </c>
      <c r="AA3189" t="s">
        <v>1621</v>
      </c>
      <c r="AB3189">
        <v>1.48</v>
      </c>
      <c r="AC3189" t="s">
        <v>298</v>
      </c>
      <c r="AD3189">
        <v>58.77</v>
      </c>
      <c r="AE3189" t="s">
        <v>295</v>
      </c>
      <c r="AF3189">
        <v>3.54</v>
      </c>
      <c r="AG3189">
        <v>0</v>
      </c>
      <c r="AH3189">
        <v>0</v>
      </c>
      <c r="AI3189" s="4">
        <v>41095</v>
      </c>
    </row>
    <row r="3190" spans="1:35">
      <c r="A3190">
        <v>3189</v>
      </c>
      <c r="B3190" t="str">
        <f>"000978"</f>
        <v>000978</v>
      </c>
      <c r="C3190" t="s">
        <v>13478</v>
      </c>
      <c r="D3190" s="4">
        <v>43190</v>
      </c>
      <c r="E3190" t="s">
        <v>204</v>
      </c>
      <c r="F3190" t="s">
        <v>204</v>
      </c>
      <c r="G3190" t="s">
        <v>2349</v>
      </c>
      <c r="H3190">
        <v>-0.01</v>
      </c>
      <c r="I3190">
        <v>4.13</v>
      </c>
      <c r="J3190">
        <v>-0.15</v>
      </c>
      <c r="K3190" t="s">
        <v>355</v>
      </c>
      <c r="L3190">
        <v>-7.08</v>
      </c>
      <c r="M3190" t="s">
        <v>13479</v>
      </c>
      <c r="N3190" t="s">
        <v>11419</v>
      </c>
      <c r="O3190" t="s">
        <v>7868</v>
      </c>
      <c r="P3190" t="s">
        <v>13421</v>
      </c>
      <c r="Q3190">
        <v>-44.07</v>
      </c>
      <c r="R3190" t="s">
        <v>197</v>
      </c>
      <c r="S3190">
        <v>0.22</v>
      </c>
      <c r="T3190">
        <v>39.99</v>
      </c>
      <c r="U3190" t="s">
        <v>1661</v>
      </c>
      <c r="V3190" t="s">
        <v>679</v>
      </c>
      <c r="W3190" t="s">
        <v>1496</v>
      </c>
      <c r="X3190">
        <v>-0.15</v>
      </c>
      <c r="Y3190" t="s">
        <v>699</v>
      </c>
      <c r="Z3190" t="s">
        <v>1594</v>
      </c>
      <c r="AA3190" t="s">
        <v>3234</v>
      </c>
      <c r="AB3190">
        <v>1.39</v>
      </c>
      <c r="AC3190" t="s">
        <v>547</v>
      </c>
      <c r="AD3190">
        <v>57.16</v>
      </c>
      <c r="AE3190" t="s">
        <v>3124</v>
      </c>
      <c r="AF3190">
        <v>2.7</v>
      </c>
      <c r="AG3190">
        <v>0</v>
      </c>
      <c r="AH3190">
        <v>0</v>
      </c>
      <c r="AI3190" s="4">
        <v>36664</v>
      </c>
    </row>
    <row r="3191" spans="1:35">
      <c r="A3191">
        <v>3190</v>
      </c>
      <c r="B3191" t="str">
        <f>"000422"</f>
        <v>000422</v>
      </c>
      <c r="C3191" t="s">
        <v>13480</v>
      </c>
      <c r="D3191" s="4">
        <v>43190</v>
      </c>
      <c r="E3191" t="s">
        <v>8311</v>
      </c>
      <c r="F3191" t="s">
        <v>8311</v>
      </c>
      <c r="G3191" t="s">
        <v>2135</v>
      </c>
      <c r="H3191">
        <v>-0.43</v>
      </c>
      <c r="I3191">
        <v>-0.86</v>
      </c>
      <c r="J3191">
        <v>-0.15</v>
      </c>
      <c r="K3191" t="s">
        <v>1704</v>
      </c>
      <c r="L3191">
        <v>-29.04</v>
      </c>
      <c r="M3191" t="s">
        <v>13176</v>
      </c>
      <c r="N3191" t="s">
        <v>3041</v>
      </c>
      <c r="O3191" t="s">
        <v>13481</v>
      </c>
      <c r="P3191" t="s">
        <v>13482</v>
      </c>
      <c r="Q3191">
        <v>-705.57</v>
      </c>
      <c r="R3191" t="s">
        <v>13483</v>
      </c>
      <c r="S3191">
        <v>-4.3</v>
      </c>
      <c r="T3191">
        <v>14.21</v>
      </c>
      <c r="U3191" t="s">
        <v>10938</v>
      </c>
      <c r="V3191" t="s">
        <v>400</v>
      </c>
      <c r="W3191" t="s">
        <v>1221</v>
      </c>
      <c r="X3191">
        <v>-0.15</v>
      </c>
      <c r="Y3191" t="s">
        <v>4122</v>
      </c>
      <c r="Z3191" t="s">
        <v>2077</v>
      </c>
      <c r="AA3191" t="s">
        <v>1674</v>
      </c>
      <c r="AB3191">
        <v>-2.42</v>
      </c>
      <c r="AC3191" t="s">
        <v>1004</v>
      </c>
      <c r="AD3191">
        <v>0.71</v>
      </c>
      <c r="AE3191" t="s">
        <v>1126</v>
      </c>
      <c r="AF3191">
        <v>1.98</v>
      </c>
      <c r="AG3191">
        <v>0</v>
      </c>
      <c r="AH3191">
        <v>0</v>
      </c>
      <c r="AI3191" s="4">
        <v>35292</v>
      </c>
    </row>
    <row r="3192" spans="1:35">
      <c r="A3192">
        <v>3191</v>
      </c>
      <c r="B3192" t="str">
        <f>"000592"</f>
        <v>000592</v>
      </c>
      <c r="C3192" t="s">
        <v>13484</v>
      </c>
      <c r="D3192" s="4">
        <v>43190</v>
      </c>
      <c r="E3192" t="s">
        <v>1752</v>
      </c>
      <c r="F3192" t="s">
        <v>389</v>
      </c>
      <c r="G3192" t="s">
        <v>5319</v>
      </c>
      <c r="H3192">
        <v>0</v>
      </c>
      <c r="I3192">
        <v>1.64</v>
      </c>
      <c r="J3192">
        <v>-0.16</v>
      </c>
      <c r="K3192" t="s">
        <v>2069</v>
      </c>
      <c r="L3192">
        <v>57.18</v>
      </c>
      <c r="M3192" t="s">
        <v>13485</v>
      </c>
      <c r="N3192" t="s">
        <v>7316</v>
      </c>
      <c r="O3192" t="s">
        <v>13486</v>
      </c>
      <c r="P3192" t="s">
        <v>13487</v>
      </c>
      <c r="Q3192">
        <v>61.05</v>
      </c>
      <c r="R3192" t="s">
        <v>13488</v>
      </c>
      <c r="S3192">
        <v>-0.12</v>
      </c>
      <c r="T3192">
        <v>9.75</v>
      </c>
      <c r="U3192" t="s">
        <v>1032</v>
      </c>
      <c r="V3192" t="s">
        <v>2057</v>
      </c>
      <c r="W3192" t="s">
        <v>415</v>
      </c>
      <c r="X3192">
        <v>-0.16</v>
      </c>
      <c r="Y3192" t="s">
        <v>1868</v>
      </c>
      <c r="Z3192" t="s">
        <v>2510</v>
      </c>
      <c r="AA3192" t="s">
        <v>1626</v>
      </c>
      <c r="AB3192">
        <v>1.71</v>
      </c>
      <c r="AC3192" t="s">
        <v>907</v>
      </c>
      <c r="AD3192">
        <v>73.55</v>
      </c>
      <c r="AE3192" t="s">
        <v>162</v>
      </c>
      <c r="AF3192">
        <v>0.74</v>
      </c>
      <c r="AG3192">
        <v>0</v>
      </c>
      <c r="AH3192">
        <v>0</v>
      </c>
      <c r="AI3192" s="4">
        <v>35151</v>
      </c>
    </row>
    <row r="3193" spans="1:35">
      <c r="A3193">
        <v>3192</v>
      </c>
      <c r="B3193" t="str">
        <f>"600961"</f>
        <v>600961</v>
      </c>
      <c r="C3193" t="s">
        <v>13489</v>
      </c>
      <c r="D3193" s="4">
        <v>43190</v>
      </c>
      <c r="E3193" t="s">
        <v>1382</v>
      </c>
      <c r="F3193" t="s">
        <v>1382</v>
      </c>
      <c r="G3193" t="s">
        <v>6078</v>
      </c>
      <c r="H3193">
        <v>-0.06</v>
      </c>
      <c r="I3193">
        <v>0.33</v>
      </c>
      <c r="J3193">
        <v>-0.17</v>
      </c>
      <c r="K3193" t="s">
        <v>1700</v>
      </c>
      <c r="L3193">
        <v>-15.85</v>
      </c>
      <c r="M3193" t="s">
        <v>13490</v>
      </c>
      <c r="N3193" t="s">
        <v>13491</v>
      </c>
      <c r="O3193" t="s">
        <v>13492</v>
      </c>
      <c r="P3193" t="s">
        <v>13493</v>
      </c>
      <c r="Q3193">
        <v>-1251.18</v>
      </c>
      <c r="R3193" t="s">
        <v>13494</v>
      </c>
      <c r="S3193">
        <v>-2.4700000000000002</v>
      </c>
      <c r="T3193">
        <v>1.24</v>
      </c>
      <c r="U3193" t="s">
        <v>6379</v>
      </c>
      <c r="V3193" t="s">
        <v>1224</v>
      </c>
      <c r="W3193" t="s">
        <v>1661</v>
      </c>
      <c r="X3193">
        <v>-0.17</v>
      </c>
      <c r="Y3193" t="s">
        <v>5786</v>
      </c>
      <c r="Z3193" t="s">
        <v>530</v>
      </c>
      <c r="AA3193" t="s">
        <v>2789</v>
      </c>
      <c r="AB3193">
        <v>19.64</v>
      </c>
      <c r="AC3193" t="s">
        <v>1457</v>
      </c>
      <c r="AD3193">
        <v>2.59</v>
      </c>
      <c r="AE3193" t="s">
        <v>1658</v>
      </c>
      <c r="AF3193">
        <v>1.64</v>
      </c>
      <c r="AG3193">
        <v>0</v>
      </c>
      <c r="AH3193">
        <v>0</v>
      </c>
      <c r="AI3193" s="4">
        <v>38229</v>
      </c>
    </row>
    <row r="3194" spans="1:35">
      <c r="A3194">
        <v>3193</v>
      </c>
      <c r="B3194" t="str">
        <f>"600620"</f>
        <v>600620</v>
      </c>
      <c r="C3194" t="s">
        <v>13495</v>
      </c>
      <c r="D3194" s="4">
        <v>43190</v>
      </c>
      <c r="E3194" t="s">
        <v>475</v>
      </c>
      <c r="F3194" t="s">
        <v>475</v>
      </c>
      <c r="G3194" t="s">
        <v>3980</v>
      </c>
      <c r="H3194">
        <v>-0.01</v>
      </c>
      <c r="I3194">
        <v>3.6</v>
      </c>
      <c r="J3194">
        <v>-0.17</v>
      </c>
      <c r="K3194" t="s">
        <v>1873</v>
      </c>
      <c r="L3194">
        <v>-1.45</v>
      </c>
      <c r="M3194" t="s">
        <v>13447</v>
      </c>
      <c r="N3194" t="s">
        <v>1598</v>
      </c>
      <c r="O3194" t="s">
        <v>13447</v>
      </c>
      <c r="P3194" t="s">
        <v>13496</v>
      </c>
      <c r="Q3194">
        <v>24.47</v>
      </c>
      <c r="R3194" t="s">
        <v>282</v>
      </c>
      <c r="S3194">
        <v>0.17</v>
      </c>
      <c r="T3194">
        <v>40.39</v>
      </c>
      <c r="U3194" t="s">
        <v>864</v>
      </c>
      <c r="V3194" t="s">
        <v>1972</v>
      </c>
      <c r="W3194" t="s">
        <v>11911</v>
      </c>
      <c r="X3194">
        <v>-0.17</v>
      </c>
      <c r="Y3194" t="s">
        <v>3324</v>
      </c>
      <c r="Z3194" t="s">
        <v>13497</v>
      </c>
      <c r="AA3194" t="s">
        <v>97</v>
      </c>
      <c r="AB3194">
        <v>1.74</v>
      </c>
      <c r="AC3194" t="s">
        <v>1687</v>
      </c>
      <c r="AD3194">
        <v>82.58</v>
      </c>
      <c r="AE3194" t="s">
        <v>9085</v>
      </c>
      <c r="AF3194">
        <v>0.01</v>
      </c>
      <c r="AG3194">
        <v>0</v>
      </c>
      <c r="AH3194">
        <v>0</v>
      </c>
      <c r="AI3194" s="4">
        <v>33925</v>
      </c>
    </row>
    <row r="3195" spans="1:35">
      <c r="A3195">
        <v>3194</v>
      </c>
      <c r="B3195" t="str">
        <f>"300019"</f>
        <v>300019</v>
      </c>
      <c r="C3195" t="s">
        <v>13498</v>
      </c>
      <c r="D3195" s="4">
        <v>43190</v>
      </c>
      <c r="E3195" t="s">
        <v>977</v>
      </c>
      <c r="F3195" t="s">
        <v>798</v>
      </c>
      <c r="G3195" t="s">
        <v>103</v>
      </c>
      <c r="H3195">
        <v>0</v>
      </c>
      <c r="I3195">
        <v>2.15</v>
      </c>
      <c r="J3195">
        <v>-0.17</v>
      </c>
      <c r="K3195" t="s">
        <v>93</v>
      </c>
      <c r="L3195">
        <v>25.06</v>
      </c>
      <c r="M3195" t="s">
        <v>13499</v>
      </c>
      <c r="N3195" t="s">
        <v>13500</v>
      </c>
      <c r="O3195" t="s">
        <v>13501</v>
      </c>
      <c r="P3195" t="s">
        <v>5353</v>
      </c>
      <c r="Q3195">
        <v>-132.72</v>
      </c>
      <c r="R3195" t="s">
        <v>167</v>
      </c>
      <c r="S3195">
        <v>0.85</v>
      </c>
      <c r="T3195">
        <v>17.84</v>
      </c>
      <c r="U3195" t="s">
        <v>513</v>
      </c>
      <c r="V3195" t="s">
        <v>3044</v>
      </c>
      <c r="W3195" t="s">
        <v>165</v>
      </c>
      <c r="X3195">
        <v>-0.17</v>
      </c>
      <c r="Y3195" t="s">
        <v>1853</v>
      </c>
      <c r="Z3195" t="s">
        <v>372</v>
      </c>
      <c r="AA3195" t="s">
        <v>13502</v>
      </c>
      <c r="AB3195">
        <v>2.99</v>
      </c>
      <c r="AC3195" t="s">
        <v>627</v>
      </c>
      <c r="AD3195">
        <v>78.59</v>
      </c>
      <c r="AE3195" t="s">
        <v>13503</v>
      </c>
      <c r="AF3195">
        <v>0.15</v>
      </c>
      <c r="AG3195">
        <v>0</v>
      </c>
      <c r="AH3195">
        <v>0</v>
      </c>
      <c r="AI3195" s="4">
        <v>40116</v>
      </c>
    </row>
    <row r="3196" spans="1:35">
      <c r="A3196">
        <v>3195</v>
      </c>
      <c r="B3196" t="str">
        <f>"002028"</f>
        <v>002028</v>
      </c>
      <c r="C3196" t="s">
        <v>13504</v>
      </c>
      <c r="D3196" s="4">
        <v>43190</v>
      </c>
      <c r="E3196" t="s">
        <v>1903</v>
      </c>
      <c r="F3196" t="s">
        <v>2571</v>
      </c>
      <c r="G3196" t="s">
        <v>5442</v>
      </c>
      <c r="H3196">
        <v>-0.01</v>
      </c>
      <c r="I3196">
        <v>5.61</v>
      </c>
      <c r="J3196">
        <v>-0.17</v>
      </c>
      <c r="K3196" t="s">
        <v>1965</v>
      </c>
      <c r="L3196">
        <v>-3.13</v>
      </c>
      <c r="M3196" t="s">
        <v>13505</v>
      </c>
      <c r="N3196" t="s">
        <v>13060</v>
      </c>
      <c r="O3196" t="s">
        <v>13506</v>
      </c>
      <c r="P3196" t="s">
        <v>13507</v>
      </c>
      <c r="Q3196">
        <v>-144.06</v>
      </c>
      <c r="R3196" t="s">
        <v>1054</v>
      </c>
      <c r="S3196">
        <v>4.1100000000000003</v>
      </c>
      <c r="T3196">
        <v>31.96</v>
      </c>
      <c r="U3196" t="s">
        <v>4158</v>
      </c>
      <c r="V3196" t="s">
        <v>956</v>
      </c>
      <c r="W3196" t="s">
        <v>5842</v>
      </c>
      <c r="X3196">
        <v>-0.17</v>
      </c>
      <c r="Y3196" t="s">
        <v>775</v>
      </c>
      <c r="Z3196" t="s">
        <v>304</v>
      </c>
      <c r="AA3196" t="s">
        <v>13508</v>
      </c>
      <c r="AB3196">
        <v>2.74</v>
      </c>
      <c r="AC3196" t="s">
        <v>528</v>
      </c>
      <c r="AD3196">
        <v>69.599999999999994</v>
      </c>
      <c r="AE3196" t="s">
        <v>13509</v>
      </c>
      <c r="AF3196">
        <v>0.08</v>
      </c>
      <c r="AG3196">
        <v>0</v>
      </c>
      <c r="AH3196">
        <v>0</v>
      </c>
      <c r="AI3196" s="4">
        <v>38204</v>
      </c>
    </row>
    <row r="3197" spans="1:35">
      <c r="A3197">
        <v>3196</v>
      </c>
      <c r="B3197" t="str">
        <f>"600339"</f>
        <v>600339</v>
      </c>
      <c r="C3197" t="s">
        <v>13510</v>
      </c>
      <c r="D3197" s="4">
        <v>43190</v>
      </c>
      <c r="E3197" t="s">
        <v>1110</v>
      </c>
      <c r="F3197" t="s">
        <v>747</v>
      </c>
      <c r="G3197" t="s">
        <v>5588</v>
      </c>
      <c r="H3197">
        <v>-0.01</v>
      </c>
      <c r="I3197">
        <v>4.07</v>
      </c>
      <c r="J3197">
        <v>-0.18</v>
      </c>
      <c r="K3197" t="s">
        <v>3287</v>
      </c>
      <c r="L3197">
        <v>15.65</v>
      </c>
      <c r="M3197" t="s">
        <v>13511</v>
      </c>
      <c r="N3197" t="s">
        <v>4391</v>
      </c>
      <c r="O3197" t="s">
        <v>209</v>
      </c>
      <c r="P3197" t="s">
        <v>13512</v>
      </c>
      <c r="Q3197">
        <v>-113.42</v>
      </c>
      <c r="R3197" t="s">
        <v>1693</v>
      </c>
      <c r="S3197">
        <v>0.38</v>
      </c>
      <c r="T3197">
        <v>12.69</v>
      </c>
      <c r="U3197" t="s">
        <v>13513</v>
      </c>
      <c r="V3197" t="s">
        <v>13514</v>
      </c>
      <c r="W3197" t="s">
        <v>1125</v>
      </c>
      <c r="X3197">
        <v>-0.18</v>
      </c>
      <c r="Y3197" t="s">
        <v>3937</v>
      </c>
      <c r="Z3197" t="s">
        <v>13515</v>
      </c>
      <c r="AA3197" t="s">
        <v>1052</v>
      </c>
      <c r="AB3197">
        <v>0.96</v>
      </c>
      <c r="AC3197" t="s">
        <v>1931</v>
      </c>
      <c r="AD3197">
        <v>24.5</v>
      </c>
      <c r="AE3197" t="s">
        <v>1222</v>
      </c>
      <c r="AF3197">
        <v>2.6</v>
      </c>
      <c r="AG3197">
        <v>0</v>
      </c>
      <c r="AH3197">
        <v>0</v>
      </c>
      <c r="AI3197" s="4">
        <v>36885</v>
      </c>
    </row>
    <row r="3198" spans="1:35">
      <c r="A3198">
        <v>3197</v>
      </c>
      <c r="B3198" t="str">
        <f>"600145"</f>
        <v>600145</v>
      </c>
      <c r="C3198" t="s">
        <v>13516</v>
      </c>
      <c r="D3198" s="4">
        <v>43190</v>
      </c>
      <c r="E3198" t="s">
        <v>759</v>
      </c>
      <c r="F3198" t="s">
        <v>759</v>
      </c>
      <c r="G3198" t="s">
        <v>11491</v>
      </c>
      <c r="H3198">
        <v>0</v>
      </c>
      <c r="I3198">
        <v>0.42</v>
      </c>
      <c r="J3198">
        <v>-0.18</v>
      </c>
      <c r="K3198">
        <v>0</v>
      </c>
      <c r="L3198">
        <v>0</v>
      </c>
      <c r="M3198" t="s">
        <v>212</v>
      </c>
      <c r="N3198">
        <v>0</v>
      </c>
      <c r="O3198" t="s">
        <v>212</v>
      </c>
      <c r="P3198" t="s">
        <v>212</v>
      </c>
      <c r="Q3198">
        <v>-551.63</v>
      </c>
      <c r="R3198" t="s">
        <v>13517</v>
      </c>
      <c r="S3198">
        <v>-1.62</v>
      </c>
      <c r="T3198">
        <v>0</v>
      </c>
      <c r="U3198" t="s">
        <v>2781</v>
      </c>
      <c r="V3198" t="s">
        <v>2781</v>
      </c>
      <c r="W3198" t="s">
        <v>12524</v>
      </c>
      <c r="X3198">
        <v>-0.18</v>
      </c>
      <c r="Y3198" t="s">
        <v>916</v>
      </c>
      <c r="Z3198" t="s">
        <v>1475</v>
      </c>
      <c r="AA3198" t="s">
        <v>802</v>
      </c>
      <c r="AB3198">
        <v>4.46</v>
      </c>
      <c r="AC3198" t="s">
        <v>1015</v>
      </c>
      <c r="AD3198">
        <v>72.55</v>
      </c>
      <c r="AE3198" t="s">
        <v>547</v>
      </c>
      <c r="AF3198">
        <v>1.02</v>
      </c>
      <c r="AG3198">
        <v>0</v>
      </c>
      <c r="AH3198">
        <v>0</v>
      </c>
      <c r="AI3198" s="4">
        <v>36426</v>
      </c>
    </row>
    <row r="3199" spans="1:35">
      <c r="A3199">
        <v>3198</v>
      </c>
      <c r="B3199" t="str">
        <f>"000677"</f>
        <v>000677</v>
      </c>
      <c r="C3199" t="s">
        <v>13518</v>
      </c>
      <c r="D3199" s="4">
        <v>43190</v>
      </c>
      <c r="E3199" t="s">
        <v>5703</v>
      </c>
      <c r="F3199" t="s">
        <v>5703</v>
      </c>
      <c r="G3199" t="s">
        <v>3310</v>
      </c>
      <c r="H3199">
        <v>0</v>
      </c>
      <c r="I3199">
        <v>0.31</v>
      </c>
      <c r="J3199">
        <v>-0.18</v>
      </c>
      <c r="K3199" t="s">
        <v>2034</v>
      </c>
      <c r="L3199">
        <v>11.77</v>
      </c>
      <c r="M3199" t="s">
        <v>4245</v>
      </c>
      <c r="N3199">
        <v>0</v>
      </c>
      <c r="O3199" t="s">
        <v>13519</v>
      </c>
      <c r="P3199" t="s">
        <v>13520</v>
      </c>
      <c r="Q3199">
        <v>-126.84</v>
      </c>
      <c r="R3199" t="s">
        <v>12407</v>
      </c>
      <c r="S3199">
        <v>-1.74</v>
      </c>
      <c r="T3199">
        <v>9.7100000000000009</v>
      </c>
      <c r="U3199" t="s">
        <v>2683</v>
      </c>
      <c r="V3199" t="s">
        <v>2132</v>
      </c>
      <c r="W3199" t="s">
        <v>2224</v>
      </c>
      <c r="X3199">
        <v>-0.18</v>
      </c>
      <c r="Y3199" t="s">
        <v>118</v>
      </c>
      <c r="Z3199" t="s">
        <v>368</v>
      </c>
      <c r="AA3199" t="s">
        <v>13521</v>
      </c>
      <c r="AB3199">
        <v>10.58</v>
      </c>
      <c r="AC3199" t="s">
        <v>1511</v>
      </c>
      <c r="AD3199">
        <v>31.62</v>
      </c>
      <c r="AE3199" t="s">
        <v>1394</v>
      </c>
      <c r="AF3199">
        <v>0.81</v>
      </c>
      <c r="AG3199">
        <v>0</v>
      </c>
      <c r="AH3199">
        <v>0</v>
      </c>
      <c r="AI3199" s="4">
        <v>35425</v>
      </c>
    </row>
    <row r="3200" spans="1:35">
      <c r="A3200">
        <v>3199</v>
      </c>
      <c r="B3200" t="str">
        <f>"600984"</f>
        <v>600984</v>
      </c>
      <c r="C3200" t="s">
        <v>13522</v>
      </c>
      <c r="D3200" s="4">
        <v>43190</v>
      </c>
      <c r="E3200" t="s">
        <v>1909</v>
      </c>
      <c r="F3200" t="s">
        <v>1212</v>
      </c>
      <c r="G3200" t="s">
        <v>4774</v>
      </c>
      <c r="H3200">
        <v>-0.01</v>
      </c>
      <c r="I3200">
        <v>5.04</v>
      </c>
      <c r="J3200">
        <v>-0.19</v>
      </c>
      <c r="K3200" t="s">
        <v>3482</v>
      </c>
      <c r="L3200">
        <v>35.57</v>
      </c>
      <c r="M3200" t="s">
        <v>10234</v>
      </c>
      <c r="N3200">
        <v>0</v>
      </c>
      <c r="O3200">
        <v>-6468</v>
      </c>
      <c r="P3200" t="s">
        <v>13523</v>
      </c>
      <c r="Q3200">
        <v>39.590000000000003</v>
      </c>
      <c r="R3200" t="s">
        <v>7733</v>
      </c>
      <c r="S3200">
        <v>-0.38</v>
      </c>
      <c r="T3200">
        <v>26.35</v>
      </c>
      <c r="U3200" t="s">
        <v>1531</v>
      </c>
      <c r="V3200" t="s">
        <v>1625</v>
      </c>
      <c r="W3200" t="s">
        <v>1515</v>
      </c>
      <c r="X3200">
        <v>-0.19</v>
      </c>
      <c r="Y3200" t="s">
        <v>1601</v>
      </c>
      <c r="Z3200" t="s">
        <v>238</v>
      </c>
      <c r="AA3200" t="s">
        <v>1714</v>
      </c>
      <c r="AB3200">
        <v>1.29</v>
      </c>
      <c r="AC3200" t="s">
        <v>2535</v>
      </c>
      <c r="AD3200">
        <v>47.29</v>
      </c>
      <c r="AE3200" t="s">
        <v>502</v>
      </c>
      <c r="AF3200">
        <v>4.38</v>
      </c>
      <c r="AG3200">
        <v>0</v>
      </c>
      <c r="AH3200">
        <v>0</v>
      </c>
      <c r="AI3200" s="4">
        <v>38175</v>
      </c>
    </row>
    <row r="3201" spans="1:35">
      <c r="A3201">
        <v>3200</v>
      </c>
      <c r="B3201" t="str">
        <f>"002396"</f>
        <v>002396</v>
      </c>
      <c r="C3201" t="s">
        <v>13524</v>
      </c>
      <c r="D3201" s="4">
        <v>43190</v>
      </c>
      <c r="E3201" t="s">
        <v>2739</v>
      </c>
      <c r="F3201" t="s">
        <v>289</v>
      </c>
      <c r="G3201" t="s">
        <v>7516</v>
      </c>
      <c r="H3201">
        <v>-0.01</v>
      </c>
      <c r="I3201">
        <v>5.47</v>
      </c>
      <c r="J3201">
        <v>-0.21</v>
      </c>
      <c r="K3201" t="s">
        <v>840</v>
      </c>
      <c r="L3201">
        <v>64.03</v>
      </c>
      <c r="M3201" t="s">
        <v>13525</v>
      </c>
      <c r="N3201" t="s">
        <v>5384</v>
      </c>
      <c r="O3201" t="s">
        <v>13526</v>
      </c>
      <c r="P3201" t="s">
        <v>13527</v>
      </c>
      <c r="Q3201">
        <v>64.08</v>
      </c>
      <c r="R3201" t="s">
        <v>79</v>
      </c>
      <c r="S3201">
        <v>2.97</v>
      </c>
      <c r="T3201">
        <v>23.48</v>
      </c>
      <c r="U3201" t="s">
        <v>1134</v>
      </c>
      <c r="V3201" t="s">
        <v>2917</v>
      </c>
      <c r="W3201" t="s">
        <v>1959</v>
      </c>
      <c r="X3201">
        <v>-0.21</v>
      </c>
      <c r="Y3201" t="s">
        <v>1920</v>
      </c>
      <c r="Z3201" t="s">
        <v>1255</v>
      </c>
      <c r="AA3201" t="s">
        <v>11027</v>
      </c>
      <c r="AB3201">
        <v>3.47</v>
      </c>
      <c r="AC3201" t="s">
        <v>733</v>
      </c>
      <c r="AD3201">
        <v>55.26</v>
      </c>
      <c r="AE3201" t="s">
        <v>3281</v>
      </c>
      <c r="AF3201">
        <v>1.21</v>
      </c>
      <c r="AG3201">
        <v>0</v>
      </c>
      <c r="AH3201">
        <v>0</v>
      </c>
      <c r="AI3201" s="4">
        <v>40352</v>
      </c>
    </row>
    <row r="3202" spans="1:35">
      <c r="A3202">
        <v>3201</v>
      </c>
      <c r="B3202" t="str">
        <f>"002212"</f>
        <v>002212</v>
      </c>
      <c r="C3202" t="s">
        <v>13528</v>
      </c>
      <c r="D3202" s="4">
        <v>43190</v>
      </c>
      <c r="E3202" t="s">
        <v>973</v>
      </c>
      <c r="F3202" t="s">
        <v>690</v>
      </c>
      <c r="G3202" t="s">
        <v>7574</v>
      </c>
      <c r="H3202">
        <v>-0.01</v>
      </c>
      <c r="I3202">
        <v>6.94</v>
      </c>
      <c r="J3202">
        <v>-0.21</v>
      </c>
      <c r="K3202" t="s">
        <v>5928</v>
      </c>
      <c r="L3202">
        <v>43.45</v>
      </c>
      <c r="M3202" t="s">
        <v>13529</v>
      </c>
      <c r="N3202" t="s">
        <v>12649</v>
      </c>
      <c r="O3202" t="s">
        <v>13530</v>
      </c>
      <c r="P3202" t="s">
        <v>13531</v>
      </c>
      <c r="Q3202">
        <v>44.37</v>
      </c>
      <c r="R3202" t="s">
        <v>323</v>
      </c>
      <c r="S3202">
        <v>0.97</v>
      </c>
      <c r="T3202">
        <v>12.32</v>
      </c>
      <c r="U3202" t="s">
        <v>4691</v>
      </c>
      <c r="V3202" t="s">
        <v>1174</v>
      </c>
      <c r="W3202" t="s">
        <v>2095</v>
      </c>
      <c r="X3202">
        <v>-0.21</v>
      </c>
      <c r="Y3202" t="s">
        <v>983</v>
      </c>
      <c r="Z3202" t="s">
        <v>2235</v>
      </c>
      <c r="AA3202" t="s">
        <v>4404</v>
      </c>
      <c r="AB3202">
        <v>1.74</v>
      </c>
      <c r="AC3202" t="s">
        <v>874</v>
      </c>
      <c r="AD3202">
        <v>83.33</v>
      </c>
      <c r="AE3202" t="s">
        <v>1095</v>
      </c>
      <c r="AF3202">
        <v>4.8899999999999997</v>
      </c>
      <c r="AG3202">
        <v>0</v>
      </c>
      <c r="AH3202">
        <v>0</v>
      </c>
      <c r="AI3202" s="4">
        <v>39479</v>
      </c>
    </row>
    <row r="3203" spans="1:35">
      <c r="A3203">
        <v>3202</v>
      </c>
      <c r="B3203" t="str">
        <f>"000029"</f>
        <v>000029</v>
      </c>
      <c r="C3203" t="s">
        <v>13532</v>
      </c>
      <c r="D3203" s="4">
        <v>43190</v>
      </c>
      <c r="E3203" t="s">
        <v>1094</v>
      </c>
      <c r="F3203" t="s">
        <v>299</v>
      </c>
      <c r="G3203">
        <v>0</v>
      </c>
      <c r="H3203">
        <v>-0.01</v>
      </c>
      <c r="I3203">
        <v>2.79</v>
      </c>
      <c r="J3203">
        <v>-0.21</v>
      </c>
      <c r="K3203" t="s">
        <v>609</v>
      </c>
      <c r="L3203">
        <v>-45.03</v>
      </c>
      <c r="M3203" t="s">
        <v>13533</v>
      </c>
      <c r="N3203" t="s">
        <v>6854</v>
      </c>
      <c r="O3203" t="s">
        <v>13534</v>
      </c>
      <c r="P3203" t="s">
        <v>13535</v>
      </c>
      <c r="Q3203">
        <v>-117.28</v>
      </c>
      <c r="R3203" t="s">
        <v>46</v>
      </c>
      <c r="S3203">
        <v>0.73</v>
      </c>
      <c r="T3203">
        <v>9.89</v>
      </c>
      <c r="U3203" t="s">
        <v>351</v>
      </c>
      <c r="V3203" t="s">
        <v>1127</v>
      </c>
      <c r="W3203" t="s">
        <v>10999</v>
      </c>
      <c r="X3203">
        <v>-0.21</v>
      </c>
      <c r="Y3203" t="s">
        <v>141</v>
      </c>
      <c r="Z3203" t="s">
        <v>263</v>
      </c>
      <c r="AA3203" t="s">
        <v>13536</v>
      </c>
      <c r="AB3203">
        <v>4</v>
      </c>
      <c r="AC3203" t="s">
        <v>1881</v>
      </c>
      <c r="AD3203">
        <v>67.69</v>
      </c>
      <c r="AE3203" t="s">
        <v>722</v>
      </c>
      <c r="AF3203">
        <v>0.97</v>
      </c>
      <c r="AG3203" t="s">
        <v>280</v>
      </c>
      <c r="AH3203">
        <v>0</v>
      </c>
      <c r="AI3203" s="4">
        <v>34227</v>
      </c>
    </row>
    <row r="3204" spans="1:35">
      <c r="A3204">
        <v>3203</v>
      </c>
      <c r="B3204" t="str">
        <f>"600893"</f>
        <v>600893</v>
      </c>
      <c r="C3204" t="s">
        <v>13537</v>
      </c>
      <c r="D3204" s="4">
        <v>43190</v>
      </c>
      <c r="E3204" t="s">
        <v>565</v>
      </c>
      <c r="F3204" t="s">
        <v>275</v>
      </c>
      <c r="G3204" t="s">
        <v>6050</v>
      </c>
      <c r="H3204">
        <v>-0.03</v>
      </c>
      <c r="I3204">
        <v>11.31</v>
      </c>
      <c r="J3204">
        <v>-0.22</v>
      </c>
      <c r="K3204" t="s">
        <v>1700</v>
      </c>
      <c r="L3204">
        <v>1.8</v>
      </c>
      <c r="M3204" t="s">
        <v>13538</v>
      </c>
      <c r="N3204" t="s">
        <v>8474</v>
      </c>
      <c r="O3204" t="s">
        <v>13539</v>
      </c>
      <c r="P3204" t="s">
        <v>13540</v>
      </c>
      <c r="Q3204">
        <v>36.03</v>
      </c>
      <c r="R3204" t="s">
        <v>2452</v>
      </c>
      <c r="S3204">
        <v>1.7</v>
      </c>
      <c r="T3204">
        <v>18.079999999999998</v>
      </c>
      <c r="U3204" t="s">
        <v>13541</v>
      </c>
      <c r="V3204" t="s">
        <v>556</v>
      </c>
      <c r="W3204" t="s">
        <v>1222</v>
      </c>
      <c r="X3204">
        <v>-0.22</v>
      </c>
      <c r="Y3204" t="s">
        <v>2616</v>
      </c>
      <c r="Z3204" t="s">
        <v>5469</v>
      </c>
      <c r="AA3204" t="s">
        <v>13542</v>
      </c>
      <c r="AB3204">
        <v>1.94</v>
      </c>
      <c r="AC3204" t="s">
        <v>1454</v>
      </c>
      <c r="AD3204">
        <v>49.57</v>
      </c>
      <c r="AE3204" t="s">
        <v>1194</v>
      </c>
      <c r="AF3204">
        <v>8.5</v>
      </c>
      <c r="AG3204">
        <v>0</v>
      </c>
      <c r="AH3204">
        <v>0</v>
      </c>
      <c r="AI3204" s="4">
        <v>35163</v>
      </c>
    </row>
    <row r="3205" spans="1:35">
      <c r="A3205">
        <v>3204</v>
      </c>
      <c r="B3205" t="str">
        <f>"600686"</f>
        <v>600686</v>
      </c>
      <c r="C3205" t="s">
        <v>13543</v>
      </c>
      <c r="D3205" s="4">
        <v>43190</v>
      </c>
      <c r="E3205" t="s">
        <v>2445</v>
      </c>
      <c r="F3205" t="s">
        <v>2445</v>
      </c>
      <c r="G3205" t="s">
        <v>168</v>
      </c>
      <c r="H3205">
        <v>0</v>
      </c>
      <c r="I3205">
        <v>5.81</v>
      </c>
      <c r="J3205">
        <v>-0.22</v>
      </c>
      <c r="K3205" t="s">
        <v>1211</v>
      </c>
      <c r="L3205">
        <v>63.03</v>
      </c>
      <c r="M3205" t="s">
        <v>13544</v>
      </c>
      <c r="N3205" t="s">
        <v>1093</v>
      </c>
      <c r="O3205" t="s">
        <v>13545</v>
      </c>
      <c r="P3205" t="s">
        <v>4369</v>
      </c>
      <c r="Q3205">
        <v>100.71</v>
      </c>
      <c r="R3205" t="s">
        <v>855</v>
      </c>
      <c r="S3205">
        <v>2.48</v>
      </c>
      <c r="T3205">
        <v>11.74</v>
      </c>
      <c r="U3205" t="s">
        <v>2896</v>
      </c>
      <c r="V3205" t="s">
        <v>1193</v>
      </c>
      <c r="W3205" t="s">
        <v>1678</v>
      </c>
      <c r="X3205">
        <v>-0.22</v>
      </c>
      <c r="Y3205" t="s">
        <v>2599</v>
      </c>
      <c r="Z3205" t="s">
        <v>5782</v>
      </c>
      <c r="AA3205" t="s">
        <v>243</v>
      </c>
      <c r="AB3205">
        <v>2.06</v>
      </c>
      <c r="AC3205" t="s">
        <v>2643</v>
      </c>
      <c r="AD3205">
        <v>15.45</v>
      </c>
      <c r="AE3205" t="s">
        <v>835</v>
      </c>
      <c r="AF3205">
        <v>1.86</v>
      </c>
      <c r="AG3205">
        <v>0</v>
      </c>
      <c r="AH3205">
        <v>0</v>
      </c>
      <c r="AI3205" s="4">
        <v>34281</v>
      </c>
    </row>
    <row r="3206" spans="1:35">
      <c r="A3206">
        <v>3205</v>
      </c>
      <c r="B3206" t="str">
        <f>"600249"</f>
        <v>600249</v>
      </c>
      <c r="C3206" t="s">
        <v>13546</v>
      </c>
      <c r="D3206" s="4">
        <v>43190</v>
      </c>
      <c r="E3206" t="s">
        <v>701</v>
      </c>
      <c r="F3206" t="s">
        <v>701</v>
      </c>
      <c r="G3206">
        <v>8184</v>
      </c>
      <c r="H3206">
        <v>-0.01</v>
      </c>
      <c r="I3206">
        <v>3.39</v>
      </c>
      <c r="J3206">
        <v>-0.23</v>
      </c>
      <c r="K3206" t="s">
        <v>2729</v>
      </c>
      <c r="L3206">
        <v>-20.05</v>
      </c>
      <c r="M3206" t="s">
        <v>13523</v>
      </c>
      <c r="N3206" t="s">
        <v>13112</v>
      </c>
      <c r="O3206" t="s">
        <v>13547</v>
      </c>
      <c r="P3206" t="s">
        <v>13548</v>
      </c>
      <c r="Q3206">
        <v>84.23</v>
      </c>
      <c r="R3206" t="s">
        <v>11528</v>
      </c>
      <c r="S3206">
        <v>7.0000000000000007E-2</v>
      </c>
      <c r="T3206">
        <v>19.34</v>
      </c>
      <c r="U3206" t="s">
        <v>1661</v>
      </c>
      <c r="V3206" t="s">
        <v>175</v>
      </c>
      <c r="W3206" t="s">
        <v>277</v>
      </c>
      <c r="X3206">
        <v>-0.23</v>
      </c>
      <c r="Y3206" t="s">
        <v>6545</v>
      </c>
      <c r="Z3206" t="s">
        <v>259</v>
      </c>
      <c r="AA3206" t="s">
        <v>293</v>
      </c>
      <c r="AB3206">
        <v>1.1399999999999999</v>
      </c>
      <c r="AC3206" t="s">
        <v>891</v>
      </c>
      <c r="AD3206">
        <v>70.239999999999995</v>
      </c>
      <c r="AE3206" t="s">
        <v>1509</v>
      </c>
      <c r="AF3206">
        <v>1.56</v>
      </c>
      <c r="AG3206">
        <v>0</v>
      </c>
      <c r="AH3206">
        <v>0</v>
      </c>
      <c r="AI3206" s="4">
        <v>38016</v>
      </c>
    </row>
    <row r="3207" spans="1:35">
      <c r="A3207">
        <v>3206</v>
      </c>
      <c r="B3207" t="str">
        <f>"000877"</f>
        <v>000877</v>
      </c>
      <c r="C3207" t="s">
        <v>13549</v>
      </c>
      <c r="D3207" s="4">
        <v>43190</v>
      </c>
      <c r="E3207" t="s">
        <v>407</v>
      </c>
      <c r="F3207" t="s">
        <v>4194</v>
      </c>
      <c r="G3207">
        <v>7248</v>
      </c>
      <c r="H3207">
        <v>-0.02</v>
      </c>
      <c r="I3207">
        <v>6.89</v>
      </c>
      <c r="J3207">
        <v>-0.23</v>
      </c>
      <c r="K3207" t="s">
        <v>598</v>
      </c>
      <c r="L3207">
        <v>27.86</v>
      </c>
      <c r="M3207" t="s">
        <v>3479</v>
      </c>
      <c r="N3207">
        <v>0</v>
      </c>
      <c r="O3207" t="s">
        <v>10201</v>
      </c>
      <c r="P3207" t="s">
        <v>13550</v>
      </c>
      <c r="Q3207">
        <v>87.27</v>
      </c>
      <c r="R3207" t="s">
        <v>867</v>
      </c>
      <c r="S3207">
        <v>1.58</v>
      </c>
      <c r="T3207">
        <v>34.47</v>
      </c>
      <c r="U3207" t="s">
        <v>5633</v>
      </c>
      <c r="V3207" t="s">
        <v>2136</v>
      </c>
      <c r="W3207" t="s">
        <v>580</v>
      </c>
      <c r="X3207">
        <v>-0.23</v>
      </c>
      <c r="Y3207" t="s">
        <v>12693</v>
      </c>
      <c r="Z3207" t="s">
        <v>1060</v>
      </c>
      <c r="AA3207" t="s">
        <v>1875</v>
      </c>
      <c r="AB3207">
        <v>1.04</v>
      </c>
      <c r="AC3207" t="s">
        <v>3262</v>
      </c>
      <c r="AD3207">
        <v>41.44</v>
      </c>
      <c r="AE3207" t="s">
        <v>1545</v>
      </c>
      <c r="AF3207">
        <v>3.87</v>
      </c>
      <c r="AG3207">
        <v>0</v>
      </c>
      <c r="AH3207">
        <v>0</v>
      </c>
      <c r="AI3207" s="4">
        <v>36167</v>
      </c>
    </row>
    <row r="3208" spans="1:35">
      <c r="A3208">
        <v>3207</v>
      </c>
      <c r="B3208" t="str">
        <f>"600456"</f>
        <v>600456</v>
      </c>
      <c r="C3208" t="s">
        <v>13551</v>
      </c>
      <c r="D3208" s="4">
        <v>43190</v>
      </c>
      <c r="E3208" t="s">
        <v>914</v>
      </c>
      <c r="F3208" t="s">
        <v>914</v>
      </c>
      <c r="G3208" t="s">
        <v>4495</v>
      </c>
      <c r="H3208">
        <v>-0.02</v>
      </c>
      <c r="I3208">
        <v>7.94</v>
      </c>
      <c r="J3208">
        <v>-0.24</v>
      </c>
      <c r="K3208" t="s">
        <v>2456</v>
      </c>
      <c r="L3208">
        <v>24.35</v>
      </c>
      <c r="M3208" t="s">
        <v>4887</v>
      </c>
      <c r="N3208">
        <v>0</v>
      </c>
      <c r="O3208" t="s">
        <v>3991</v>
      </c>
      <c r="P3208" t="s">
        <v>10164</v>
      </c>
      <c r="Q3208">
        <v>77.16</v>
      </c>
      <c r="R3208" t="s">
        <v>3044</v>
      </c>
      <c r="S3208">
        <v>1.02</v>
      </c>
      <c r="T3208">
        <v>15.44</v>
      </c>
      <c r="U3208" t="s">
        <v>2797</v>
      </c>
      <c r="V3208" t="s">
        <v>2245</v>
      </c>
      <c r="W3208" t="s">
        <v>2291</v>
      </c>
      <c r="X3208">
        <v>-0.24</v>
      </c>
      <c r="Y3208" t="s">
        <v>2901</v>
      </c>
      <c r="Z3208" t="s">
        <v>576</v>
      </c>
      <c r="AA3208" t="s">
        <v>924</v>
      </c>
      <c r="AB3208">
        <v>1.69</v>
      </c>
      <c r="AC3208" t="s">
        <v>1263</v>
      </c>
      <c r="AD3208">
        <v>47.55</v>
      </c>
      <c r="AE3208" t="s">
        <v>2273</v>
      </c>
      <c r="AF3208">
        <v>5.51</v>
      </c>
      <c r="AG3208">
        <v>0</v>
      </c>
      <c r="AH3208">
        <v>0</v>
      </c>
      <c r="AI3208" s="4">
        <v>37358</v>
      </c>
    </row>
    <row r="3209" spans="1:35">
      <c r="A3209">
        <v>3208</v>
      </c>
      <c r="B3209" t="str">
        <f>"600455"</f>
        <v>600455</v>
      </c>
      <c r="C3209" t="s">
        <v>13552</v>
      </c>
      <c r="D3209" s="4">
        <v>43190</v>
      </c>
      <c r="E3209" t="s">
        <v>13553</v>
      </c>
      <c r="F3209" t="s">
        <v>13553</v>
      </c>
      <c r="G3209" t="s">
        <v>4665</v>
      </c>
      <c r="H3209">
        <v>0</v>
      </c>
      <c r="I3209">
        <v>2.0499999999999998</v>
      </c>
      <c r="J3209">
        <v>-0.24</v>
      </c>
      <c r="K3209" t="s">
        <v>6592</v>
      </c>
      <c r="L3209">
        <v>5.12</v>
      </c>
      <c r="M3209" t="s">
        <v>13554</v>
      </c>
      <c r="N3209">
        <v>30</v>
      </c>
      <c r="O3209" t="s">
        <v>4204</v>
      </c>
      <c r="P3209" t="s">
        <v>13555</v>
      </c>
      <c r="Q3209">
        <v>88.82</v>
      </c>
      <c r="R3209" t="s">
        <v>13556</v>
      </c>
      <c r="S3209">
        <v>-1.4</v>
      </c>
      <c r="T3209">
        <v>51.22</v>
      </c>
      <c r="U3209" t="s">
        <v>941</v>
      </c>
      <c r="V3209" t="s">
        <v>326</v>
      </c>
      <c r="W3209" t="s">
        <v>1706</v>
      </c>
      <c r="X3209">
        <v>-0.24</v>
      </c>
      <c r="Y3209" t="s">
        <v>348</v>
      </c>
      <c r="Z3209" t="s">
        <v>856</v>
      </c>
      <c r="AA3209" t="s">
        <v>12415</v>
      </c>
      <c r="AB3209">
        <v>10.87</v>
      </c>
      <c r="AC3209" t="s">
        <v>86</v>
      </c>
      <c r="AD3209">
        <v>19.93</v>
      </c>
      <c r="AE3209" t="s">
        <v>93</v>
      </c>
      <c r="AF3209">
        <v>2.33</v>
      </c>
      <c r="AG3209">
        <v>0</v>
      </c>
      <c r="AH3209">
        <v>0</v>
      </c>
      <c r="AI3209" s="4">
        <v>38075</v>
      </c>
    </row>
    <row r="3210" spans="1:35">
      <c r="A3210">
        <v>3209</v>
      </c>
      <c r="B3210" t="str">
        <f>"002665"</f>
        <v>002665</v>
      </c>
      <c r="C3210" t="s">
        <v>13557</v>
      </c>
      <c r="D3210" s="4">
        <v>43190</v>
      </c>
      <c r="E3210" t="s">
        <v>2542</v>
      </c>
      <c r="F3210" t="s">
        <v>79</v>
      </c>
      <c r="G3210" t="s">
        <v>13558</v>
      </c>
      <c r="H3210">
        <v>-0.01</v>
      </c>
      <c r="I3210">
        <v>2.89</v>
      </c>
      <c r="J3210">
        <v>-0.24</v>
      </c>
      <c r="K3210" t="s">
        <v>13559</v>
      </c>
      <c r="L3210">
        <v>25.65</v>
      </c>
      <c r="M3210" t="s">
        <v>13560</v>
      </c>
      <c r="N3210" t="s">
        <v>13561</v>
      </c>
      <c r="O3210" t="s">
        <v>13562</v>
      </c>
      <c r="P3210" t="s">
        <v>13563</v>
      </c>
      <c r="Q3210">
        <v>51.81</v>
      </c>
      <c r="R3210" t="s">
        <v>650</v>
      </c>
      <c r="S3210">
        <v>0.28999999999999998</v>
      </c>
      <c r="T3210">
        <v>10.9</v>
      </c>
      <c r="U3210" t="s">
        <v>1171</v>
      </c>
      <c r="V3210" t="s">
        <v>2286</v>
      </c>
      <c r="W3210" t="s">
        <v>354</v>
      </c>
      <c r="X3210">
        <v>-0.24</v>
      </c>
      <c r="Y3210" t="s">
        <v>908</v>
      </c>
      <c r="Z3210" t="s">
        <v>1307</v>
      </c>
      <c r="AA3210" t="s">
        <v>1264</v>
      </c>
      <c r="AB3210">
        <v>2</v>
      </c>
      <c r="AC3210" t="s">
        <v>7536</v>
      </c>
      <c r="AD3210">
        <v>81.13</v>
      </c>
      <c r="AE3210" t="s">
        <v>588</v>
      </c>
      <c r="AF3210">
        <v>1.56</v>
      </c>
      <c r="AG3210">
        <v>0</v>
      </c>
      <c r="AH3210">
        <v>0</v>
      </c>
      <c r="AI3210" s="4">
        <v>40995</v>
      </c>
    </row>
    <row r="3211" spans="1:35">
      <c r="A3211">
        <v>3210</v>
      </c>
      <c r="B3211" t="str">
        <f>"002213"</f>
        <v>002213</v>
      </c>
      <c r="C3211" t="s">
        <v>13564</v>
      </c>
      <c r="D3211" s="4">
        <v>43190</v>
      </c>
      <c r="E3211" t="s">
        <v>1970</v>
      </c>
      <c r="F3211" t="s">
        <v>1860</v>
      </c>
      <c r="G3211" t="s">
        <v>9012</v>
      </c>
      <c r="H3211">
        <v>0</v>
      </c>
      <c r="I3211">
        <v>1.77</v>
      </c>
      <c r="J3211">
        <v>-0.24</v>
      </c>
      <c r="K3211" t="s">
        <v>7946</v>
      </c>
      <c r="L3211">
        <v>30.56</v>
      </c>
      <c r="M3211" t="s">
        <v>13565</v>
      </c>
      <c r="N3211" t="s">
        <v>6177</v>
      </c>
      <c r="O3211" t="s">
        <v>13566</v>
      </c>
      <c r="P3211" t="s">
        <v>13567</v>
      </c>
      <c r="Q3211">
        <v>44.18</v>
      </c>
      <c r="R3211" t="s">
        <v>2306</v>
      </c>
      <c r="S3211">
        <v>0.64</v>
      </c>
      <c r="T3211">
        <v>36.200000000000003</v>
      </c>
      <c r="U3211" t="s">
        <v>4756</v>
      </c>
      <c r="V3211" t="s">
        <v>499</v>
      </c>
      <c r="W3211" t="s">
        <v>8713</v>
      </c>
      <c r="X3211">
        <v>-0.24</v>
      </c>
      <c r="Y3211" t="s">
        <v>13568</v>
      </c>
      <c r="Z3211" t="s">
        <v>13568</v>
      </c>
      <c r="AA3211">
        <v>0</v>
      </c>
      <c r="AB3211">
        <v>6.69</v>
      </c>
      <c r="AC3211" t="s">
        <v>340</v>
      </c>
      <c r="AD3211">
        <v>85.63</v>
      </c>
      <c r="AE3211" t="s">
        <v>13569</v>
      </c>
      <c r="AF3211">
        <v>0</v>
      </c>
      <c r="AG3211">
        <v>0</v>
      </c>
      <c r="AH3211">
        <v>0</v>
      </c>
      <c r="AI3211" s="4">
        <v>39479</v>
      </c>
    </row>
    <row r="3212" spans="1:35">
      <c r="A3212">
        <v>3211</v>
      </c>
      <c r="B3212" t="str">
        <f>"300581"</f>
        <v>300581</v>
      </c>
      <c r="C3212" t="s">
        <v>13570</v>
      </c>
      <c r="D3212" s="4">
        <v>43190</v>
      </c>
      <c r="E3212" t="s">
        <v>9157</v>
      </c>
      <c r="F3212" t="s">
        <v>8702</v>
      </c>
      <c r="G3212">
        <v>3017</v>
      </c>
      <c r="H3212">
        <v>-0.02</v>
      </c>
      <c r="I3212">
        <v>6.17</v>
      </c>
      <c r="J3212">
        <v>-0.25</v>
      </c>
      <c r="K3212" t="s">
        <v>13157</v>
      </c>
      <c r="L3212">
        <v>-49.9</v>
      </c>
      <c r="M3212" t="s">
        <v>6710</v>
      </c>
      <c r="N3212" t="s">
        <v>13571</v>
      </c>
      <c r="O3212" t="s">
        <v>6710</v>
      </c>
      <c r="P3212" t="s">
        <v>13408</v>
      </c>
      <c r="Q3212">
        <v>-136.83000000000001</v>
      </c>
      <c r="R3212" t="s">
        <v>844</v>
      </c>
      <c r="S3212">
        <v>2.27</v>
      </c>
      <c r="T3212">
        <v>58.22</v>
      </c>
      <c r="U3212" t="s">
        <v>2456</v>
      </c>
      <c r="V3212" t="s">
        <v>494</v>
      </c>
      <c r="W3212" t="s">
        <v>3949</v>
      </c>
      <c r="X3212">
        <v>-0.25</v>
      </c>
      <c r="Y3212" t="s">
        <v>993</v>
      </c>
      <c r="Z3212" t="s">
        <v>45</v>
      </c>
      <c r="AA3212" t="s">
        <v>13572</v>
      </c>
      <c r="AB3212">
        <v>4.08</v>
      </c>
      <c r="AC3212" t="s">
        <v>695</v>
      </c>
      <c r="AD3212">
        <v>80.27</v>
      </c>
      <c r="AE3212" t="s">
        <v>2733</v>
      </c>
      <c r="AF3212">
        <v>2.5</v>
      </c>
      <c r="AG3212">
        <v>0</v>
      </c>
      <c r="AH3212">
        <v>0</v>
      </c>
      <c r="AI3212" s="4">
        <v>42724</v>
      </c>
    </row>
    <row r="3213" spans="1:35">
      <c r="A3213">
        <v>3212</v>
      </c>
      <c r="B3213" t="str">
        <f>"000901"</f>
        <v>000901</v>
      </c>
      <c r="C3213" t="s">
        <v>13573</v>
      </c>
      <c r="D3213" s="4">
        <v>43190</v>
      </c>
      <c r="E3213" t="s">
        <v>1241</v>
      </c>
      <c r="F3213" t="s">
        <v>3420</v>
      </c>
      <c r="G3213">
        <v>6354</v>
      </c>
      <c r="H3213">
        <v>-0.02</v>
      </c>
      <c r="I3213">
        <v>6.15</v>
      </c>
      <c r="J3213">
        <v>-0.28000000000000003</v>
      </c>
      <c r="K3213" t="s">
        <v>176</v>
      </c>
      <c r="L3213">
        <v>-0.41</v>
      </c>
      <c r="M3213" t="s">
        <v>13574</v>
      </c>
      <c r="N3213" t="s">
        <v>643</v>
      </c>
      <c r="O3213" t="s">
        <v>11760</v>
      </c>
      <c r="P3213" t="s">
        <v>13575</v>
      </c>
      <c r="Q3213">
        <v>-148.87</v>
      </c>
      <c r="R3213" t="s">
        <v>3293</v>
      </c>
      <c r="S3213">
        <v>1.1100000000000001</v>
      </c>
      <c r="T3213">
        <v>19.13</v>
      </c>
      <c r="U3213" t="s">
        <v>2868</v>
      </c>
      <c r="V3213" t="s">
        <v>4558</v>
      </c>
      <c r="W3213" t="s">
        <v>1198</v>
      </c>
      <c r="X3213">
        <v>-0.28000000000000003</v>
      </c>
      <c r="Y3213" t="s">
        <v>1029</v>
      </c>
      <c r="Z3213" t="s">
        <v>115</v>
      </c>
      <c r="AA3213" t="s">
        <v>417</v>
      </c>
      <c r="AB3213">
        <v>1.56</v>
      </c>
      <c r="AC3213" t="s">
        <v>1211</v>
      </c>
      <c r="AD3213">
        <v>60.36</v>
      </c>
      <c r="AE3213" t="s">
        <v>1832</v>
      </c>
      <c r="AF3213">
        <v>3.92</v>
      </c>
      <c r="AG3213">
        <v>0</v>
      </c>
      <c r="AH3213">
        <v>0</v>
      </c>
      <c r="AI3213" s="4">
        <v>36251</v>
      </c>
    </row>
    <row r="3214" spans="1:35">
      <c r="A3214">
        <v>3213</v>
      </c>
      <c r="B3214" t="str">
        <f>"300167"</f>
        <v>300167</v>
      </c>
      <c r="C3214" t="s">
        <v>13576</v>
      </c>
      <c r="D3214" s="4">
        <v>43190</v>
      </c>
      <c r="E3214" t="s">
        <v>120</v>
      </c>
      <c r="F3214" t="s">
        <v>120</v>
      </c>
      <c r="G3214" t="s">
        <v>1381</v>
      </c>
      <c r="H3214">
        <v>-0.01</v>
      </c>
      <c r="I3214">
        <v>2.35</v>
      </c>
      <c r="J3214">
        <v>-0.28999999999999998</v>
      </c>
      <c r="K3214" t="s">
        <v>13577</v>
      </c>
      <c r="L3214">
        <v>-27.95</v>
      </c>
      <c r="M3214" t="s">
        <v>13578</v>
      </c>
      <c r="N3214" t="s">
        <v>4146</v>
      </c>
      <c r="O3214" t="s">
        <v>13579</v>
      </c>
      <c r="P3214" t="s">
        <v>13580</v>
      </c>
      <c r="Q3214">
        <v>27.38</v>
      </c>
      <c r="R3214" t="s">
        <v>13581</v>
      </c>
      <c r="S3214">
        <v>0.27</v>
      </c>
      <c r="T3214">
        <v>18.11</v>
      </c>
      <c r="U3214" t="s">
        <v>405</v>
      </c>
      <c r="V3214" t="s">
        <v>1493</v>
      </c>
      <c r="W3214" t="s">
        <v>11617</v>
      </c>
      <c r="X3214">
        <v>-0.28999999999999998</v>
      </c>
      <c r="Y3214" t="s">
        <v>364</v>
      </c>
      <c r="Z3214" t="s">
        <v>4044</v>
      </c>
      <c r="AA3214" t="s">
        <v>10924</v>
      </c>
      <c r="AB3214">
        <v>2.0499999999999998</v>
      </c>
      <c r="AC3214" t="s">
        <v>1770</v>
      </c>
      <c r="AD3214">
        <v>57.29</v>
      </c>
      <c r="AE3214" t="s">
        <v>121</v>
      </c>
      <c r="AF3214">
        <v>1.04</v>
      </c>
      <c r="AG3214">
        <v>0</v>
      </c>
      <c r="AH3214">
        <v>0</v>
      </c>
      <c r="AI3214" s="4">
        <v>40568</v>
      </c>
    </row>
    <row r="3215" spans="1:35">
      <c r="A3215">
        <v>3214</v>
      </c>
      <c r="B3215" t="str">
        <f>"601890"</f>
        <v>601890</v>
      </c>
      <c r="C3215" t="s">
        <v>13582</v>
      </c>
      <c r="D3215" s="4">
        <v>43190</v>
      </c>
      <c r="E3215" t="s">
        <v>4861</v>
      </c>
      <c r="F3215" t="s">
        <v>4861</v>
      </c>
      <c r="G3215">
        <v>6554</v>
      </c>
      <c r="H3215">
        <v>-0.01</v>
      </c>
      <c r="I3215">
        <v>3.03</v>
      </c>
      <c r="J3215">
        <v>-0.3</v>
      </c>
      <c r="K3215" t="s">
        <v>1435</v>
      </c>
      <c r="L3215">
        <v>-6.93</v>
      </c>
      <c r="M3215" t="s">
        <v>13583</v>
      </c>
      <c r="N3215" t="s">
        <v>8477</v>
      </c>
      <c r="O3215" t="s">
        <v>13584</v>
      </c>
      <c r="P3215" t="s">
        <v>13585</v>
      </c>
      <c r="Q3215">
        <v>-147.94</v>
      </c>
      <c r="R3215" t="s">
        <v>97</v>
      </c>
      <c r="S3215">
        <v>0.52</v>
      </c>
      <c r="T3215">
        <v>13.73</v>
      </c>
      <c r="U3215" t="s">
        <v>949</v>
      </c>
      <c r="V3215" t="s">
        <v>1542</v>
      </c>
      <c r="W3215" t="s">
        <v>1779</v>
      </c>
      <c r="X3215">
        <v>-0.3</v>
      </c>
      <c r="Y3215" t="s">
        <v>6262</v>
      </c>
      <c r="Z3215" t="s">
        <v>2456</v>
      </c>
      <c r="AA3215" t="s">
        <v>13586</v>
      </c>
      <c r="AB3215">
        <v>1.39</v>
      </c>
      <c r="AC3215" t="s">
        <v>238</v>
      </c>
      <c r="AD3215">
        <v>77.150000000000006</v>
      </c>
      <c r="AE3215" t="s">
        <v>176</v>
      </c>
      <c r="AF3215">
        <v>1.44</v>
      </c>
      <c r="AG3215">
        <v>0</v>
      </c>
      <c r="AH3215">
        <v>0</v>
      </c>
      <c r="AI3215" s="4">
        <v>40540</v>
      </c>
    </row>
    <row r="3216" spans="1:35">
      <c r="A3216">
        <v>3215</v>
      </c>
      <c r="B3216" t="str">
        <f>"002263"</f>
        <v>002263</v>
      </c>
      <c r="C3216" t="s">
        <v>13587</v>
      </c>
      <c r="D3216" s="4">
        <v>43190</v>
      </c>
      <c r="E3216" t="s">
        <v>187</v>
      </c>
      <c r="F3216" t="s">
        <v>187</v>
      </c>
      <c r="G3216" t="s">
        <v>53</v>
      </c>
      <c r="H3216">
        <v>0</v>
      </c>
      <c r="I3216">
        <v>1.1499999999999999</v>
      </c>
      <c r="J3216">
        <v>-0.3</v>
      </c>
      <c r="K3216" t="s">
        <v>1699</v>
      </c>
      <c r="L3216">
        <v>31.28</v>
      </c>
      <c r="M3216" t="s">
        <v>13588</v>
      </c>
      <c r="N3216">
        <v>0</v>
      </c>
      <c r="O3216" t="s">
        <v>13589</v>
      </c>
      <c r="P3216" t="s">
        <v>13590</v>
      </c>
      <c r="Q3216">
        <v>-169.2</v>
      </c>
      <c r="R3216" t="s">
        <v>11855</v>
      </c>
      <c r="S3216">
        <v>-0.32</v>
      </c>
      <c r="T3216">
        <v>7.07</v>
      </c>
      <c r="U3216" t="s">
        <v>2028</v>
      </c>
      <c r="V3216" t="s">
        <v>548</v>
      </c>
      <c r="W3216" t="s">
        <v>1569</v>
      </c>
      <c r="X3216">
        <v>-0.3</v>
      </c>
      <c r="Y3216" t="s">
        <v>323</v>
      </c>
      <c r="Z3216" t="s">
        <v>4953</v>
      </c>
      <c r="AA3216" t="s">
        <v>610</v>
      </c>
      <c r="AB3216">
        <v>2.57</v>
      </c>
      <c r="AC3216" t="s">
        <v>114</v>
      </c>
      <c r="AD3216">
        <v>65.17</v>
      </c>
      <c r="AE3216" t="s">
        <v>5930</v>
      </c>
      <c r="AF3216">
        <v>0.45</v>
      </c>
      <c r="AG3216">
        <v>0</v>
      </c>
      <c r="AH3216">
        <v>0</v>
      </c>
      <c r="AI3216" s="4">
        <v>39657</v>
      </c>
    </row>
    <row r="3217" spans="1:35">
      <c r="A3217">
        <v>3216</v>
      </c>
      <c r="B3217" t="str">
        <f>"600760"</f>
        <v>600760</v>
      </c>
      <c r="C3217" t="s">
        <v>13591</v>
      </c>
      <c r="D3217" s="4">
        <v>43190</v>
      </c>
      <c r="E3217" t="s">
        <v>538</v>
      </c>
      <c r="F3217" t="s">
        <v>1594</v>
      </c>
      <c r="G3217">
        <v>6540</v>
      </c>
      <c r="H3217">
        <v>-0.02</v>
      </c>
      <c r="I3217">
        <v>5.0999999999999996</v>
      </c>
      <c r="J3217">
        <v>-0.31</v>
      </c>
      <c r="K3217" t="s">
        <v>1343</v>
      </c>
      <c r="L3217">
        <v>468.33</v>
      </c>
      <c r="M3217" t="s">
        <v>13592</v>
      </c>
      <c r="N3217" t="s">
        <v>13593</v>
      </c>
      <c r="O3217" t="s">
        <v>13594</v>
      </c>
      <c r="P3217" t="s">
        <v>13595</v>
      </c>
      <c r="Q3217">
        <v>88.1</v>
      </c>
      <c r="R3217" t="s">
        <v>13596</v>
      </c>
      <c r="S3217">
        <v>-0.28000000000000003</v>
      </c>
      <c r="T3217">
        <v>8.07</v>
      </c>
      <c r="U3217" t="s">
        <v>2342</v>
      </c>
      <c r="V3217" t="s">
        <v>5133</v>
      </c>
      <c r="W3217" t="s">
        <v>450</v>
      </c>
      <c r="X3217">
        <v>-0.31</v>
      </c>
      <c r="Y3217" t="s">
        <v>3385</v>
      </c>
      <c r="Z3217" t="s">
        <v>1750</v>
      </c>
      <c r="AA3217" t="s">
        <v>602</v>
      </c>
      <c r="AB3217">
        <v>6.58</v>
      </c>
      <c r="AC3217" t="s">
        <v>4513</v>
      </c>
      <c r="AD3217">
        <v>26.75</v>
      </c>
      <c r="AE3217" t="s">
        <v>4162</v>
      </c>
      <c r="AF3217">
        <v>4.34</v>
      </c>
      <c r="AG3217">
        <v>0</v>
      </c>
      <c r="AH3217">
        <v>0</v>
      </c>
      <c r="AI3217" s="4">
        <v>35349</v>
      </c>
    </row>
    <row r="3218" spans="1:35">
      <c r="A3218">
        <v>3217</v>
      </c>
      <c r="B3218" t="str">
        <f>"600026"</f>
        <v>600026</v>
      </c>
      <c r="C3218" t="s">
        <v>13597</v>
      </c>
      <c r="D3218" s="4">
        <v>43190</v>
      </c>
      <c r="E3218" t="s">
        <v>3303</v>
      </c>
      <c r="F3218" t="s">
        <v>725</v>
      </c>
      <c r="G3218">
        <v>0</v>
      </c>
      <c r="H3218">
        <v>-0.02</v>
      </c>
      <c r="I3218">
        <v>6.83</v>
      </c>
      <c r="J3218">
        <v>-0.31</v>
      </c>
      <c r="K3218" t="s">
        <v>1348</v>
      </c>
      <c r="L3218">
        <v>-9.8699999999999992</v>
      </c>
      <c r="M3218" t="s">
        <v>13598</v>
      </c>
      <c r="N3218" t="s">
        <v>197</v>
      </c>
      <c r="O3218" t="s">
        <v>13599</v>
      </c>
      <c r="P3218" t="s">
        <v>13600</v>
      </c>
      <c r="Q3218">
        <v>-115.07</v>
      </c>
      <c r="R3218" t="s">
        <v>794</v>
      </c>
      <c r="S3218">
        <v>3.33</v>
      </c>
      <c r="T3218">
        <v>9.99</v>
      </c>
      <c r="U3218" t="s">
        <v>13601</v>
      </c>
      <c r="V3218" t="s">
        <v>813</v>
      </c>
      <c r="W3218" t="s">
        <v>6007</v>
      </c>
      <c r="X3218">
        <v>-0.31</v>
      </c>
      <c r="Y3218" t="s">
        <v>6367</v>
      </c>
      <c r="Z3218" t="s">
        <v>3536</v>
      </c>
      <c r="AA3218" t="s">
        <v>1265</v>
      </c>
      <c r="AB3218">
        <v>0.63</v>
      </c>
      <c r="AC3218" t="s">
        <v>837</v>
      </c>
      <c r="AD3218">
        <v>46.62</v>
      </c>
      <c r="AE3218" t="s">
        <v>4182</v>
      </c>
      <c r="AF3218">
        <v>1.88</v>
      </c>
      <c r="AG3218">
        <v>0</v>
      </c>
      <c r="AH3218" t="s">
        <v>1025</v>
      </c>
      <c r="AI3218" s="4">
        <v>37399</v>
      </c>
    </row>
    <row r="3219" spans="1:35">
      <c r="A3219">
        <v>3218</v>
      </c>
      <c r="B3219" t="str">
        <f>"300502"</f>
        <v>300502</v>
      </c>
      <c r="C3219" t="s">
        <v>13602</v>
      </c>
      <c r="D3219" s="4">
        <v>43190</v>
      </c>
      <c r="E3219" t="s">
        <v>676</v>
      </c>
      <c r="F3219" t="s">
        <v>1365</v>
      </c>
      <c r="G3219">
        <v>6237</v>
      </c>
      <c r="H3219">
        <v>-0.02</v>
      </c>
      <c r="I3219">
        <v>4.47</v>
      </c>
      <c r="J3219">
        <v>-0.33</v>
      </c>
      <c r="K3219" t="s">
        <v>1202</v>
      </c>
      <c r="L3219">
        <v>-7.32</v>
      </c>
      <c r="M3219" t="s">
        <v>13603</v>
      </c>
      <c r="N3219" t="s">
        <v>13604</v>
      </c>
      <c r="O3219" t="s">
        <v>13605</v>
      </c>
      <c r="P3219" t="s">
        <v>13606</v>
      </c>
      <c r="Q3219">
        <v>-112.17</v>
      </c>
      <c r="R3219" t="s">
        <v>1703</v>
      </c>
      <c r="S3219">
        <v>1.93</v>
      </c>
      <c r="T3219">
        <v>14.96</v>
      </c>
      <c r="U3219" t="s">
        <v>1214</v>
      </c>
      <c r="V3219" t="s">
        <v>3639</v>
      </c>
      <c r="W3219" t="s">
        <v>1791</v>
      </c>
      <c r="X3219">
        <v>-0.33</v>
      </c>
      <c r="Y3219" t="s">
        <v>134</v>
      </c>
      <c r="Z3219" t="s">
        <v>998</v>
      </c>
      <c r="AA3219" t="s">
        <v>12181</v>
      </c>
      <c r="AB3219">
        <v>3.47</v>
      </c>
      <c r="AC3219" t="s">
        <v>1223</v>
      </c>
      <c r="AD3219">
        <v>80.97</v>
      </c>
      <c r="AE3219" t="s">
        <v>3197</v>
      </c>
      <c r="AF3219">
        <v>1.57</v>
      </c>
      <c r="AG3219">
        <v>0</v>
      </c>
      <c r="AH3219">
        <v>0</v>
      </c>
      <c r="AI3219" s="4">
        <v>42432</v>
      </c>
    </row>
    <row r="3220" spans="1:35">
      <c r="A3220">
        <v>3219</v>
      </c>
      <c r="B3220" t="str">
        <f>"000628"</f>
        <v>000628</v>
      </c>
      <c r="C3220" t="s">
        <v>13607</v>
      </c>
      <c r="D3220" s="4">
        <v>43190</v>
      </c>
      <c r="E3220" t="s">
        <v>679</v>
      </c>
      <c r="F3220" t="s">
        <v>2769</v>
      </c>
      <c r="G3220">
        <v>6332</v>
      </c>
      <c r="H3220">
        <v>-0.01</v>
      </c>
      <c r="I3220">
        <v>2.41</v>
      </c>
      <c r="J3220">
        <v>-0.33</v>
      </c>
      <c r="K3220" t="s">
        <v>711</v>
      </c>
      <c r="L3220">
        <v>7</v>
      </c>
      <c r="M3220" t="s">
        <v>13608</v>
      </c>
      <c r="N3220" t="s">
        <v>13609</v>
      </c>
      <c r="O3220" t="s">
        <v>10820</v>
      </c>
      <c r="P3220" t="s">
        <v>13610</v>
      </c>
      <c r="Q3220">
        <v>-204.46</v>
      </c>
      <c r="R3220" t="s">
        <v>11976</v>
      </c>
      <c r="S3220">
        <v>-0.96</v>
      </c>
      <c r="T3220">
        <v>20.75</v>
      </c>
      <c r="U3220" t="s">
        <v>1205</v>
      </c>
      <c r="V3220" t="s">
        <v>710</v>
      </c>
      <c r="W3220" t="s">
        <v>1370</v>
      </c>
      <c r="X3220">
        <v>-0.33</v>
      </c>
      <c r="Y3220" t="s">
        <v>1390</v>
      </c>
      <c r="Z3220" t="s">
        <v>159</v>
      </c>
      <c r="AA3220" t="s">
        <v>280</v>
      </c>
      <c r="AB3220">
        <v>3.42</v>
      </c>
      <c r="AC3220" t="s">
        <v>2264</v>
      </c>
      <c r="AD3220">
        <v>25.19</v>
      </c>
      <c r="AE3220" t="s">
        <v>2637</v>
      </c>
      <c r="AF3220">
        <v>2.34</v>
      </c>
      <c r="AG3220">
        <v>0</v>
      </c>
      <c r="AH3220">
        <v>0</v>
      </c>
      <c r="AI3220" s="4">
        <v>35387</v>
      </c>
    </row>
    <row r="3221" spans="1:35">
      <c r="A3221">
        <v>3220</v>
      </c>
      <c r="B3221" t="str">
        <f>"300491"</f>
        <v>300491</v>
      </c>
      <c r="C3221" t="s">
        <v>13611</v>
      </c>
      <c r="D3221" s="4">
        <v>43190</v>
      </c>
      <c r="E3221" t="s">
        <v>1724</v>
      </c>
      <c r="F3221" t="s">
        <v>9133</v>
      </c>
      <c r="G3221">
        <v>3012</v>
      </c>
      <c r="H3221">
        <v>-0.01</v>
      </c>
      <c r="I3221">
        <v>2.94</v>
      </c>
      <c r="J3221">
        <v>-0.34</v>
      </c>
      <c r="K3221" t="s">
        <v>5918</v>
      </c>
      <c r="L3221">
        <v>-10.47</v>
      </c>
      <c r="M3221" t="s">
        <v>4610</v>
      </c>
      <c r="N3221" t="s">
        <v>2229</v>
      </c>
      <c r="O3221" t="s">
        <v>4610</v>
      </c>
      <c r="P3221" t="s">
        <v>13612</v>
      </c>
      <c r="Q3221">
        <v>16.739999999999998</v>
      </c>
      <c r="R3221" t="s">
        <v>71</v>
      </c>
      <c r="S3221">
        <v>0.73</v>
      </c>
      <c r="T3221">
        <v>35.18</v>
      </c>
      <c r="U3221" t="s">
        <v>3420</v>
      </c>
      <c r="V3221" t="s">
        <v>1324</v>
      </c>
      <c r="W3221" t="s">
        <v>64</v>
      </c>
      <c r="X3221">
        <v>-0.34</v>
      </c>
      <c r="Y3221" t="s">
        <v>993</v>
      </c>
      <c r="Z3221" t="s">
        <v>642</v>
      </c>
      <c r="AA3221" t="s">
        <v>214</v>
      </c>
      <c r="AB3221">
        <v>6.97</v>
      </c>
      <c r="AC3221" t="s">
        <v>914</v>
      </c>
      <c r="AD3221">
        <v>75.790000000000006</v>
      </c>
      <c r="AE3221" t="s">
        <v>1839</v>
      </c>
      <c r="AF3221">
        <v>1.24</v>
      </c>
      <c r="AG3221">
        <v>0</v>
      </c>
      <c r="AH3221">
        <v>0</v>
      </c>
      <c r="AI3221" s="4">
        <v>42369</v>
      </c>
    </row>
    <row r="3222" spans="1:35">
      <c r="A3222">
        <v>3221</v>
      </c>
      <c r="B3222" t="str">
        <f>"601880"</f>
        <v>601880</v>
      </c>
      <c r="C3222" t="s">
        <v>13613</v>
      </c>
      <c r="D3222" s="4">
        <v>43190</v>
      </c>
      <c r="E3222" t="s">
        <v>1929</v>
      </c>
      <c r="F3222" t="s">
        <v>836</v>
      </c>
      <c r="G3222">
        <v>0</v>
      </c>
      <c r="H3222">
        <v>0</v>
      </c>
      <c r="I3222">
        <v>1.39</v>
      </c>
      <c r="J3222">
        <v>-0.35</v>
      </c>
      <c r="K3222" t="s">
        <v>712</v>
      </c>
      <c r="L3222">
        <v>-17.05</v>
      </c>
      <c r="M3222" t="s">
        <v>13614</v>
      </c>
      <c r="N3222" t="s">
        <v>9219</v>
      </c>
      <c r="O3222" t="s">
        <v>13615</v>
      </c>
      <c r="P3222" t="s">
        <v>13616</v>
      </c>
      <c r="Q3222">
        <v>-140.13999999999999</v>
      </c>
      <c r="R3222" t="s">
        <v>1214</v>
      </c>
      <c r="S3222">
        <v>0.1</v>
      </c>
      <c r="T3222">
        <v>16.3</v>
      </c>
      <c r="U3222" t="s">
        <v>4823</v>
      </c>
      <c r="V3222" t="s">
        <v>3381</v>
      </c>
      <c r="W3222" t="s">
        <v>2050</v>
      </c>
      <c r="X3222">
        <v>-0.35</v>
      </c>
      <c r="Y3222" t="s">
        <v>1222</v>
      </c>
      <c r="Z3222" t="s">
        <v>4888</v>
      </c>
      <c r="AA3222" t="s">
        <v>2918</v>
      </c>
      <c r="AB3222">
        <v>1.34</v>
      </c>
      <c r="AC3222" t="s">
        <v>1292</v>
      </c>
      <c r="AD3222">
        <v>51.3</v>
      </c>
      <c r="AE3222" t="s">
        <v>589</v>
      </c>
      <c r="AF3222">
        <v>0.22</v>
      </c>
      <c r="AG3222">
        <v>0</v>
      </c>
      <c r="AH3222" t="s">
        <v>4218</v>
      </c>
      <c r="AI3222" s="4">
        <v>40518</v>
      </c>
    </row>
    <row r="3223" spans="1:35">
      <c r="A3223">
        <v>3222</v>
      </c>
      <c r="B3223" t="str">
        <f>"300155"</f>
        <v>300155</v>
      </c>
      <c r="C3223" t="s">
        <v>13617</v>
      </c>
      <c r="D3223" s="4">
        <v>43190</v>
      </c>
      <c r="E3223" t="s">
        <v>3471</v>
      </c>
      <c r="F3223" t="s">
        <v>958</v>
      </c>
      <c r="G3223">
        <v>9458</v>
      </c>
      <c r="H3223">
        <v>-0.01</v>
      </c>
      <c r="I3223">
        <v>2.1</v>
      </c>
      <c r="J3223">
        <v>-0.35</v>
      </c>
      <c r="K3223" t="s">
        <v>13618</v>
      </c>
      <c r="L3223">
        <v>-28.69</v>
      </c>
      <c r="M3223" t="s">
        <v>12228</v>
      </c>
      <c r="N3223">
        <v>0</v>
      </c>
      <c r="O3223" t="s">
        <v>13619</v>
      </c>
      <c r="P3223" t="s">
        <v>13620</v>
      </c>
      <c r="Q3223">
        <v>68.41</v>
      </c>
      <c r="R3223" t="s">
        <v>37</v>
      </c>
      <c r="S3223">
        <v>0.34</v>
      </c>
      <c r="T3223">
        <v>36.07</v>
      </c>
      <c r="U3223" t="s">
        <v>141</v>
      </c>
      <c r="V3223" t="s">
        <v>721</v>
      </c>
      <c r="W3223" t="s">
        <v>1977</v>
      </c>
      <c r="X3223">
        <v>-0.35</v>
      </c>
      <c r="Y3223" t="s">
        <v>2185</v>
      </c>
      <c r="Z3223" t="s">
        <v>2102</v>
      </c>
      <c r="AA3223" t="s">
        <v>13621</v>
      </c>
      <c r="AB3223">
        <v>2.3199999999999998</v>
      </c>
      <c r="AC3223" t="s">
        <v>354</v>
      </c>
      <c r="AD3223">
        <v>77.02</v>
      </c>
      <c r="AE3223" t="s">
        <v>1383</v>
      </c>
      <c r="AF3223">
        <v>0.66</v>
      </c>
      <c r="AG3223">
        <v>0</v>
      </c>
      <c r="AH3223">
        <v>0</v>
      </c>
      <c r="AI3223" s="4">
        <v>40550</v>
      </c>
    </row>
    <row r="3224" spans="1:35">
      <c r="A3224">
        <v>3223</v>
      </c>
      <c r="B3224" t="str">
        <f>"000893"</f>
        <v>000893</v>
      </c>
      <c r="C3224" t="s">
        <v>13622</v>
      </c>
      <c r="D3224" s="4">
        <v>43190</v>
      </c>
      <c r="E3224" t="s">
        <v>1938</v>
      </c>
      <c r="F3224" t="s">
        <v>241</v>
      </c>
      <c r="G3224" t="s">
        <v>210</v>
      </c>
      <c r="H3224">
        <v>-0.01</v>
      </c>
      <c r="I3224">
        <v>2.5099999999999998</v>
      </c>
      <c r="J3224">
        <v>-0.35</v>
      </c>
      <c r="K3224" t="s">
        <v>13623</v>
      </c>
      <c r="L3224">
        <v>-68.739999999999995</v>
      </c>
      <c r="M3224" t="s">
        <v>10132</v>
      </c>
      <c r="N3224" t="s">
        <v>13295</v>
      </c>
      <c r="O3224" t="s">
        <v>9418</v>
      </c>
      <c r="P3224" t="s">
        <v>12844</v>
      </c>
      <c r="Q3224">
        <v>-33.15</v>
      </c>
      <c r="R3224" t="s">
        <v>13624</v>
      </c>
      <c r="S3224">
        <v>-3.51</v>
      </c>
      <c r="T3224">
        <v>29.63</v>
      </c>
      <c r="U3224" t="s">
        <v>242</v>
      </c>
      <c r="V3224" t="s">
        <v>569</v>
      </c>
      <c r="W3224" t="s">
        <v>359</v>
      </c>
      <c r="X3224">
        <v>-0.35</v>
      </c>
      <c r="Y3224" t="s">
        <v>3482</v>
      </c>
      <c r="Z3224" t="s">
        <v>3482</v>
      </c>
      <c r="AA3224">
        <v>0</v>
      </c>
      <c r="AB3224">
        <v>1.46</v>
      </c>
      <c r="AC3224" t="s">
        <v>183</v>
      </c>
      <c r="AD3224">
        <v>81.38</v>
      </c>
      <c r="AE3224" t="s">
        <v>2136</v>
      </c>
      <c r="AF3224">
        <v>4.97</v>
      </c>
      <c r="AG3224">
        <v>0</v>
      </c>
      <c r="AH3224">
        <v>0</v>
      </c>
      <c r="AI3224" s="4">
        <v>36153</v>
      </c>
    </row>
    <row r="3225" spans="1:35">
      <c r="A3225">
        <v>3224</v>
      </c>
      <c r="B3225" t="str">
        <f>"000652"</f>
        <v>000652</v>
      </c>
      <c r="C3225" t="s">
        <v>13625</v>
      </c>
      <c r="D3225" s="4">
        <v>43190</v>
      </c>
      <c r="E3225" t="s">
        <v>141</v>
      </c>
      <c r="F3225" t="s">
        <v>80</v>
      </c>
      <c r="G3225" t="s">
        <v>6699</v>
      </c>
      <c r="H3225">
        <v>-0.01</v>
      </c>
      <c r="I3225">
        <v>2.52</v>
      </c>
      <c r="J3225">
        <v>-0.35</v>
      </c>
      <c r="K3225" t="s">
        <v>4558</v>
      </c>
      <c r="L3225">
        <v>11.11</v>
      </c>
      <c r="M3225" t="s">
        <v>13626</v>
      </c>
      <c r="N3225" t="s">
        <v>13627</v>
      </c>
      <c r="O3225" t="s">
        <v>13628</v>
      </c>
      <c r="P3225" t="s">
        <v>13629</v>
      </c>
      <c r="Q3225">
        <v>51.84</v>
      </c>
      <c r="R3225" t="s">
        <v>625</v>
      </c>
      <c r="S3225">
        <v>0.78</v>
      </c>
      <c r="T3225">
        <v>2.21</v>
      </c>
      <c r="U3225" t="s">
        <v>1985</v>
      </c>
      <c r="V3225" t="s">
        <v>2707</v>
      </c>
      <c r="W3225" t="s">
        <v>2112</v>
      </c>
      <c r="X3225">
        <v>-0.35</v>
      </c>
      <c r="Y3225" t="s">
        <v>3563</v>
      </c>
      <c r="Z3225" t="s">
        <v>2599</v>
      </c>
      <c r="AA3225" t="s">
        <v>6845</v>
      </c>
      <c r="AB3225">
        <v>1.24</v>
      </c>
      <c r="AC3225" t="s">
        <v>2136</v>
      </c>
      <c r="AD3225">
        <v>10.88</v>
      </c>
      <c r="AE3225" t="s">
        <v>2394</v>
      </c>
      <c r="AF3225">
        <v>0.46</v>
      </c>
      <c r="AG3225">
        <v>0</v>
      </c>
      <c r="AH3225">
        <v>0</v>
      </c>
      <c r="AI3225" s="4">
        <v>35397</v>
      </c>
    </row>
    <row r="3226" spans="1:35">
      <c r="A3226">
        <v>3225</v>
      </c>
      <c r="B3226" t="str">
        <f>"603717"</f>
        <v>603717</v>
      </c>
      <c r="C3226" t="s">
        <v>13630</v>
      </c>
      <c r="D3226" s="4">
        <v>43190</v>
      </c>
      <c r="E3226" t="s">
        <v>531</v>
      </c>
      <c r="F3226" t="s">
        <v>209</v>
      </c>
      <c r="G3226">
        <v>4348</v>
      </c>
      <c r="H3226">
        <v>-0.02</v>
      </c>
      <c r="I3226">
        <v>5.18</v>
      </c>
      <c r="J3226">
        <v>-0.36</v>
      </c>
      <c r="K3226" t="s">
        <v>1203</v>
      </c>
      <c r="L3226">
        <v>-21.95</v>
      </c>
      <c r="M3226" t="s">
        <v>12591</v>
      </c>
      <c r="N3226" t="s">
        <v>13631</v>
      </c>
      <c r="O3226" t="s">
        <v>13632</v>
      </c>
      <c r="P3226" t="s">
        <v>10744</v>
      </c>
      <c r="Q3226">
        <v>-119.66</v>
      </c>
      <c r="R3226" t="s">
        <v>662</v>
      </c>
      <c r="S3226">
        <v>1.6</v>
      </c>
      <c r="T3226">
        <v>28.37</v>
      </c>
      <c r="U3226" t="s">
        <v>1516</v>
      </c>
      <c r="V3226" t="s">
        <v>1284</v>
      </c>
      <c r="W3226" t="s">
        <v>975</v>
      </c>
      <c r="X3226">
        <v>-0.36</v>
      </c>
      <c r="Y3226" t="s">
        <v>192</v>
      </c>
      <c r="Z3226" t="s">
        <v>602</v>
      </c>
      <c r="AA3226" t="s">
        <v>13633</v>
      </c>
      <c r="AB3226">
        <v>2.09</v>
      </c>
      <c r="AC3226" t="s">
        <v>101</v>
      </c>
      <c r="AD3226">
        <v>52.34</v>
      </c>
      <c r="AE3226" t="s">
        <v>846</v>
      </c>
      <c r="AF3226">
        <v>2.42</v>
      </c>
      <c r="AG3226">
        <v>0</v>
      </c>
      <c r="AH3226">
        <v>0</v>
      </c>
      <c r="AI3226" s="4">
        <v>42821</v>
      </c>
    </row>
    <row r="3227" spans="1:35">
      <c r="A3227">
        <v>3226</v>
      </c>
      <c r="B3227" t="str">
        <f>"600312"</f>
        <v>600312</v>
      </c>
      <c r="C3227" t="s">
        <v>13634</v>
      </c>
      <c r="D3227" s="4">
        <v>43190</v>
      </c>
      <c r="E3227" t="s">
        <v>350</v>
      </c>
      <c r="F3227" t="s">
        <v>350</v>
      </c>
      <c r="G3227" t="s">
        <v>5021</v>
      </c>
      <c r="H3227">
        <v>-0.02</v>
      </c>
      <c r="I3227">
        <v>6.5</v>
      </c>
      <c r="J3227">
        <v>-0.36</v>
      </c>
      <c r="K3227" t="s">
        <v>250</v>
      </c>
      <c r="L3227">
        <v>-19.64</v>
      </c>
      <c r="M3227" t="s">
        <v>13635</v>
      </c>
      <c r="N3227" t="s">
        <v>8436</v>
      </c>
      <c r="O3227" t="s">
        <v>13636</v>
      </c>
      <c r="P3227" t="s">
        <v>13637</v>
      </c>
      <c r="Q3227">
        <v>-131.19</v>
      </c>
      <c r="R3227" t="s">
        <v>877</v>
      </c>
      <c r="S3227">
        <v>1.53</v>
      </c>
      <c r="T3227">
        <v>14.46</v>
      </c>
      <c r="U3227" t="s">
        <v>1893</v>
      </c>
      <c r="V3227" t="s">
        <v>1279</v>
      </c>
      <c r="W3227" t="s">
        <v>1051</v>
      </c>
      <c r="X3227">
        <v>-0.36</v>
      </c>
      <c r="Y3227" t="s">
        <v>13638</v>
      </c>
      <c r="Z3227" t="s">
        <v>1220</v>
      </c>
      <c r="AA3227" t="s">
        <v>13639</v>
      </c>
      <c r="AB3227">
        <v>0.87</v>
      </c>
      <c r="AC3227" t="s">
        <v>2925</v>
      </c>
      <c r="AD3227">
        <v>46.63</v>
      </c>
      <c r="AE3227" t="s">
        <v>3749</v>
      </c>
      <c r="AF3227">
        <v>3.61</v>
      </c>
      <c r="AG3227">
        <v>0</v>
      </c>
      <c r="AH3227">
        <v>0</v>
      </c>
      <c r="AI3227" s="4">
        <v>36943</v>
      </c>
    </row>
    <row r="3228" spans="1:35">
      <c r="A3228">
        <v>3227</v>
      </c>
      <c r="B3228" t="str">
        <f>"002278"</f>
        <v>002278</v>
      </c>
      <c r="C3228" t="s">
        <v>13640</v>
      </c>
      <c r="D3228" s="4">
        <v>43190</v>
      </c>
      <c r="E3228" t="s">
        <v>707</v>
      </c>
      <c r="F3228" t="s">
        <v>2041</v>
      </c>
      <c r="G3228" t="s">
        <v>5021</v>
      </c>
      <c r="H3228">
        <v>-0.01</v>
      </c>
      <c r="I3228">
        <v>2.93</v>
      </c>
      <c r="J3228">
        <v>-0.36</v>
      </c>
      <c r="K3228" t="s">
        <v>4966</v>
      </c>
      <c r="L3228">
        <v>-5.0199999999999996</v>
      </c>
      <c r="M3228" t="s">
        <v>8430</v>
      </c>
      <c r="N3228" t="s">
        <v>13641</v>
      </c>
      <c r="O3228" t="s">
        <v>13642</v>
      </c>
      <c r="P3228" t="s">
        <v>13643</v>
      </c>
      <c r="Q3228">
        <v>22.73</v>
      </c>
      <c r="R3228" t="s">
        <v>505</v>
      </c>
      <c r="S3228">
        <v>0.43</v>
      </c>
      <c r="T3228">
        <v>34.46</v>
      </c>
      <c r="U3228" t="s">
        <v>908</v>
      </c>
      <c r="V3228" t="s">
        <v>1094</v>
      </c>
      <c r="W3228" t="s">
        <v>415</v>
      </c>
      <c r="X3228">
        <v>-0.36</v>
      </c>
      <c r="Y3228" t="s">
        <v>479</v>
      </c>
      <c r="Z3228" t="s">
        <v>499</v>
      </c>
      <c r="AA3228" t="s">
        <v>9314</v>
      </c>
      <c r="AB3228">
        <v>2.73</v>
      </c>
      <c r="AC3228" t="s">
        <v>295</v>
      </c>
      <c r="AD3228">
        <v>70.27</v>
      </c>
      <c r="AE3228" t="s">
        <v>3006</v>
      </c>
      <c r="AF3228">
        <v>1.31</v>
      </c>
      <c r="AG3228">
        <v>0</v>
      </c>
      <c r="AH3228">
        <v>0</v>
      </c>
      <c r="AI3228" s="4">
        <v>40036</v>
      </c>
    </row>
    <row r="3229" spans="1:35">
      <c r="A3229">
        <v>3228</v>
      </c>
      <c r="B3229" t="str">
        <f>"000158"</f>
        <v>000158</v>
      </c>
      <c r="C3229" t="s">
        <v>13644</v>
      </c>
      <c r="D3229" s="4">
        <v>43190</v>
      </c>
      <c r="E3229" t="s">
        <v>1052</v>
      </c>
      <c r="F3229" t="s">
        <v>1496</v>
      </c>
      <c r="G3229" t="s">
        <v>3585</v>
      </c>
      <c r="H3229">
        <v>-0.01</v>
      </c>
      <c r="I3229">
        <v>3.62</v>
      </c>
      <c r="J3229">
        <v>-0.36</v>
      </c>
      <c r="K3229" t="s">
        <v>1455</v>
      </c>
      <c r="L3229">
        <v>-7.58</v>
      </c>
      <c r="M3229" t="s">
        <v>13595</v>
      </c>
      <c r="N3229" t="s">
        <v>6041</v>
      </c>
      <c r="O3229" t="s">
        <v>13645</v>
      </c>
      <c r="P3229" t="s">
        <v>13646</v>
      </c>
      <c r="Q3229">
        <v>-74.81</v>
      </c>
      <c r="R3229" t="s">
        <v>625</v>
      </c>
      <c r="S3229">
        <v>0.73</v>
      </c>
      <c r="T3229">
        <v>4.6900000000000004</v>
      </c>
      <c r="U3229" t="s">
        <v>465</v>
      </c>
      <c r="V3229" t="s">
        <v>3679</v>
      </c>
      <c r="W3229" t="s">
        <v>847</v>
      </c>
      <c r="X3229">
        <v>-0.36</v>
      </c>
      <c r="Y3229" t="s">
        <v>2497</v>
      </c>
      <c r="Z3229" t="s">
        <v>2749</v>
      </c>
      <c r="AA3229" t="s">
        <v>173</v>
      </c>
      <c r="AB3229">
        <v>1.82</v>
      </c>
      <c r="AC3229" t="s">
        <v>2390</v>
      </c>
      <c r="AD3229">
        <v>47.18</v>
      </c>
      <c r="AE3229" t="s">
        <v>589</v>
      </c>
      <c r="AF3229">
        <v>1.75</v>
      </c>
      <c r="AG3229">
        <v>0</v>
      </c>
      <c r="AH3229">
        <v>0</v>
      </c>
      <c r="AI3229" s="4">
        <v>36731</v>
      </c>
    </row>
    <row r="3230" spans="1:35">
      <c r="A3230">
        <v>3229</v>
      </c>
      <c r="B3230" t="str">
        <f>"600533"</f>
        <v>600533</v>
      </c>
      <c r="C3230" t="s">
        <v>13647</v>
      </c>
      <c r="D3230" s="4">
        <v>43190</v>
      </c>
      <c r="E3230" t="s">
        <v>407</v>
      </c>
      <c r="F3230" t="s">
        <v>407</v>
      </c>
      <c r="G3230" t="s">
        <v>2572</v>
      </c>
      <c r="H3230">
        <v>-0.01</v>
      </c>
      <c r="I3230">
        <v>3.57</v>
      </c>
      <c r="J3230">
        <v>-0.37</v>
      </c>
      <c r="K3230" t="s">
        <v>1457</v>
      </c>
      <c r="L3230">
        <v>-67.63</v>
      </c>
      <c r="M3230" t="s">
        <v>13648</v>
      </c>
      <c r="N3230" t="s">
        <v>3710</v>
      </c>
      <c r="O3230" t="s">
        <v>13649</v>
      </c>
      <c r="P3230" t="s">
        <v>13650</v>
      </c>
      <c r="Q3230">
        <v>27.02</v>
      </c>
      <c r="R3230" t="s">
        <v>2836</v>
      </c>
      <c r="S3230">
        <v>0.89</v>
      </c>
      <c r="T3230">
        <v>30.49</v>
      </c>
      <c r="U3230" t="s">
        <v>310</v>
      </c>
      <c r="V3230" t="s">
        <v>2504</v>
      </c>
      <c r="W3230" t="s">
        <v>6443</v>
      </c>
      <c r="X3230">
        <v>-0.37</v>
      </c>
      <c r="Y3230" t="s">
        <v>1089</v>
      </c>
      <c r="Z3230" t="s">
        <v>2918</v>
      </c>
      <c r="AA3230" t="s">
        <v>1600</v>
      </c>
      <c r="AB3230">
        <v>1.01</v>
      </c>
      <c r="AC3230" t="s">
        <v>1486</v>
      </c>
      <c r="AD3230">
        <v>23.74</v>
      </c>
      <c r="AE3230" t="s">
        <v>407</v>
      </c>
      <c r="AF3230">
        <v>1</v>
      </c>
      <c r="AG3230">
        <v>0</v>
      </c>
      <c r="AH3230">
        <v>0</v>
      </c>
      <c r="AI3230" s="4">
        <v>37343</v>
      </c>
    </row>
    <row r="3231" spans="1:35">
      <c r="A3231">
        <v>3230</v>
      </c>
      <c r="B3231" t="str">
        <f>"600495"</f>
        <v>600495</v>
      </c>
      <c r="C3231" t="s">
        <v>13651</v>
      </c>
      <c r="D3231" s="4">
        <v>43190</v>
      </c>
      <c r="E3231" t="s">
        <v>264</v>
      </c>
      <c r="F3231" t="s">
        <v>264</v>
      </c>
      <c r="G3231">
        <v>8684</v>
      </c>
      <c r="H3231">
        <v>-0.01</v>
      </c>
      <c r="I3231">
        <v>2.57</v>
      </c>
      <c r="J3231">
        <v>-0.38</v>
      </c>
      <c r="K3231" t="s">
        <v>256</v>
      </c>
      <c r="L3231">
        <v>-38.08</v>
      </c>
      <c r="M3231" t="s">
        <v>13652</v>
      </c>
      <c r="N3231" t="s">
        <v>10002</v>
      </c>
      <c r="O3231" t="s">
        <v>13653</v>
      </c>
      <c r="P3231" t="s">
        <v>13654</v>
      </c>
      <c r="Q3231">
        <v>-9.65</v>
      </c>
      <c r="R3231" t="s">
        <v>701</v>
      </c>
      <c r="S3231">
        <v>0.46</v>
      </c>
      <c r="T3231">
        <v>14.75</v>
      </c>
      <c r="U3231" t="s">
        <v>1859</v>
      </c>
      <c r="V3231" t="s">
        <v>1029</v>
      </c>
      <c r="W3231" t="s">
        <v>1649</v>
      </c>
      <c r="X3231">
        <v>-0.38</v>
      </c>
      <c r="Y3231" t="s">
        <v>1868</v>
      </c>
      <c r="Z3231" t="s">
        <v>2358</v>
      </c>
      <c r="AA3231" t="s">
        <v>6113</v>
      </c>
      <c r="AB3231">
        <v>1.36</v>
      </c>
      <c r="AC3231" t="s">
        <v>2064</v>
      </c>
      <c r="AD3231">
        <v>79.38</v>
      </c>
      <c r="AE3231" t="s">
        <v>613</v>
      </c>
      <c r="AF3231">
        <v>0.96</v>
      </c>
      <c r="AG3231">
        <v>0</v>
      </c>
      <c r="AH3231">
        <v>0</v>
      </c>
      <c r="AI3231" s="4">
        <v>38133</v>
      </c>
    </row>
    <row r="3232" spans="1:35">
      <c r="A3232">
        <v>3231</v>
      </c>
      <c r="B3232" t="str">
        <f>"002909"</f>
        <v>002909</v>
      </c>
      <c r="C3232" t="s">
        <v>13655</v>
      </c>
      <c r="D3232" s="4">
        <v>43190</v>
      </c>
      <c r="E3232" t="s">
        <v>290</v>
      </c>
      <c r="F3232" t="s">
        <v>4534</v>
      </c>
      <c r="G3232">
        <v>1503</v>
      </c>
      <c r="H3232">
        <v>-0.01</v>
      </c>
      <c r="I3232">
        <v>2.7</v>
      </c>
      <c r="J3232">
        <v>-0.38</v>
      </c>
      <c r="K3232" t="s">
        <v>1360</v>
      </c>
      <c r="L3232">
        <v>56.1</v>
      </c>
      <c r="M3232" t="s">
        <v>13422</v>
      </c>
      <c r="N3232" t="s">
        <v>13656</v>
      </c>
      <c r="O3232" t="s">
        <v>13657</v>
      </c>
      <c r="P3232" t="s">
        <v>13657</v>
      </c>
      <c r="Q3232">
        <v>-185.66</v>
      </c>
      <c r="R3232" t="s">
        <v>13658</v>
      </c>
      <c r="S3232">
        <v>0.4</v>
      </c>
      <c r="T3232">
        <v>23.78</v>
      </c>
      <c r="U3232" t="s">
        <v>539</v>
      </c>
      <c r="V3232" t="s">
        <v>701</v>
      </c>
      <c r="W3232" t="s">
        <v>198</v>
      </c>
      <c r="X3232">
        <v>-0.38</v>
      </c>
      <c r="Y3232" t="s">
        <v>1964</v>
      </c>
      <c r="Z3232" t="s">
        <v>3297</v>
      </c>
      <c r="AA3232" t="s">
        <v>9519</v>
      </c>
      <c r="AB3232">
        <v>5.98</v>
      </c>
      <c r="AC3232" t="s">
        <v>5374</v>
      </c>
      <c r="AD3232">
        <v>60.4</v>
      </c>
      <c r="AE3232" t="s">
        <v>668</v>
      </c>
      <c r="AF3232">
        <v>1.1399999999999999</v>
      </c>
      <c r="AG3232">
        <v>0</v>
      </c>
      <c r="AH3232">
        <v>0</v>
      </c>
      <c r="AI3232" s="4">
        <v>43034</v>
      </c>
    </row>
    <row r="3233" spans="1:35">
      <c r="A3233">
        <v>3232</v>
      </c>
      <c r="B3233" t="str">
        <f>"002703"</f>
        <v>002703</v>
      </c>
      <c r="C3233" t="s">
        <v>13659</v>
      </c>
      <c r="D3233" s="4">
        <v>43190</v>
      </c>
      <c r="E3233" t="s">
        <v>285</v>
      </c>
      <c r="F3233" t="s">
        <v>3321</v>
      </c>
      <c r="G3233">
        <v>0</v>
      </c>
      <c r="H3233">
        <v>-0.01</v>
      </c>
      <c r="I3233">
        <v>1.86</v>
      </c>
      <c r="J3233">
        <v>-0.38</v>
      </c>
      <c r="K3233" t="s">
        <v>2102</v>
      </c>
      <c r="L3233">
        <v>0.28999999999999998</v>
      </c>
      <c r="M3233" t="s">
        <v>9338</v>
      </c>
      <c r="N3233" t="s">
        <v>4887</v>
      </c>
      <c r="O3233" t="s">
        <v>13534</v>
      </c>
      <c r="P3233" t="s">
        <v>13660</v>
      </c>
      <c r="Q3233">
        <v>-130.9</v>
      </c>
      <c r="R3233" t="s">
        <v>1359</v>
      </c>
      <c r="S3233">
        <v>0.45</v>
      </c>
      <c r="T3233">
        <v>14.5</v>
      </c>
      <c r="U3233" t="s">
        <v>876</v>
      </c>
      <c r="V3233" t="s">
        <v>405</v>
      </c>
      <c r="W3233" t="s">
        <v>494</v>
      </c>
      <c r="X3233">
        <v>-0.38</v>
      </c>
      <c r="Y3233" t="s">
        <v>2996</v>
      </c>
      <c r="Z3233" t="s">
        <v>1002</v>
      </c>
      <c r="AA3233" t="s">
        <v>13661</v>
      </c>
      <c r="AB3233">
        <v>2.41</v>
      </c>
      <c r="AC3233" t="s">
        <v>80</v>
      </c>
      <c r="AD3233">
        <v>70.02</v>
      </c>
      <c r="AE3233" t="s">
        <v>748</v>
      </c>
      <c r="AF3233">
        <v>0.23</v>
      </c>
      <c r="AG3233">
        <v>0</v>
      </c>
      <c r="AH3233" t="s">
        <v>912</v>
      </c>
      <c r="AI3233" s="4">
        <v>41215</v>
      </c>
    </row>
    <row r="3234" spans="1:35">
      <c r="A3234">
        <v>3233</v>
      </c>
      <c r="B3234" t="str">
        <f>"600751"</f>
        <v>600751</v>
      </c>
      <c r="C3234" t="s">
        <v>13662</v>
      </c>
      <c r="D3234" s="4">
        <v>43190</v>
      </c>
      <c r="E3234" t="s">
        <v>589</v>
      </c>
      <c r="F3234" t="s">
        <v>710</v>
      </c>
      <c r="G3234">
        <v>0</v>
      </c>
      <c r="H3234">
        <v>-0.02</v>
      </c>
      <c r="I3234">
        <v>4.5999999999999996</v>
      </c>
      <c r="J3234">
        <v>-0.39</v>
      </c>
      <c r="K3234" t="s">
        <v>10939</v>
      </c>
      <c r="L3234">
        <v>4.38</v>
      </c>
      <c r="M3234" t="s">
        <v>10962</v>
      </c>
      <c r="N3234" t="s">
        <v>11836</v>
      </c>
      <c r="O3234" t="s">
        <v>13663</v>
      </c>
      <c r="P3234" t="s">
        <v>13664</v>
      </c>
      <c r="Q3234">
        <v>-226.07</v>
      </c>
      <c r="R3234" t="s">
        <v>13665</v>
      </c>
      <c r="S3234">
        <v>0.03</v>
      </c>
      <c r="T3234">
        <v>6.44</v>
      </c>
      <c r="U3234" t="s">
        <v>13666</v>
      </c>
      <c r="V3234" t="s">
        <v>13667</v>
      </c>
      <c r="W3234" t="s">
        <v>1704</v>
      </c>
      <c r="X3234">
        <v>-0.39</v>
      </c>
      <c r="Y3234" t="s">
        <v>13668</v>
      </c>
      <c r="Z3234" t="s">
        <v>3962</v>
      </c>
      <c r="AA3234" t="s">
        <v>2016</v>
      </c>
      <c r="AB3234">
        <v>1.41</v>
      </c>
      <c r="AC3234" t="s">
        <v>1524</v>
      </c>
      <c r="AD3234">
        <v>11.86</v>
      </c>
      <c r="AE3234" t="s">
        <v>525</v>
      </c>
      <c r="AF3234">
        <v>3.63</v>
      </c>
      <c r="AG3234" t="s">
        <v>90</v>
      </c>
      <c r="AH3234">
        <v>0</v>
      </c>
      <c r="AI3234" s="4">
        <v>35317</v>
      </c>
    </row>
    <row r="3235" spans="1:35">
      <c r="A3235">
        <v>3234</v>
      </c>
      <c r="B3235" t="str">
        <f>"600506"</f>
        <v>600506</v>
      </c>
      <c r="C3235" t="s">
        <v>13669</v>
      </c>
      <c r="D3235" s="4">
        <v>43190</v>
      </c>
      <c r="E3235" t="s">
        <v>3111</v>
      </c>
      <c r="F3235" t="s">
        <v>3111</v>
      </c>
      <c r="G3235">
        <v>9016</v>
      </c>
      <c r="H3235">
        <v>-0.01</v>
      </c>
      <c r="I3235">
        <v>1.87</v>
      </c>
      <c r="J3235">
        <v>-0.39</v>
      </c>
      <c r="K3235" t="s">
        <v>13491</v>
      </c>
      <c r="L3235">
        <v>58.53</v>
      </c>
      <c r="M3235" t="s">
        <v>13670</v>
      </c>
      <c r="N3235" t="s">
        <v>12455</v>
      </c>
      <c r="O3235" t="s">
        <v>13670</v>
      </c>
      <c r="P3235" t="s">
        <v>13670</v>
      </c>
      <c r="Q3235">
        <v>-1169.3499999999999</v>
      </c>
      <c r="R3235" t="s">
        <v>13671</v>
      </c>
      <c r="S3235">
        <v>-0.88</v>
      </c>
      <c r="T3235">
        <v>5.0599999999999996</v>
      </c>
      <c r="U3235" t="s">
        <v>1699</v>
      </c>
      <c r="V3235" t="s">
        <v>322</v>
      </c>
      <c r="W3235" t="s">
        <v>13672</v>
      </c>
      <c r="X3235">
        <v>-0.39</v>
      </c>
      <c r="Y3235" t="s">
        <v>10824</v>
      </c>
      <c r="Z3235" t="s">
        <v>3421</v>
      </c>
      <c r="AA3235" t="s">
        <v>13673</v>
      </c>
      <c r="AB3235">
        <v>7.04</v>
      </c>
      <c r="AC3235" t="s">
        <v>4871</v>
      </c>
      <c r="AD3235">
        <v>94.75</v>
      </c>
      <c r="AE3235" t="s">
        <v>509</v>
      </c>
      <c r="AF3235">
        <v>1.52</v>
      </c>
      <c r="AG3235">
        <v>0</v>
      </c>
      <c r="AH3235">
        <v>0</v>
      </c>
      <c r="AI3235" s="4">
        <v>37251</v>
      </c>
    </row>
    <row r="3236" spans="1:35">
      <c r="A3236">
        <v>3235</v>
      </c>
      <c r="B3236" t="str">
        <f>"600975"</f>
        <v>600975</v>
      </c>
      <c r="C3236" t="s">
        <v>13674</v>
      </c>
      <c r="D3236" s="4">
        <v>43190</v>
      </c>
      <c r="E3236" t="s">
        <v>504</v>
      </c>
      <c r="F3236" t="s">
        <v>504</v>
      </c>
      <c r="G3236">
        <v>7330</v>
      </c>
      <c r="H3236">
        <v>-0.01</v>
      </c>
      <c r="I3236">
        <v>1.74</v>
      </c>
      <c r="J3236">
        <v>-0.39</v>
      </c>
      <c r="K3236" t="s">
        <v>267</v>
      </c>
      <c r="L3236">
        <v>-7.67</v>
      </c>
      <c r="M3236" t="s">
        <v>13675</v>
      </c>
      <c r="N3236" t="s">
        <v>11812</v>
      </c>
      <c r="O3236" t="s">
        <v>12228</v>
      </c>
      <c r="P3236" t="s">
        <v>13676</v>
      </c>
      <c r="Q3236">
        <v>-114.2</v>
      </c>
      <c r="R3236" t="s">
        <v>682</v>
      </c>
      <c r="S3236">
        <v>0.24</v>
      </c>
      <c r="T3236">
        <v>4.75</v>
      </c>
      <c r="U3236" t="s">
        <v>867</v>
      </c>
      <c r="V3236" t="s">
        <v>1094</v>
      </c>
      <c r="W3236" t="s">
        <v>1972</v>
      </c>
      <c r="X3236">
        <v>-0.39</v>
      </c>
      <c r="Y3236" t="s">
        <v>2685</v>
      </c>
      <c r="Z3236" t="s">
        <v>47</v>
      </c>
      <c r="AA3236" t="s">
        <v>93</v>
      </c>
      <c r="AB3236">
        <v>2.4700000000000002</v>
      </c>
      <c r="AC3236" t="s">
        <v>625</v>
      </c>
      <c r="AD3236">
        <v>68.91</v>
      </c>
      <c r="AE3236" t="s">
        <v>641</v>
      </c>
      <c r="AF3236">
        <v>0.39</v>
      </c>
      <c r="AG3236">
        <v>0</v>
      </c>
      <c r="AH3236">
        <v>0</v>
      </c>
      <c r="AI3236" s="4">
        <v>38147</v>
      </c>
    </row>
    <row r="3237" spans="1:35">
      <c r="A3237">
        <v>3236</v>
      </c>
      <c r="B3237" t="str">
        <f>"600698"</f>
        <v>600698</v>
      </c>
      <c r="C3237" t="s">
        <v>13677</v>
      </c>
      <c r="D3237" s="4">
        <v>43190</v>
      </c>
      <c r="E3237" t="s">
        <v>59</v>
      </c>
      <c r="F3237" t="s">
        <v>46</v>
      </c>
      <c r="G3237">
        <v>0</v>
      </c>
      <c r="H3237">
        <v>0</v>
      </c>
      <c r="I3237">
        <v>0.59</v>
      </c>
      <c r="J3237">
        <v>-0.4</v>
      </c>
      <c r="K3237" t="s">
        <v>326</v>
      </c>
      <c r="L3237">
        <v>-18.78</v>
      </c>
      <c r="M3237" t="s">
        <v>13678</v>
      </c>
      <c r="N3237">
        <v>0</v>
      </c>
      <c r="O3237" t="s">
        <v>13679</v>
      </c>
      <c r="P3237" t="s">
        <v>6710</v>
      </c>
      <c r="Q3237">
        <v>-166.53</v>
      </c>
      <c r="R3237" t="s">
        <v>13680</v>
      </c>
      <c r="S3237">
        <v>-0.88</v>
      </c>
      <c r="T3237">
        <v>14.36</v>
      </c>
      <c r="U3237" t="s">
        <v>101</v>
      </c>
      <c r="V3237" t="s">
        <v>978</v>
      </c>
      <c r="W3237" t="s">
        <v>1970</v>
      </c>
      <c r="X3237">
        <v>-0.4</v>
      </c>
      <c r="Y3237" t="s">
        <v>889</v>
      </c>
      <c r="Z3237" t="s">
        <v>1523</v>
      </c>
      <c r="AA3237" t="s">
        <v>13681</v>
      </c>
      <c r="AB3237">
        <v>7.88</v>
      </c>
      <c r="AC3237" t="s">
        <v>2450</v>
      </c>
      <c r="AD3237">
        <v>44.5</v>
      </c>
      <c r="AE3237" t="s">
        <v>3197</v>
      </c>
      <c r="AF3237">
        <v>0.39</v>
      </c>
      <c r="AG3237" t="s">
        <v>985</v>
      </c>
      <c r="AH3237">
        <v>0</v>
      </c>
      <c r="AI3237" s="4">
        <v>34309</v>
      </c>
    </row>
    <row r="3238" spans="1:35">
      <c r="A3238">
        <v>3237</v>
      </c>
      <c r="B3238" t="str">
        <f>"600677"</f>
        <v>600677</v>
      </c>
      <c r="C3238" t="s">
        <v>13682</v>
      </c>
      <c r="D3238" s="4">
        <v>43190</v>
      </c>
      <c r="E3238" t="s">
        <v>4427</v>
      </c>
      <c r="F3238" t="s">
        <v>104</v>
      </c>
      <c r="G3238">
        <v>5434</v>
      </c>
      <c r="H3238">
        <v>-0.02</v>
      </c>
      <c r="I3238">
        <v>6.22</v>
      </c>
      <c r="J3238">
        <v>-0.4</v>
      </c>
      <c r="K3238" t="s">
        <v>450</v>
      </c>
      <c r="L3238">
        <v>6.44</v>
      </c>
      <c r="M3238" t="s">
        <v>13683</v>
      </c>
      <c r="N3238" t="s">
        <v>13684</v>
      </c>
      <c r="O3238" t="s">
        <v>5907</v>
      </c>
      <c r="P3238" t="s">
        <v>13685</v>
      </c>
      <c r="Q3238">
        <v>-311.85000000000002</v>
      </c>
      <c r="R3238" t="s">
        <v>181</v>
      </c>
      <c r="S3238">
        <v>1.1200000000000001</v>
      </c>
      <c r="T3238">
        <v>13.31</v>
      </c>
      <c r="U3238" t="s">
        <v>1097</v>
      </c>
      <c r="V3238" t="s">
        <v>2504</v>
      </c>
      <c r="W3238" t="s">
        <v>1569</v>
      </c>
      <c r="X3238">
        <v>-0.4</v>
      </c>
      <c r="Y3238" t="s">
        <v>1745</v>
      </c>
      <c r="Z3238" t="s">
        <v>3449</v>
      </c>
      <c r="AA3238" t="s">
        <v>124</v>
      </c>
      <c r="AB3238">
        <v>1.18</v>
      </c>
      <c r="AC3238" t="s">
        <v>249</v>
      </c>
      <c r="AD3238">
        <v>19.14</v>
      </c>
      <c r="AE3238" t="s">
        <v>1693</v>
      </c>
      <c r="AF3238">
        <v>4.07</v>
      </c>
      <c r="AG3238">
        <v>0</v>
      </c>
      <c r="AH3238">
        <v>0</v>
      </c>
      <c r="AI3238" s="4">
        <v>34240</v>
      </c>
    </row>
    <row r="3239" spans="1:35">
      <c r="A3239">
        <v>3238</v>
      </c>
      <c r="B3239" t="str">
        <f>"600152"</f>
        <v>600152</v>
      </c>
      <c r="C3239" t="s">
        <v>13686</v>
      </c>
      <c r="D3239" s="4">
        <v>43190</v>
      </c>
      <c r="E3239" t="s">
        <v>335</v>
      </c>
      <c r="F3239" t="s">
        <v>1402</v>
      </c>
      <c r="G3239">
        <v>9353</v>
      </c>
      <c r="H3239">
        <v>-0.01</v>
      </c>
      <c r="I3239">
        <v>3.11</v>
      </c>
      <c r="J3239">
        <v>-0.4</v>
      </c>
      <c r="K3239" t="s">
        <v>2102</v>
      </c>
      <c r="L3239">
        <v>-24.96</v>
      </c>
      <c r="M3239" t="s">
        <v>13687</v>
      </c>
      <c r="N3239" t="s">
        <v>6558</v>
      </c>
      <c r="O3239" t="s">
        <v>13688</v>
      </c>
      <c r="P3239" t="s">
        <v>13689</v>
      </c>
      <c r="Q3239">
        <v>52.65</v>
      </c>
      <c r="R3239" t="s">
        <v>6886</v>
      </c>
      <c r="S3239">
        <v>0.05</v>
      </c>
      <c r="T3239">
        <v>16.760000000000002</v>
      </c>
      <c r="U3239" t="s">
        <v>981</v>
      </c>
      <c r="V3239" t="s">
        <v>848</v>
      </c>
      <c r="W3239" t="s">
        <v>137</v>
      </c>
      <c r="X3239">
        <v>-0.4</v>
      </c>
      <c r="Y3239" t="s">
        <v>973</v>
      </c>
      <c r="Z3239" t="s">
        <v>699</v>
      </c>
      <c r="AA3239" t="s">
        <v>13690</v>
      </c>
      <c r="AB3239">
        <v>1.72</v>
      </c>
      <c r="AC3239" t="s">
        <v>971</v>
      </c>
      <c r="AD3239">
        <v>54.67</v>
      </c>
      <c r="AE3239" t="s">
        <v>1778</v>
      </c>
      <c r="AF3239">
        <v>1.83</v>
      </c>
      <c r="AG3239">
        <v>0</v>
      </c>
      <c r="AH3239">
        <v>0</v>
      </c>
      <c r="AI3239" s="4">
        <v>35955</v>
      </c>
    </row>
    <row r="3240" spans="1:35">
      <c r="A3240">
        <v>3239</v>
      </c>
      <c r="B3240" t="str">
        <f>"300169"</f>
        <v>300169</v>
      </c>
      <c r="C3240" t="s">
        <v>13691</v>
      </c>
      <c r="D3240" s="4">
        <v>43190</v>
      </c>
      <c r="E3240" t="s">
        <v>90</v>
      </c>
      <c r="F3240" t="s">
        <v>726</v>
      </c>
      <c r="G3240" t="s">
        <v>1838</v>
      </c>
      <c r="H3240">
        <v>-0.01</v>
      </c>
      <c r="I3240">
        <v>3.6</v>
      </c>
      <c r="J3240">
        <v>-0.4</v>
      </c>
      <c r="K3240" t="s">
        <v>319</v>
      </c>
      <c r="L3240">
        <v>-3.75</v>
      </c>
      <c r="M3240" t="s">
        <v>13692</v>
      </c>
      <c r="N3240" t="s">
        <v>13693</v>
      </c>
      <c r="O3240" t="s">
        <v>13694</v>
      </c>
      <c r="P3240" t="s">
        <v>13695</v>
      </c>
      <c r="Q3240">
        <v>37.299999999999997</v>
      </c>
      <c r="R3240" t="s">
        <v>3615</v>
      </c>
      <c r="S3240">
        <v>0</v>
      </c>
      <c r="T3240">
        <v>30.96</v>
      </c>
      <c r="U3240" t="s">
        <v>159</v>
      </c>
      <c r="V3240" t="s">
        <v>835</v>
      </c>
      <c r="W3240" t="s">
        <v>338</v>
      </c>
      <c r="X3240">
        <v>-0.4</v>
      </c>
      <c r="Y3240" t="s">
        <v>1946</v>
      </c>
      <c r="Z3240" t="s">
        <v>3544</v>
      </c>
      <c r="AA3240" t="s">
        <v>1360</v>
      </c>
      <c r="AB3240">
        <v>1.3</v>
      </c>
      <c r="AC3240" t="s">
        <v>192</v>
      </c>
      <c r="AD3240">
        <v>56.07</v>
      </c>
      <c r="AE3240" t="s">
        <v>4796</v>
      </c>
      <c r="AF3240">
        <v>2.54</v>
      </c>
      <c r="AG3240">
        <v>0</v>
      </c>
      <c r="AH3240">
        <v>0</v>
      </c>
      <c r="AI3240" s="4">
        <v>40568</v>
      </c>
    </row>
    <row r="3241" spans="1:35">
      <c r="A3241">
        <v>3240</v>
      </c>
      <c r="B3241" t="str">
        <f>"601992"</f>
        <v>601992</v>
      </c>
      <c r="C3241" t="s">
        <v>13696</v>
      </c>
      <c r="D3241" s="4">
        <v>43190</v>
      </c>
      <c r="E3241" t="s">
        <v>3472</v>
      </c>
      <c r="F3241" t="s">
        <v>557</v>
      </c>
      <c r="G3241">
        <v>0</v>
      </c>
      <c r="H3241">
        <v>-0.02</v>
      </c>
      <c r="I3241">
        <v>3.82</v>
      </c>
      <c r="J3241">
        <v>-0.42</v>
      </c>
      <c r="K3241" t="s">
        <v>2181</v>
      </c>
      <c r="L3241">
        <v>-12.34</v>
      </c>
      <c r="M3241" t="s">
        <v>13697</v>
      </c>
      <c r="N3241" t="s">
        <v>13698</v>
      </c>
      <c r="O3241" t="s">
        <v>13699</v>
      </c>
      <c r="P3241" t="s">
        <v>11787</v>
      </c>
      <c r="Q3241">
        <v>-148.26</v>
      </c>
      <c r="R3241" t="s">
        <v>1265</v>
      </c>
      <c r="S3241">
        <v>2.1</v>
      </c>
      <c r="T3241">
        <v>22.27</v>
      </c>
      <c r="U3241" t="s">
        <v>13700</v>
      </c>
      <c r="V3241" t="s">
        <v>13701</v>
      </c>
      <c r="W3241" t="s">
        <v>9344</v>
      </c>
      <c r="X3241">
        <v>-0.42</v>
      </c>
      <c r="Y3241" t="s">
        <v>13702</v>
      </c>
      <c r="Z3241" t="s">
        <v>4822</v>
      </c>
      <c r="AA3241" t="s">
        <v>4622</v>
      </c>
      <c r="AB3241">
        <v>0.84</v>
      </c>
      <c r="AC3241" t="s">
        <v>13703</v>
      </c>
      <c r="AD3241">
        <v>21.58</v>
      </c>
      <c r="AE3241" t="s">
        <v>3701</v>
      </c>
      <c r="AF3241">
        <v>0.55000000000000004</v>
      </c>
      <c r="AG3241">
        <v>0</v>
      </c>
      <c r="AH3241" t="s">
        <v>242</v>
      </c>
      <c r="AI3241" s="4">
        <v>40603</v>
      </c>
    </row>
    <row r="3242" spans="1:35">
      <c r="A3242">
        <v>3241</v>
      </c>
      <c r="B3242" t="str">
        <f>"600091"</f>
        <v>600091</v>
      </c>
      <c r="C3242" t="s">
        <v>13704</v>
      </c>
      <c r="D3242" s="4">
        <v>43190</v>
      </c>
      <c r="E3242" t="s">
        <v>4794</v>
      </c>
      <c r="F3242" t="s">
        <v>678</v>
      </c>
      <c r="G3242" t="s">
        <v>3773</v>
      </c>
      <c r="H3242">
        <v>-0.01</v>
      </c>
      <c r="I3242">
        <v>2.04</v>
      </c>
      <c r="J3242">
        <v>-0.42</v>
      </c>
      <c r="K3242" t="s">
        <v>7100</v>
      </c>
      <c r="L3242">
        <v>3.68</v>
      </c>
      <c r="M3242" t="s">
        <v>13692</v>
      </c>
      <c r="N3242" t="s">
        <v>10047</v>
      </c>
      <c r="O3242" t="s">
        <v>13705</v>
      </c>
      <c r="P3242" t="s">
        <v>13705</v>
      </c>
      <c r="Q3242">
        <v>-121.5</v>
      </c>
      <c r="R3242" t="s">
        <v>13706</v>
      </c>
      <c r="S3242">
        <v>-2.93</v>
      </c>
      <c r="T3242">
        <v>0.45</v>
      </c>
      <c r="U3242" t="s">
        <v>1033</v>
      </c>
      <c r="V3242" t="s">
        <v>327</v>
      </c>
      <c r="W3242" t="s">
        <v>9494</v>
      </c>
      <c r="X3242">
        <v>-0.42</v>
      </c>
      <c r="Y3242" t="s">
        <v>2132</v>
      </c>
      <c r="Z3242" t="s">
        <v>7835</v>
      </c>
      <c r="AA3242" t="s">
        <v>2889</v>
      </c>
      <c r="AB3242">
        <v>1.73</v>
      </c>
      <c r="AC3242" t="s">
        <v>1587</v>
      </c>
      <c r="AD3242">
        <v>74.989999999999995</v>
      </c>
      <c r="AE3242" t="s">
        <v>1190</v>
      </c>
      <c r="AF3242">
        <v>3.82</v>
      </c>
      <c r="AG3242">
        <v>0</v>
      </c>
      <c r="AH3242">
        <v>0</v>
      </c>
      <c r="AI3242" s="4">
        <v>35615</v>
      </c>
    </row>
    <row r="3243" spans="1:35">
      <c r="A3243">
        <v>3242</v>
      </c>
      <c r="B3243" t="str">
        <f>"600067"</f>
        <v>600067</v>
      </c>
      <c r="C3243" t="s">
        <v>13707</v>
      </c>
      <c r="D3243" s="4">
        <v>43190</v>
      </c>
      <c r="E3243" t="s">
        <v>759</v>
      </c>
      <c r="F3243" t="s">
        <v>759</v>
      </c>
      <c r="G3243" t="s">
        <v>2511</v>
      </c>
      <c r="H3243">
        <v>-0.02</v>
      </c>
      <c r="I3243">
        <v>4.72</v>
      </c>
      <c r="J3243">
        <v>-0.42</v>
      </c>
      <c r="K3243" t="s">
        <v>192</v>
      </c>
      <c r="L3243">
        <v>-51.93</v>
      </c>
      <c r="M3243" t="s">
        <v>13315</v>
      </c>
      <c r="N3243" t="s">
        <v>13708</v>
      </c>
      <c r="O3243" t="s">
        <v>13709</v>
      </c>
      <c r="P3243" t="s">
        <v>13710</v>
      </c>
      <c r="Q3243">
        <v>-110.26</v>
      </c>
      <c r="R3243" t="s">
        <v>1517</v>
      </c>
      <c r="S3243">
        <v>2.62</v>
      </c>
      <c r="T3243">
        <v>13.08</v>
      </c>
      <c r="U3243" t="s">
        <v>2799</v>
      </c>
      <c r="V3243" t="s">
        <v>1097</v>
      </c>
      <c r="W3243" t="s">
        <v>101</v>
      </c>
      <c r="X3243">
        <v>-0.42</v>
      </c>
      <c r="Y3243" t="s">
        <v>413</v>
      </c>
      <c r="Z3243" t="s">
        <v>3069</v>
      </c>
      <c r="AA3243" t="s">
        <v>1050</v>
      </c>
      <c r="AB3243">
        <v>0.86</v>
      </c>
      <c r="AC3243" t="s">
        <v>885</v>
      </c>
      <c r="AD3243">
        <v>33.03</v>
      </c>
      <c r="AE3243" t="s">
        <v>982</v>
      </c>
      <c r="AF3243">
        <v>0.82</v>
      </c>
      <c r="AG3243">
        <v>0</v>
      </c>
      <c r="AH3243">
        <v>0</v>
      </c>
      <c r="AI3243" s="4">
        <v>35558</v>
      </c>
    </row>
    <row r="3244" spans="1:35">
      <c r="A3244">
        <v>3243</v>
      </c>
      <c r="B3244" t="str">
        <f>"600896"</f>
        <v>600896</v>
      </c>
      <c r="C3244" t="s">
        <v>13711</v>
      </c>
      <c r="D3244" s="4">
        <v>43190</v>
      </c>
      <c r="E3244" t="s">
        <v>125</v>
      </c>
      <c r="F3244" t="s">
        <v>92</v>
      </c>
      <c r="G3244" t="s">
        <v>1448</v>
      </c>
      <c r="H3244">
        <v>-0.01</v>
      </c>
      <c r="I3244">
        <v>1.92</v>
      </c>
      <c r="J3244">
        <v>-0.43</v>
      </c>
      <c r="K3244" t="s">
        <v>9518</v>
      </c>
      <c r="L3244">
        <v>59.56</v>
      </c>
      <c r="M3244" t="s">
        <v>13712</v>
      </c>
      <c r="N3244" t="s">
        <v>13713</v>
      </c>
      <c r="O3244" t="s">
        <v>13712</v>
      </c>
      <c r="P3244" t="s">
        <v>13714</v>
      </c>
      <c r="Q3244">
        <v>96.12</v>
      </c>
      <c r="R3244" t="s">
        <v>13715</v>
      </c>
      <c r="S3244">
        <v>-1.34</v>
      </c>
      <c r="T3244">
        <v>-38.78</v>
      </c>
      <c r="U3244" t="s">
        <v>1781</v>
      </c>
      <c r="V3244" t="s">
        <v>725</v>
      </c>
      <c r="W3244" t="s">
        <v>9850</v>
      </c>
      <c r="X3244">
        <v>-0.43</v>
      </c>
      <c r="Y3244" t="s">
        <v>187</v>
      </c>
      <c r="Z3244" t="s">
        <v>983</v>
      </c>
      <c r="AA3244" t="s">
        <v>188</v>
      </c>
      <c r="AB3244">
        <v>2.67</v>
      </c>
      <c r="AC3244" t="s">
        <v>1190</v>
      </c>
      <c r="AD3244">
        <v>43.3</v>
      </c>
      <c r="AE3244" t="s">
        <v>754</v>
      </c>
      <c r="AF3244">
        <v>2.1</v>
      </c>
      <c r="AG3244">
        <v>0</v>
      </c>
      <c r="AH3244">
        <v>0</v>
      </c>
      <c r="AI3244" s="4">
        <v>35188</v>
      </c>
    </row>
    <row r="3245" spans="1:35">
      <c r="A3245">
        <v>3244</v>
      </c>
      <c r="B3245" t="str">
        <f>"600316"</f>
        <v>600316</v>
      </c>
      <c r="C3245" t="s">
        <v>13716</v>
      </c>
      <c r="D3245" s="4">
        <v>43190</v>
      </c>
      <c r="E3245" t="s">
        <v>889</v>
      </c>
      <c r="F3245" t="s">
        <v>889</v>
      </c>
      <c r="G3245" t="s">
        <v>2478</v>
      </c>
      <c r="H3245">
        <v>-0.03</v>
      </c>
      <c r="I3245">
        <v>6.88</v>
      </c>
      <c r="J3245">
        <v>-0.43</v>
      </c>
      <c r="K3245" t="s">
        <v>3768</v>
      </c>
      <c r="L3245">
        <v>-52.33</v>
      </c>
      <c r="M3245" t="s">
        <v>13717</v>
      </c>
      <c r="N3245" t="s">
        <v>13718</v>
      </c>
      <c r="O3245" t="s">
        <v>13719</v>
      </c>
      <c r="P3245" t="s">
        <v>13720</v>
      </c>
      <c r="Q3245">
        <v>27.31</v>
      </c>
      <c r="R3245" t="s">
        <v>741</v>
      </c>
      <c r="S3245">
        <v>0.97</v>
      </c>
      <c r="T3245">
        <v>6.73</v>
      </c>
      <c r="U3245" t="s">
        <v>3265</v>
      </c>
      <c r="V3245" t="s">
        <v>1061</v>
      </c>
      <c r="W3245" t="s">
        <v>1284</v>
      </c>
      <c r="X3245">
        <v>-0.43</v>
      </c>
      <c r="Y3245" t="s">
        <v>740</v>
      </c>
      <c r="Z3245" t="s">
        <v>830</v>
      </c>
      <c r="AA3245" t="s">
        <v>382</v>
      </c>
      <c r="AB3245">
        <v>1.26</v>
      </c>
      <c r="AC3245" t="s">
        <v>1022</v>
      </c>
      <c r="AD3245">
        <v>51.43</v>
      </c>
      <c r="AE3245" t="s">
        <v>1380</v>
      </c>
      <c r="AF3245">
        <v>4.38</v>
      </c>
      <c r="AG3245">
        <v>0</v>
      </c>
      <c r="AH3245">
        <v>0</v>
      </c>
      <c r="AI3245" s="4">
        <v>36875</v>
      </c>
    </row>
    <row r="3246" spans="1:35">
      <c r="A3246">
        <v>3245</v>
      </c>
      <c r="B3246" t="str">
        <f>"300105"</f>
        <v>300105</v>
      </c>
      <c r="C3246" t="s">
        <v>13721</v>
      </c>
      <c r="D3246" s="4">
        <v>43190</v>
      </c>
      <c r="E3246" t="s">
        <v>647</v>
      </c>
      <c r="F3246" t="s">
        <v>647</v>
      </c>
      <c r="G3246" t="s">
        <v>5462</v>
      </c>
      <c r="H3246">
        <v>-0.02</v>
      </c>
      <c r="I3246">
        <v>3.75</v>
      </c>
      <c r="J3246">
        <v>-0.43</v>
      </c>
      <c r="K3246" t="s">
        <v>9652</v>
      </c>
      <c r="L3246">
        <v>-43.99</v>
      </c>
      <c r="M3246" t="s">
        <v>7359</v>
      </c>
      <c r="N3246">
        <v>0</v>
      </c>
      <c r="O3246" t="s">
        <v>13722</v>
      </c>
      <c r="P3246" t="s">
        <v>13723</v>
      </c>
      <c r="Q3246">
        <v>8.27</v>
      </c>
      <c r="R3246" t="s">
        <v>857</v>
      </c>
      <c r="S3246">
        <v>1.21</v>
      </c>
      <c r="T3246">
        <v>30.81</v>
      </c>
      <c r="U3246" t="s">
        <v>2291</v>
      </c>
      <c r="V3246" t="s">
        <v>101</v>
      </c>
      <c r="W3246" t="s">
        <v>610</v>
      </c>
      <c r="X3246">
        <v>-0.43</v>
      </c>
      <c r="Y3246" t="s">
        <v>314</v>
      </c>
      <c r="Z3246" t="s">
        <v>143</v>
      </c>
      <c r="AA3246" t="s">
        <v>1123</v>
      </c>
      <c r="AB3246">
        <v>1.1200000000000001</v>
      </c>
      <c r="AC3246" t="s">
        <v>702</v>
      </c>
      <c r="AD3246">
        <v>84.26</v>
      </c>
      <c r="AE3246" t="s">
        <v>883</v>
      </c>
      <c r="AF3246">
        <v>1.32</v>
      </c>
      <c r="AG3246">
        <v>0</v>
      </c>
      <c r="AH3246">
        <v>0</v>
      </c>
      <c r="AI3246" s="4">
        <v>40410</v>
      </c>
    </row>
    <row r="3247" spans="1:35">
      <c r="A3247">
        <v>3246</v>
      </c>
      <c r="B3247" t="str">
        <f>"300277"</f>
        <v>300277</v>
      </c>
      <c r="C3247" t="s">
        <v>13724</v>
      </c>
      <c r="D3247" s="4">
        <v>43190</v>
      </c>
      <c r="E3247" t="s">
        <v>681</v>
      </c>
      <c r="F3247" t="s">
        <v>1967</v>
      </c>
      <c r="G3247" t="s">
        <v>3258</v>
      </c>
      <c r="H3247">
        <v>-0.01</v>
      </c>
      <c r="I3247">
        <v>1.4</v>
      </c>
      <c r="J3247">
        <v>-0.44</v>
      </c>
      <c r="K3247" t="s">
        <v>13725</v>
      </c>
      <c r="L3247">
        <v>-44.05</v>
      </c>
      <c r="M3247" t="s">
        <v>13726</v>
      </c>
      <c r="N3247">
        <v>0</v>
      </c>
      <c r="O3247" t="s">
        <v>13726</v>
      </c>
      <c r="P3247" t="s">
        <v>10619</v>
      </c>
      <c r="Q3247">
        <v>-72.430000000000007</v>
      </c>
      <c r="R3247" t="s">
        <v>13727</v>
      </c>
      <c r="S3247">
        <v>0.1</v>
      </c>
      <c r="T3247">
        <v>29.96</v>
      </c>
      <c r="U3247" t="s">
        <v>1444</v>
      </c>
      <c r="V3247" t="s">
        <v>2580</v>
      </c>
      <c r="W3247" t="s">
        <v>6186</v>
      </c>
      <c r="X3247">
        <v>-0.44</v>
      </c>
      <c r="Y3247" t="s">
        <v>321</v>
      </c>
      <c r="Z3247" t="s">
        <v>552</v>
      </c>
      <c r="AA3247" t="s">
        <v>2476</v>
      </c>
      <c r="AB3247">
        <v>5.42</v>
      </c>
      <c r="AC3247" t="s">
        <v>364</v>
      </c>
      <c r="AD3247">
        <v>73.099999999999994</v>
      </c>
      <c r="AE3247" t="s">
        <v>13728</v>
      </c>
      <c r="AF3247">
        <v>0.25</v>
      </c>
      <c r="AG3247">
        <v>0</v>
      </c>
      <c r="AH3247">
        <v>0</v>
      </c>
      <c r="AI3247" s="4">
        <v>40870</v>
      </c>
    </row>
    <row r="3248" spans="1:35">
      <c r="A3248">
        <v>3247</v>
      </c>
      <c r="B3248" t="str">
        <f>"002857"</f>
        <v>002857</v>
      </c>
      <c r="C3248" t="s">
        <v>13729</v>
      </c>
      <c r="D3248" s="4">
        <v>43190</v>
      </c>
      <c r="E3248" t="s">
        <v>86</v>
      </c>
      <c r="F3248" t="s">
        <v>13503</v>
      </c>
      <c r="G3248">
        <v>3750</v>
      </c>
      <c r="H3248">
        <v>-0.01</v>
      </c>
      <c r="I3248">
        <v>3.27</v>
      </c>
      <c r="J3248">
        <v>-0.44</v>
      </c>
      <c r="K3248" t="s">
        <v>8374</v>
      </c>
      <c r="L3248">
        <v>-24.9</v>
      </c>
      <c r="M3248" t="s">
        <v>13730</v>
      </c>
      <c r="N3248" t="s">
        <v>1558</v>
      </c>
      <c r="O3248" t="s">
        <v>13731</v>
      </c>
      <c r="P3248" t="s">
        <v>12342</v>
      </c>
      <c r="Q3248">
        <v>54.82</v>
      </c>
      <c r="R3248" t="s">
        <v>382</v>
      </c>
      <c r="S3248">
        <v>1.19</v>
      </c>
      <c r="T3248">
        <v>36.68</v>
      </c>
      <c r="U3248" t="s">
        <v>734</v>
      </c>
      <c r="V3248" t="s">
        <v>2789</v>
      </c>
      <c r="W3248" t="s">
        <v>2891</v>
      </c>
      <c r="X3248">
        <v>-0.44</v>
      </c>
      <c r="Y3248" t="s">
        <v>1626</v>
      </c>
      <c r="Z3248" t="s">
        <v>1626</v>
      </c>
      <c r="AA3248">
        <v>0</v>
      </c>
      <c r="AB3248">
        <v>3.54</v>
      </c>
      <c r="AC3248" t="s">
        <v>806</v>
      </c>
      <c r="AD3248">
        <v>78.23</v>
      </c>
      <c r="AE3248" t="s">
        <v>2031</v>
      </c>
      <c r="AF3248">
        <v>0.91</v>
      </c>
      <c r="AG3248">
        <v>0</v>
      </c>
      <c r="AH3248">
        <v>0</v>
      </c>
      <c r="AI3248" s="4">
        <v>42817</v>
      </c>
    </row>
    <row r="3249" spans="1:35">
      <c r="A3249">
        <v>3248</v>
      </c>
      <c r="B3249" t="str">
        <f>"300698"</f>
        <v>300698</v>
      </c>
      <c r="C3249" t="s">
        <v>13732</v>
      </c>
      <c r="D3249" s="4">
        <v>43190</v>
      </c>
      <c r="E3249" t="s">
        <v>595</v>
      </c>
      <c r="F3249" t="s">
        <v>13733</v>
      </c>
      <c r="G3249">
        <v>1430</v>
      </c>
      <c r="H3249">
        <v>-0.01</v>
      </c>
      <c r="I3249">
        <v>2.82</v>
      </c>
      <c r="J3249">
        <v>-0.45</v>
      </c>
      <c r="K3249" t="s">
        <v>9029</v>
      </c>
      <c r="L3249">
        <v>-3.67</v>
      </c>
      <c r="M3249" t="s">
        <v>13734</v>
      </c>
      <c r="N3249" t="s">
        <v>13094</v>
      </c>
      <c r="O3249" t="s">
        <v>13735</v>
      </c>
      <c r="P3249" t="s">
        <v>9418</v>
      </c>
      <c r="Q3249">
        <v>-138.04</v>
      </c>
      <c r="R3249" t="s">
        <v>13736</v>
      </c>
      <c r="S3249">
        <v>0.56000000000000005</v>
      </c>
      <c r="T3249">
        <v>26.8</v>
      </c>
      <c r="U3249" t="s">
        <v>4279</v>
      </c>
      <c r="V3249" t="s">
        <v>1645</v>
      </c>
      <c r="W3249" t="s">
        <v>7983</v>
      </c>
      <c r="X3249">
        <v>-0.45</v>
      </c>
      <c r="Y3249" t="s">
        <v>1245</v>
      </c>
      <c r="Z3249" t="s">
        <v>1245</v>
      </c>
      <c r="AA3249">
        <v>0</v>
      </c>
      <c r="AB3249">
        <v>7.92</v>
      </c>
      <c r="AC3249" t="s">
        <v>2224</v>
      </c>
      <c r="AD3249">
        <v>61.89</v>
      </c>
      <c r="AE3249" t="s">
        <v>1689</v>
      </c>
      <c r="AF3249">
        <v>1.19</v>
      </c>
      <c r="AG3249">
        <v>0</v>
      </c>
      <c r="AH3249">
        <v>0</v>
      </c>
      <c r="AI3249" s="4">
        <v>42978</v>
      </c>
    </row>
    <row r="3250" spans="1:35">
      <c r="A3250">
        <v>3249</v>
      </c>
      <c r="B3250" t="str">
        <f>"002485"</f>
        <v>002485</v>
      </c>
      <c r="C3250" t="s">
        <v>13737</v>
      </c>
      <c r="D3250" s="4">
        <v>43190</v>
      </c>
      <c r="E3250" t="s">
        <v>318</v>
      </c>
      <c r="F3250" t="s">
        <v>318</v>
      </c>
      <c r="G3250" t="s">
        <v>13738</v>
      </c>
      <c r="H3250">
        <v>-0.02</v>
      </c>
      <c r="I3250">
        <v>3.68</v>
      </c>
      <c r="J3250">
        <v>-0.45</v>
      </c>
      <c r="K3250" t="s">
        <v>136</v>
      </c>
      <c r="L3250">
        <v>-15.72</v>
      </c>
      <c r="M3250" t="s">
        <v>13739</v>
      </c>
      <c r="N3250">
        <v>0</v>
      </c>
      <c r="O3250" t="s">
        <v>13740</v>
      </c>
      <c r="P3250" t="s">
        <v>13741</v>
      </c>
      <c r="Q3250">
        <v>28.88</v>
      </c>
      <c r="R3250" t="s">
        <v>1074</v>
      </c>
      <c r="S3250">
        <v>0.63</v>
      </c>
      <c r="T3250">
        <v>19.54</v>
      </c>
      <c r="U3250" t="s">
        <v>1661</v>
      </c>
      <c r="V3250" t="s">
        <v>147</v>
      </c>
      <c r="W3250" t="s">
        <v>382</v>
      </c>
      <c r="X3250">
        <v>-0.45</v>
      </c>
      <c r="Y3250" t="s">
        <v>1909</v>
      </c>
      <c r="Z3250" t="s">
        <v>417</v>
      </c>
      <c r="AA3250" t="s">
        <v>10846</v>
      </c>
      <c r="AB3250">
        <v>3.86</v>
      </c>
      <c r="AC3250" t="s">
        <v>1000</v>
      </c>
      <c r="AD3250">
        <v>75.569999999999993</v>
      </c>
      <c r="AE3250" t="s">
        <v>164</v>
      </c>
      <c r="AF3250">
        <v>1.91</v>
      </c>
      <c r="AG3250">
        <v>0</v>
      </c>
      <c r="AH3250">
        <v>0</v>
      </c>
      <c r="AI3250" s="4">
        <v>40466</v>
      </c>
    </row>
    <row r="3251" spans="1:35">
      <c r="A3251">
        <v>3250</v>
      </c>
      <c r="B3251" t="str">
        <f>"002272"</f>
        <v>002272</v>
      </c>
      <c r="C3251" t="s">
        <v>13742</v>
      </c>
      <c r="D3251" s="4">
        <v>43190</v>
      </c>
      <c r="E3251" t="s">
        <v>914</v>
      </c>
      <c r="F3251" t="s">
        <v>1530</v>
      </c>
      <c r="G3251" t="s">
        <v>2125</v>
      </c>
      <c r="H3251">
        <v>-0.01</v>
      </c>
      <c r="I3251">
        <v>2.78</v>
      </c>
      <c r="J3251">
        <v>-0.45</v>
      </c>
      <c r="K3251" t="s">
        <v>600</v>
      </c>
      <c r="L3251">
        <v>-31.98</v>
      </c>
      <c r="M3251" t="s">
        <v>10784</v>
      </c>
      <c r="N3251">
        <v>0</v>
      </c>
      <c r="O3251" t="s">
        <v>13743</v>
      </c>
      <c r="P3251" t="s">
        <v>13744</v>
      </c>
      <c r="Q3251">
        <v>-264.91000000000003</v>
      </c>
      <c r="R3251" t="s">
        <v>13745</v>
      </c>
      <c r="S3251">
        <v>0.2</v>
      </c>
      <c r="T3251">
        <v>18.440000000000001</v>
      </c>
      <c r="U3251" t="s">
        <v>1792</v>
      </c>
      <c r="V3251" t="s">
        <v>1496</v>
      </c>
      <c r="W3251" t="s">
        <v>3044</v>
      </c>
      <c r="X3251">
        <v>-0.45</v>
      </c>
      <c r="Y3251" t="s">
        <v>1939</v>
      </c>
      <c r="Z3251" t="s">
        <v>1594</v>
      </c>
      <c r="AA3251" t="s">
        <v>5451</v>
      </c>
      <c r="AB3251">
        <v>1.48</v>
      </c>
      <c r="AC3251" t="s">
        <v>192</v>
      </c>
      <c r="AD3251">
        <v>74.81</v>
      </c>
      <c r="AE3251" t="s">
        <v>448</v>
      </c>
      <c r="AF3251">
        <v>1.52</v>
      </c>
      <c r="AG3251">
        <v>0</v>
      </c>
      <c r="AH3251">
        <v>0</v>
      </c>
      <c r="AI3251" s="4">
        <v>39710</v>
      </c>
    </row>
    <row r="3252" spans="1:35">
      <c r="A3252">
        <v>3251</v>
      </c>
      <c r="B3252" t="str">
        <f>"603366"</f>
        <v>603366</v>
      </c>
      <c r="C3252" t="s">
        <v>13746</v>
      </c>
      <c r="D3252" s="4">
        <v>43190</v>
      </c>
      <c r="E3252" t="s">
        <v>539</v>
      </c>
      <c r="F3252" t="s">
        <v>539</v>
      </c>
      <c r="G3252" t="s">
        <v>987</v>
      </c>
      <c r="H3252">
        <v>-0.02</v>
      </c>
      <c r="I3252">
        <v>4.41</v>
      </c>
      <c r="J3252">
        <v>-0.46</v>
      </c>
      <c r="K3252" t="s">
        <v>1241</v>
      </c>
      <c r="L3252">
        <v>60.25</v>
      </c>
      <c r="M3252" t="s">
        <v>13747</v>
      </c>
      <c r="N3252" t="s">
        <v>5881</v>
      </c>
      <c r="O3252" t="s">
        <v>13748</v>
      </c>
      <c r="P3252" t="s">
        <v>2433</v>
      </c>
      <c r="Q3252">
        <v>-200.95</v>
      </c>
      <c r="R3252" t="s">
        <v>632</v>
      </c>
      <c r="S3252">
        <v>0.9</v>
      </c>
      <c r="T3252">
        <v>38.82</v>
      </c>
      <c r="U3252" t="s">
        <v>2390</v>
      </c>
      <c r="V3252" t="s">
        <v>1000</v>
      </c>
      <c r="W3252" t="s">
        <v>982</v>
      </c>
      <c r="X3252">
        <v>-0.46</v>
      </c>
      <c r="Y3252" t="s">
        <v>1704</v>
      </c>
      <c r="Z3252" t="s">
        <v>578</v>
      </c>
      <c r="AA3252" t="s">
        <v>355</v>
      </c>
      <c r="AB3252">
        <v>1.17</v>
      </c>
      <c r="AC3252" t="s">
        <v>2093</v>
      </c>
      <c r="AD3252">
        <v>59.48</v>
      </c>
      <c r="AE3252" t="s">
        <v>1455</v>
      </c>
      <c r="AF3252">
        <v>2.2599999999999998</v>
      </c>
      <c r="AG3252">
        <v>0</v>
      </c>
      <c r="AH3252">
        <v>0</v>
      </c>
      <c r="AI3252" s="4">
        <v>41050</v>
      </c>
    </row>
    <row r="3253" spans="1:35">
      <c r="A3253">
        <v>3252</v>
      </c>
      <c r="B3253" t="str">
        <f>"601126"</f>
        <v>601126</v>
      </c>
      <c r="C3253" t="s">
        <v>13749</v>
      </c>
      <c r="D3253" s="4">
        <v>43190</v>
      </c>
      <c r="E3253" t="s">
        <v>1756</v>
      </c>
      <c r="F3253" t="s">
        <v>1756</v>
      </c>
      <c r="G3253" t="s">
        <v>6136</v>
      </c>
      <c r="H3253">
        <v>-0.02</v>
      </c>
      <c r="I3253">
        <v>4.66</v>
      </c>
      <c r="J3253">
        <v>-0.47</v>
      </c>
      <c r="K3253" t="s">
        <v>1128</v>
      </c>
      <c r="L3253">
        <v>7.71</v>
      </c>
      <c r="M3253" t="s">
        <v>13750</v>
      </c>
      <c r="N3253" t="s">
        <v>567</v>
      </c>
      <c r="O3253" t="s">
        <v>13751</v>
      </c>
      <c r="P3253" t="s">
        <v>13562</v>
      </c>
      <c r="Q3253">
        <v>3.68</v>
      </c>
      <c r="R3253" t="s">
        <v>80</v>
      </c>
      <c r="S3253">
        <v>1.63</v>
      </c>
      <c r="T3253">
        <v>45.13</v>
      </c>
      <c r="U3253" t="s">
        <v>2211</v>
      </c>
      <c r="V3253" t="s">
        <v>2301</v>
      </c>
      <c r="W3253" t="s">
        <v>417</v>
      </c>
      <c r="X3253">
        <v>-0.47</v>
      </c>
      <c r="Y3253" t="s">
        <v>263</v>
      </c>
      <c r="Z3253" t="s">
        <v>1384</v>
      </c>
      <c r="AA3253" t="s">
        <v>7096</v>
      </c>
      <c r="AB3253">
        <v>1.04</v>
      </c>
      <c r="AC3253" t="s">
        <v>230</v>
      </c>
      <c r="AD3253">
        <v>73.010000000000005</v>
      </c>
      <c r="AE3253" t="s">
        <v>173</v>
      </c>
      <c r="AF3253">
        <v>1.74</v>
      </c>
      <c r="AG3253">
        <v>0</v>
      </c>
      <c r="AH3253">
        <v>0</v>
      </c>
      <c r="AI3253" s="4">
        <v>40543</v>
      </c>
    </row>
    <row r="3254" spans="1:35">
      <c r="A3254">
        <v>3253</v>
      </c>
      <c r="B3254" t="str">
        <f>"300573"</f>
        <v>300573</v>
      </c>
      <c r="C3254" t="s">
        <v>13752</v>
      </c>
      <c r="D3254" s="4">
        <v>43190</v>
      </c>
      <c r="E3254" t="s">
        <v>2575</v>
      </c>
      <c r="F3254" t="s">
        <v>13753</v>
      </c>
      <c r="G3254">
        <v>5771</v>
      </c>
      <c r="H3254">
        <v>-0.03</v>
      </c>
      <c r="I3254">
        <v>6.6</v>
      </c>
      <c r="J3254">
        <v>-0.47</v>
      </c>
      <c r="K3254" t="s">
        <v>13754</v>
      </c>
      <c r="L3254">
        <v>2.57</v>
      </c>
      <c r="M3254" t="s">
        <v>13755</v>
      </c>
      <c r="N3254">
        <v>0</v>
      </c>
      <c r="O3254" t="s">
        <v>13755</v>
      </c>
      <c r="P3254" t="s">
        <v>13450</v>
      </c>
      <c r="Q3254">
        <v>-130.01</v>
      </c>
      <c r="R3254" t="s">
        <v>118</v>
      </c>
      <c r="S3254">
        <v>2.37</v>
      </c>
      <c r="T3254">
        <v>68.08</v>
      </c>
      <c r="U3254" t="s">
        <v>491</v>
      </c>
      <c r="V3254" t="s">
        <v>905</v>
      </c>
      <c r="W3254" t="s">
        <v>3027</v>
      </c>
      <c r="X3254">
        <v>-0.47</v>
      </c>
      <c r="Y3254" t="s">
        <v>1626</v>
      </c>
      <c r="Z3254" t="s">
        <v>13756</v>
      </c>
      <c r="AA3254" t="s">
        <v>10594</v>
      </c>
      <c r="AB3254">
        <v>2.79</v>
      </c>
      <c r="AC3254" t="s">
        <v>1438</v>
      </c>
      <c r="AD3254">
        <v>80.7</v>
      </c>
      <c r="AE3254" t="s">
        <v>985</v>
      </c>
      <c r="AF3254">
        <v>2.87</v>
      </c>
      <c r="AG3254">
        <v>0</v>
      </c>
      <c r="AH3254">
        <v>0</v>
      </c>
      <c r="AI3254" s="4">
        <v>42712</v>
      </c>
    </row>
    <row r="3255" spans="1:35">
      <c r="A3255">
        <v>3254</v>
      </c>
      <c r="B3255" t="str">
        <f>"300332"</f>
        <v>300332</v>
      </c>
      <c r="C3255" t="s">
        <v>13757</v>
      </c>
      <c r="D3255" s="4">
        <v>43190</v>
      </c>
      <c r="E3255" t="s">
        <v>1705</v>
      </c>
      <c r="F3255" t="s">
        <v>448</v>
      </c>
      <c r="G3255" t="s">
        <v>360</v>
      </c>
      <c r="H3255">
        <v>-0.02</v>
      </c>
      <c r="I3255">
        <v>3.9</v>
      </c>
      <c r="J3255">
        <v>-0.47</v>
      </c>
      <c r="K3255" t="s">
        <v>1939</v>
      </c>
      <c r="L3255">
        <v>12.89</v>
      </c>
      <c r="M3255" t="s">
        <v>13758</v>
      </c>
      <c r="N3255" t="s">
        <v>12553</v>
      </c>
      <c r="O3255" t="s">
        <v>13759</v>
      </c>
      <c r="P3255" t="s">
        <v>13760</v>
      </c>
      <c r="Q3255">
        <v>-678.16</v>
      </c>
      <c r="R3255" t="s">
        <v>1166</v>
      </c>
      <c r="S3255">
        <v>0.61</v>
      </c>
      <c r="T3255">
        <v>19.13</v>
      </c>
      <c r="U3255" t="s">
        <v>6259</v>
      </c>
      <c r="V3255" t="s">
        <v>576</v>
      </c>
      <c r="W3255" t="s">
        <v>1158</v>
      </c>
      <c r="X3255">
        <v>-0.47</v>
      </c>
      <c r="Y3255" t="s">
        <v>3770</v>
      </c>
      <c r="Z3255" t="s">
        <v>426</v>
      </c>
      <c r="AA3255" t="s">
        <v>76</v>
      </c>
      <c r="AB3255">
        <v>1.1499999999999999</v>
      </c>
      <c r="AC3255" t="s">
        <v>1175</v>
      </c>
      <c r="AD3255">
        <v>43.26</v>
      </c>
      <c r="AE3255" t="s">
        <v>119</v>
      </c>
      <c r="AF3255">
        <v>2.2400000000000002</v>
      </c>
      <c r="AG3255">
        <v>0</v>
      </c>
      <c r="AH3255">
        <v>0</v>
      </c>
      <c r="AI3255" s="4">
        <v>41088</v>
      </c>
    </row>
    <row r="3256" spans="1:35">
      <c r="A3256">
        <v>3255</v>
      </c>
      <c r="B3256" t="str">
        <f>"002122"</f>
        <v>002122</v>
      </c>
      <c r="C3256" t="s">
        <v>13761</v>
      </c>
      <c r="D3256" s="4">
        <v>43190</v>
      </c>
      <c r="E3256" t="s">
        <v>1033</v>
      </c>
      <c r="F3256" t="s">
        <v>250</v>
      </c>
      <c r="G3256" t="s">
        <v>5615</v>
      </c>
      <c r="H3256">
        <v>-0.02</v>
      </c>
      <c r="I3256">
        <v>3.93</v>
      </c>
      <c r="J3256">
        <v>-0.47</v>
      </c>
      <c r="K3256" t="s">
        <v>2811</v>
      </c>
      <c r="L3256">
        <v>-32.6</v>
      </c>
      <c r="M3256" t="s">
        <v>13762</v>
      </c>
      <c r="N3256" t="s">
        <v>13763</v>
      </c>
      <c r="O3256" t="s">
        <v>13764</v>
      </c>
      <c r="P3256" t="s">
        <v>13765</v>
      </c>
      <c r="Q3256">
        <v>-242.04</v>
      </c>
      <c r="R3256" t="s">
        <v>702</v>
      </c>
      <c r="S3256">
        <v>1.62</v>
      </c>
      <c r="T3256">
        <v>6.98</v>
      </c>
      <c r="U3256" t="s">
        <v>12508</v>
      </c>
      <c r="V3256" t="s">
        <v>3571</v>
      </c>
      <c r="W3256" t="s">
        <v>4041</v>
      </c>
      <c r="X3256">
        <v>-0.47</v>
      </c>
      <c r="Y3256" t="s">
        <v>1803</v>
      </c>
      <c r="Z3256" t="s">
        <v>50</v>
      </c>
      <c r="AA3256" t="s">
        <v>865</v>
      </c>
      <c r="AB3256">
        <v>0.56999999999999995</v>
      </c>
      <c r="AC3256" t="s">
        <v>1231</v>
      </c>
      <c r="AD3256">
        <v>53.18</v>
      </c>
      <c r="AE3256" t="s">
        <v>978</v>
      </c>
      <c r="AF3256">
        <v>0.87</v>
      </c>
      <c r="AG3256">
        <v>0</v>
      </c>
      <c r="AH3256">
        <v>0</v>
      </c>
      <c r="AI3256" s="4">
        <v>39169</v>
      </c>
    </row>
    <row r="3257" spans="1:35">
      <c r="A3257">
        <v>3256</v>
      </c>
      <c r="B3257" t="str">
        <f>"600478"</f>
        <v>600478</v>
      </c>
      <c r="C3257" t="s">
        <v>13766</v>
      </c>
      <c r="D3257" s="4">
        <v>43190</v>
      </c>
      <c r="E3257" t="s">
        <v>80</v>
      </c>
      <c r="F3257" t="s">
        <v>624</v>
      </c>
      <c r="G3257" t="s">
        <v>6912</v>
      </c>
      <c r="H3257">
        <v>-0.01</v>
      </c>
      <c r="I3257">
        <v>1.41</v>
      </c>
      <c r="J3257">
        <v>-0.48</v>
      </c>
      <c r="K3257" t="s">
        <v>47</v>
      </c>
      <c r="L3257">
        <v>-17.98</v>
      </c>
      <c r="M3257" t="s">
        <v>13767</v>
      </c>
      <c r="N3257" t="s">
        <v>13768</v>
      </c>
      <c r="O3257" t="s">
        <v>13769</v>
      </c>
      <c r="P3257" t="s">
        <v>13770</v>
      </c>
      <c r="Q3257">
        <v>69.78</v>
      </c>
      <c r="R3257" t="s">
        <v>13119</v>
      </c>
      <c r="S3257">
        <v>-0.13</v>
      </c>
      <c r="T3257">
        <v>9.75</v>
      </c>
      <c r="U3257" t="s">
        <v>5445</v>
      </c>
      <c r="V3257" t="s">
        <v>1687</v>
      </c>
      <c r="W3257" t="s">
        <v>1384</v>
      </c>
      <c r="X3257">
        <v>-0.48</v>
      </c>
      <c r="Y3257" t="s">
        <v>2064</v>
      </c>
      <c r="Z3257" t="s">
        <v>516</v>
      </c>
      <c r="AA3257" t="s">
        <v>548</v>
      </c>
      <c r="AB3257">
        <v>3.36</v>
      </c>
      <c r="AC3257" t="s">
        <v>3356</v>
      </c>
      <c r="AD3257">
        <v>31.74</v>
      </c>
      <c r="AE3257" t="s">
        <v>1756</v>
      </c>
      <c r="AF3257">
        <v>0.55000000000000004</v>
      </c>
      <c r="AG3257">
        <v>0</v>
      </c>
      <c r="AH3257">
        <v>0</v>
      </c>
      <c r="AI3257" s="4">
        <v>37882</v>
      </c>
    </row>
    <row r="3258" spans="1:35">
      <c r="A3258">
        <v>3257</v>
      </c>
      <c r="B3258" t="str">
        <f>"600435"</f>
        <v>600435</v>
      </c>
      <c r="C3258" t="s">
        <v>13771</v>
      </c>
      <c r="D3258" s="4">
        <v>43190</v>
      </c>
      <c r="E3258" t="s">
        <v>759</v>
      </c>
      <c r="F3258" t="s">
        <v>759</v>
      </c>
      <c r="G3258">
        <v>9902</v>
      </c>
      <c r="H3258">
        <v>-0.01</v>
      </c>
      <c r="I3258">
        <v>1.39</v>
      </c>
      <c r="J3258">
        <v>-0.48</v>
      </c>
      <c r="K3258" t="s">
        <v>345</v>
      </c>
      <c r="L3258">
        <v>-24.48</v>
      </c>
      <c r="M3258" t="s">
        <v>834</v>
      </c>
      <c r="N3258">
        <v>0</v>
      </c>
      <c r="O3258" t="s">
        <v>13772</v>
      </c>
      <c r="P3258" t="s">
        <v>13773</v>
      </c>
      <c r="Q3258">
        <v>-242.6</v>
      </c>
      <c r="R3258" t="s">
        <v>2581</v>
      </c>
      <c r="S3258">
        <v>0.26</v>
      </c>
      <c r="T3258">
        <v>45.13</v>
      </c>
      <c r="U3258" t="s">
        <v>3288</v>
      </c>
      <c r="V3258" t="s">
        <v>570</v>
      </c>
      <c r="W3258" t="s">
        <v>7808</v>
      </c>
      <c r="X3258">
        <v>-0.48</v>
      </c>
      <c r="Y3258" t="s">
        <v>510</v>
      </c>
      <c r="Z3258" t="s">
        <v>1343</v>
      </c>
      <c r="AA3258" t="s">
        <v>651</v>
      </c>
      <c r="AB3258">
        <v>5.65</v>
      </c>
      <c r="AC3258" t="s">
        <v>576</v>
      </c>
      <c r="AD3258">
        <v>45.69</v>
      </c>
      <c r="AE3258" t="s">
        <v>1475</v>
      </c>
      <c r="AF3258">
        <v>7.0000000000000007E-2</v>
      </c>
      <c r="AG3258">
        <v>0</v>
      </c>
      <c r="AH3258">
        <v>0</v>
      </c>
      <c r="AI3258" s="4">
        <v>37806</v>
      </c>
    </row>
    <row r="3259" spans="1:35">
      <c r="A3259">
        <v>3258</v>
      </c>
      <c r="B3259" t="str">
        <f>"002077"</f>
        <v>002077</v>
      </c>
      <c r="C3259" t="s">
        <v>13774</v>
      </c>
      <c r="D3259" s="4">
        <v>43190</v>
      </c>
      <c r="E3259" t="s">
        <v>1502</v>
      </c>
      <c r="F3259" t="s">
        <v>943</v>
      </c>
      <c r="G3259" t="s">
        <v>4099</v>
      </c>
      <c r="H3259">
        <v>-0.03</v>
      </c>
      <c r="I3259">
        <v>6.62</v>
      </c>
      <c r="J3259">
        <v>-0.48</v>
      </c>
      <c r="K3259" t="s">
        <v>800</v>
      </c>
      <c r="L3259">
        <v>28.26</v>
      </c>
      <c r="M3259" t="s">
        <v>13775</v>
      </c>
      <c r="N3259" t="s">
        <v>13776</v>
      </c>
      <c r="O3259" t="s">
        <v>13777</v>
      </c>
      <c r="P3259" t="s">
        <v>13764</v>
      </c>
      <c r="Q3259">
        <v>33.92</v>
      </c>
      <c r="R3259" t="s">
        <v>52</v>
      </c>
      <c r="S3259">
        <v>0.57999999999999996</v>
      </c>
      <c r="T3259">
        <v>17.989999999999998</v>
      </c>
      <c r="U3259" t="s">
        <v>1023</v>
      </c>
      <c r="V3259" t="s">
        <v>1517</v>
      </c>
      <c r="W3259" t="s">
        <v>2959</v>
      </c>
      <c r="X3259">
        <v>-0.48</v>
      </c>
      <c r="Y3259" t="s">
        <v>1211</v>
      </c>
      <c r="Z3259" t="s">
        <v>907</v>
      </c>
      <c r="AA3259" t="s">
        <v>3587</v>
      </c>
      <c r="AB3259">
        <v>1.2</v>
      </c>
      <c r="AC3259" t="s">
        <v>1133</v>
      </c>
      <c r="AD3259">
        <v>50.22</v>
      </c>
      <c r="AE3259" t="s">
        <v>1881</v>
      </c>
      <c r="AF3259">
        <v>4.8600000000000003</v>
      </c>
      <c r="AG3259">
        <v>0</v>
      </c>
      <c r="AH3259">
        <v>0</v>
      </c>
      <c r="AI3259" s="4">
        <v>39037</v>
      </c>
    </row>
    <row r="3260" spans="1:35">
      <c r="A3260">
        <v>3259</v>
      </c>
      <c r="B3260" t="str">
        <f>"300665"</f>
        <v>300665</v>
      </c>
      <c r="C3260" t="s">
        <v>13778</v>
      </c>
      <c r="D3260" s="4">
        <v>43190</v>
      </c>
      <c r="E3260" t="s">
        <v>8921</v>
      </c>
      <c r="F3260" t="s">
        <v>2582</v>
      </c>
      <c r="G3260">
        <v>2152</v>
      </c>
      <c r="H3260">
        <v>-0.03</v>
      </c>
      <c r="I3260">
        <v>5.73</v>
      </c>
      <c r="J3260">
        <v>-0.49</v>
      </c>
      <c r="K3260" t="s">
        <v>2907</v>
      </c>
      <c r="L3260">
        <v>6.75</v>
      </c>
      <c r="M3260" t="s">
        <v>13779</v>
      </c>
      <c r="N3260">
        <v>0</v>
      </c>
      <c r="O3260" t="s">
        <v>13779</v>
      </c>
      <c r="P3260" t="s">
        <v>5873</v>
      </c>
      <c r="Q3260">
        <v>-266.67</v>
      </c>
      <c r="R3260" t="s">
        <v>45</v>
      </c>
      <c r="S3260">
        <v>1.74</v>
      </c>
      <c r="T3260">
        <v>22.06</v>
      </c>
      <c r="U3260" t="s">
        <v>1652</v>
      </c>
      <c r="V3260" t="s">
        <v>1768</v>
      </c>
      <c r="W3260" t="s">
        <v>5986</v>
      </c>
      <c r="X3260">
        <v>-0.49</v>
      </c>
      <c r="Y3260" t="s">
        <v>845</v>
      </c>
      <c r="Z3260" t="s">
        <v>845</v>
      </c>
      <c r="AA3260" t="s">
        <v>13780</v>
      </c>
      <c r="AB3260">
        <v>3.5</v>
      </c>
      <c r="AC3260" t="s">
        <v>346</v>
      </c>
      <c r="AD3260">
        <v>73.36</v>
      </c>
      <c r="AE3260" t="s">
        <v>292</v>
      </c>
      <c r="AF3260">
        <v>2.68</v>
      </c>
      <c r="AG3260">
        <v>0</v>
      </c>
      <c r="AH3260">
        <v>0</v>
      </c>
      <c r="AI3260" s="4">
        <v>42899</v>
      </c>
    </row>
    <row r="3261" spans="1:35">
      <c r="A3261">
        <v>3260</v>
      </c>
      <c r="B3261" t="str">
        <f>"300032"</f>
        <v>300032</v>
      </c>
      <c r="C3261" t="s">
        <v>13781</v>
      </c>
      <c r="D3261" s="4">
        <v>43190</v>
      </c>
      <c r="E3261" t="s">
        <v>3157</v>
      </c>
      <c r="F3261" t="s">
        <v>1362</v>
      </c>
      <c r="G3261" t="s">
        <v>1879</v>
      </c>
      <c r="H3261">
        <v>-0.03</v>
      </c>
      <c r="I3261">
        <v>5</v>
      </c>
      <c r="J3261">
        <v>-0.52</v>
      </c>
      <c r="K3261" t="s">
        <v>3925</v>
      </c>
      <c r="L3261">
        <v>29.32</v>
      </c>
      <c r="M3261" t="s">
        <v>13782</v>
      </c>
      <c r="N3261" t="s">
        <v>12180</v>
      </c>
      <c r="O3261" t="s">
        <v>13783</v>
      </c>
      <c r="P3261" t="s">
        <v>13784</v>
      </c>
      <c r="Q3261">
        <v>-227.05</v>
      </c>
      <c r="R3261" t="s">
        <v>12043</v>
      </c>
      <c r="S3261">
        <v>-0.14000000000000001</v>
      </c>
      <c r="T3261">
        <v>15.12</v>
      </c>
      <c r="U3261" t="s">
        <v>1303</v>
      </c>
      <c r="V3261" t="s">
        <v>1031</v>
      </c>
      <c r="W3261" t="s">
        <v>1082</v>
      </c>
      <c r="X3261">
        <v>-0.52</v>
      </c>
      <c r="Y3261" t="s">
        <v>371</v>
      </c>
      <c r="Z3261" t="s">
        <v>1313</v>
      </c>
      <c r="AA3261" t="s">
        <v>13785</v>
      </c>
      <c r="AB3261">
        <v>1.02</v>
      </c>
      <c r="AC3261" t="s">
        <v>2643</v>
      </c>
      <c r="AD3261">
        <v>58.45</v>
      </c>
      <c r="AE3261" t="s">
        <v>733</v>
      </c>
      <c r="AF3261">
        <v>3.97</v>
      </c>
      <c r="AG3261">
        <v>0</v>
      </c>
      <c r="AH3261">
        <v>0</v>
      </c>
      <c r="AI3261" s="4">
        <v>40172</v>
      </c>
    </row>
    <row r="3262" spans="1:35">
      <c r="A3262">
        <v>3261</v>
      </c>
      <c r="B3262" t="str">
        <f>"002792"</f>
        <v>002792</v>
      </c>
      <c r="C3262" t="s">
        <v>13786</v>
      </c>
      <c r="D3262" s="4">
        <v>43190</v>
      </c>
      <c r="E3262" t="s">
        <v>2733</v>
      </c>
      <c r="F3262" t="s">
        <v>2770</v>
      </c>
      <c r="G3262">
        <v>2814</v>
      </c>
      <c r="H3262">
        <v>-0.04</v>
      </c>
      <c r="I3262">
        <v>8.42</v>
      </c>
      <c r="J3262">
        <v>-0.52</v>
      </c>
      <c r="K3262" t="s">
        <v>1067</v>
      </c>
      <c r="L3262">
        <v>-3.61</v>
      </c>
      <c r="M3262" t="s">
        <v>13787</v>
      </c>
      <c r="N3262">
        <v>0</v>
      </c>
      <c r="O3262" t="s">
        <v>13787</v>
      </c>
      <c r="P3262" t="s">
        <v>13788</v>
      </c>
      <c r="Q3262">
        <v>-140.06</v>
      </c>
      <c r="R3262" t="s">
        <v>2035</v>
      </c>
      <c r="S3262">
        <v>3.7</v>
      </c>
      <c r="T3262">
        <v>24.82</v>
      </c>
      <c r="U3262" t="s">
        <v>238</v>
      </c>
      <c r="V3262" t="s">
        <v>242</v>
      </c>
      <c r="W3262" t="s">
        <v>3674</v>
      </c>
      <c r="X3262">
        <v>-0.52</v>
      </c>
      <c r="Y3262" t="s">
        <v>2705</v>
      </c>
      <c r="Z3262" t="s">
        <v>3494</v>
      </c>
      <c r="AA3262" t="s">
        <v>7580</v>
      </c>
      <c r="AB3262">
        <v>3.13</v>
      </c>
      <c r="AC3262" t="s">
        <v>183</v>
      </c>
      <c r="AD3262">
        <v>64.8</v>
      </c>
      <c r="AE3262" t="s">
        <v>1903</v>
      </c>
      <c r="AF3262">
        <v>3.37</v>
      </c>
      <c r="AG3262">
        <v>0</v>
      </c>
      <c r="AH3262">
        <v>0</v>
      </c>
      <c r="AI3262" s="4">
        <v>42457</v>
      </c>
    </row>
    <row r="3263" spans="1:35">
      <c r="A3263">
        <v>3262</v>
      </c>
      <c r="B3263" t="str">
        <f>"000593"</f>
        <v>000593</v>
      </c>
      <c r="C3263" t="s">
        <v>13789</v>
      </c>
      <c r="D3263" s="4">
        <v>43190</v>
      </c>
      <c r="E3263" t="s">
        <v>1359</v>
      </c>
      <c r="F3263" t="s">
        <v>1664</v>
      </c>
      <c r="G3263">
        <v>9270</v>
      </c>
      <c r="H3263">
        <v>-0.02</v>
      </c>
      <c r="I3263">
        <v>3.08</v>
      </c>
      <c r="J3263">
        <v>-0.52</v>
      </c>
      <c r="K3263" t="s">
        <v>1016</v>
      </c>
      <c r="L3263">
        <v>30.01</v>
      </c>
      <c r="M3263" t="s">
        <v>13790</v>
      </c>
      <c r="N3263" t="s">
        <v>13791</v>
      </c>
      <c r="O3263" t="s">
        <v>13792</v>
      </c>
      <c r="P3263" t="s">
        <v>13793</v>
      </c>
      <c r="Q3263">
        <v>-375.79</v>
      </c>
      <c r="R3263" t="s">
        <v>4896</v>
      </c>
      <c r="S3263">
        <v>0.19</v>
      </c>
      <c r="T3263">
        <v>16.399999999999999</v>
      </c>
      <c r="U3263" t="s">
        <v>115</v>
      </c>
      <c r="V3263" t="s">
        <v>1383</v>
      </c>
      <c r="W3263" t="s">
        <v>142</v>
      </c>
      <c r="X3263">
        <v>-0.52</v>
      </c>
      <c r="Y3263" t="s">
        <v>108</v>
      </c>
      <c r="Z3263" t="s">
        <v>321</v>
      </c>
      <c r="AA3263" t="s">
        <v>749</v>
      </c>
      <c r="AB3263">
        <v>1.56</v>
      </c>
      <c r="AC3263" t="s">
        <v>602</v>
      </c>
      <c r="AD3263">
        <v>65.400000000000006</v>
      </c>
      <c r="AE3263" t="s">
        <v>3603</v>
      </c>
      <c r="AF3263">
        <v>1.83</v>
      </c>
      <c r="AG3263">
        <v>0</v>
      </c>
      <c r="AH3263">
        <v>0</v>
      </c>
      <c r="AI3263" s="4">
        <v>35136</v>
      </c>
    </row>
    <row r="3264" spans="1:35">
      <c r="A3264">
        <v>3263</v>
      </c>
      <c r="B3264" t="str">
        <f>"603326"</f>
        <v>603326</v>
      </c>
      <c r="C3264" t="s">
        <v>13794</v>
      </c>
      <c r="D3264" s="4">
        <v>43190</v>
      </c>
      <c r="E3264" t="s">
        <v>2733</v>
      </c>
      <c r="F3264" t="s">
        <v>12017</v>
      </c>
      <c r="G3264">
        <v>3525</v>
      </c>
      <c r="H3264">
        <v>-0.02</v>
      </c>
      <c r="I3264">
        <v>3.17</v>
      </c>
      <c r="J3264">
        <v>-0.52</v>
      </c>
      <c r="K3264" t="s">
        <v>2034</v>
      </c>
      <c r="L3264">
        <v>25.98</v>
      </c>
      <c r="M3264" t="s">
        <v>13795</v>
      </c>
      <c r="N3264" t="s">
        <v>2538</v>
      </c>
      <c r="O3264" t="s">
        <v>11440</v>
      </c>
      <c r="P3264" t="s">
        <v>11440</v>
      </c>
      <c r="Q3264">
        <v>-121.41</v>
      </c>
      <c r="R3264" t="s">
        <v>321</v>
      </c>
      <c r="S3264">
        <v>0.62</v>
      </c>
      <c r="T3264">
        <v>32.74</v>
      </c>
      <c r="U3264" t="s">
        <v>407</v>
      </c>
      <c r="V3264" t="s">
        <v>68</v>
      </c>
      <c r="W3264" t="s">
        <v>1074</v>
      </c>
      <c r="X3264">
        <v>-0.52</v>
      </c>
      <c r="Y3264" t="s">
        <v>342</v>
      </c>
      <c r="Z3264" t="s">
        <v>2507</v>
      </c>
      <c r="AA3264" t="s">
        <v>10067</v>
      </c>
      <c r="AB3264">
        <v>3.24</v>
      </c>
      <c r="AC3264" t="s">
        <v>561</v>
      </c>
      <c r="AD3264">
        <v>70.89</v>
      </c>
      <c r="AE3264" t="s">
        <v>3027</v>
      </c>
      <c r="AF3264">
        <v>1.53</v>
      </c>
      <c r="AG3264">
        <v>0</v>
      </c>
      <c r="AH3264">
        <v>0</v>
      </c>
      <c r="AI3264" s="4">
        <v>42902</v>
      </c>
    </row>
    <row r="3265" spans="1:35">
      <c r="A3265">
        <v>3264</v>
      </c>
      <c r="B3265" t="str">
        <f>"603333"</f>
        <v>603333</v>
      </c>
      <c r="C3265" t="s">
        <v>13796</v>
      </c>
      <c r="D3265" s="4">
        <v>43190</v>
      </c>
      <c r="E3265" t="s">
        <v>2479</v>
      </c>
      <c r="F3265" t="s">
        <v>2479</v>
      </c>
      <c r="G3265" t="s">
        <v>4505</v>
      </c>
      <c r="H3265">
        <v>-0.01</v>
      </c>
      <c r="I3265">
        <v>2.71</v>
      </c>
      <c r="J3265">
        <v>-0.53</v>
      </c>
      <c r="K3265" t="s">
        <v>696</v>
      </c>
      <c r="L3265">
        <v>26.24</v>
      </c>
      <c r="M3265" t="s">
        <v>13797</v>
      </c>
      <c r="N3265">
        <v>0</v>
      </c>
      <c r="O3265" t="s">
        <v>13798</v>
      </c>
      <c r="P3265" t="s">
        <v>13799</v>
      </c>
      <c r="Q3265">
        <v>-291.33999999999997</v>
      </c>
      <c r="R3265" t="s">
        <v>1860</v>
      </c>
      <c r="S3265">
        <v>0.37</v>
      </c>
      <c r="T3265">
        <v>14.77</v>
      </c>
      <c r="U3265" t="s">
        <v>510</v>
      </c>
      <c r="V3265" t="s">
        <v>973</v>
      </c>
      <c r="W3265" t="s">
        <v>4427</v>
      </c>
      <c r="X3265">
        <v>-0.53</v>
      </c>
      <c r="Y3265" t="s">
        <v>335</v>
      </c>
      <c r="Z3265" t="s">
        <v>2468</v>
      </c>
      <c r="AA3265" t="s">
        <v>13800</v>
      </c>
      <c r="AB3265">
        <v>2.14</v>
      </c>
      <c r="AC3265" t="s">
        <v>1384</v>
      </c>
      <c r="AD3265">
        <v>76.22</v>
      </c>
      <c r="AE3265" t="s">
        <v>2921</v>
      </c>
      <c r="AF3265">
        <v>1.26</v>
      </c>
      <c r="AG3265">
        <v>0</v>
      </c>
      <c r="AH3265">
        <v>0</v>
      </c>
      <c r="AI3265" s="4">
        <v>41036</v>
      </c>
    </row>
    <row r="3266" spans="1:35">
      <c r="A3266">
        <v>3265</v>
      </c>
      <c r="B3266" t="str">
        <f>"002662"</f>
        <v>002662</v>
      </c>
      <c r="C3266" t="s">
        <v>13801</v>
      </c>
      <c r="D3266" s="4">
        <v>43190</v>
      </c>
      <c r="E3266" t="s">
        <v>855</v>
      </c>
      <c r="F3266" t="s">
        <v>584</v>
      </c>
      <c r="G3266" t="s">
        <v>13802</v>
      </c>
      <c r="H3266">
        <v>-0.02</v>
      </c>
      <c r="I3266">
        <v>3.34</v>
      </c>
      <c r="J3266">
        <v>-0.53</v>
      </c>
      <c r="K3266" t="s">
        <v>971</v>
      </c>
      <c r="L3266">
        <v>2.09</v>
      </c>
      <c r="M3266" t="s">
        <v>13803</v>
      </c>
      <c r="N3266" t="s">
        <v>13804</v>
      </c>
      <c r="O3266" t="s">
        <v>13805</v>
      </c>
      <c r="P3266" t="s">
        <v>13806</v>
      </c>
      <c r="Q3266">
        <v>-136.34</v>
      </c>
      <c r="R3266" t="s">
        <v>1190</v>
      </c>
      <c r="S3266">
        <v>1.05</v>
      </c>
      <c r="T3266">
        <v>21.98</v>
      </c>
      <c r="U3266" t="s">
        <v>3449</v>
      </c>
      <c r="V3266" t="s">
        <v>763</v>
      </c>
      <c r="W3266" t="s">
        <v>419</v>
      </c>
      <c r="X3266">
        <v>-0.53</v>
      </c>
      <c r="Y3266" t="s">
        <v>1947</v>
      </c>
      <c r="Z3266" t="s">
        <v>1258</v>
      </c>
      <c r="AA3266" t="s">
        <v>418</v>
      </c>
      <c r="AB3266">
        <v>0.99</v>
      </c>
      <c r="AC3266" t="s">
        <v>3217</v>
      </c>
      <c r="AD3266">
        <v>45.69</v>
      </c>
      <c r="AE3266" t="s">
        <v>1052</v>
      </c>
      <c r="AF3266">
        <v>1.1000000000000001</v>
      </c>
      <c r="AG3266">
        <v>0</v>
      </c>
      <c r="AH3266">
        <v>0</v>
      </c>
      <c r="AI3266" s="4">
        <v>40977</v>
      </c>
    </row>
    <row r="3267" spans="1:35">
      <c r="A3267">
        <v>3266</v>
      </c>
      <c r="B3267" t="str">
        <f>"603602"</f>
        <v>603602</v>
      </c>
      <c r="C3267" t="s">
        <v>13807</v>
      </c>
      <c r="D3267" s="4">
        <v>43190</v>
      </c>
      <c r="E3267" t="s">
        <v>355</v>
      </c>
      <c r="F3267" t="s">
        <v>2471</v>
      </c>
      <c r="G3267">
        <v>1258</v>
      </c>
      <c r="H3267">
        <v>-0.03</v>
      </c>
      <c r="I3267">
        <v>5.6</v>
      </c>
      <c r="J3267">
        <v>-0.54</v>
      </c>
      <c r="K3267" t="s">
        <v>11746</v>
      </c>
      <c r="L3267">
        <v>17.29</v>
      </c>
      <c r="M3267" t="s">
        <v>12546</v>
      </c>
      <c r="N3267" t="s">
        <v>4977</v>
      </c>
      <c r="O3267" t="s">
        <v>13808</v>
      </c>
      <c r="P3267" t="s">
        <v>13808</v>
      </c>
      <c r="Q3267">
        <v>-498.62</v>
      </c>
      <c r="R3267" t="s">
        <v>2774</v>
      </c>
      <c r="S3267">
        <v>2.33</v>
      </c>
      <c r="T3267">
        <v>7.99</v>
      </c>
      <c r="U3267" t="s">
        <v>513</v>
      </c>
      <c r="V3267" t="s">
        <v>2731</v>
      </c>
      <c r="W3267" t="s">
        <v>4563</v>
      </c>
      <c r="X3267">
        <v>-0.54</v>
      </c>
      <c r="Y3267" t="s">
        <v>1791</v>
      </c>
      <c r="Z3267" t="s">
        <v>1791</v>
      </c>
      <c r="AA3267">
        <v>0</v>
      </c>
      <c r="AB3267">
        <v>6.35</v>
      </c>
      <c r="AC3267" t="s">
        <v>1907</v>
      </c>
      <c r="AD3267">
        <v>67.39</v>
      </c>
      <c r="AE3267" t="s">
        <v>203</v>
      </c>
      <c r="AF3267">
        <v>1.91</v>
      </c>
      <c r="AG3267">
        <v>0</v>
      </c>
      <c r="AH3267">
        <v>0</v>
      </c>
      <c r="AI3267" s="4">
        <v>42957</v>
      </c>
    </row>
    <row r="3268" spans="1:35">
      <c r="A3268">
        <v>3267</v>
      </c>
      <c r="B3268" t="str">
        <f>"002660"</f>
        <v>002660</v>
      </c>
      <c r="C3268" t="s">
        <v>13809</v>
      </c>
      <c r="D3268" s="4">
        <v>43190</v>
      </c>
      <c r="E3268" t="s">
        <v>1732</v>
      </c>
      <c r="F3268" t="s">
        <v>608</v>
      </c>
      <c r="G3268">
        <v>6880</v>
      </c>
      <c r="H3268">
        <v>-0.02</v>
      </c>
      <c r="I3268">
        <v>2.95</v>
      </c>
      <c r="J3268">
        <v>-0.54</v>
      </c>
      <c r="K3268" t="s">
        <v>798</v>
      </c>
      <c r="L3268">
        <v>-17.25</v>
      </c>
      <c r="M3268" t="s">
        <v>13810</v>
      </c>
      <c r="N3268" t="s">
        <v>6297</v>
      </c>
      <c r="O3268" t="s">
        <v>13811</v>
      </c>
      <c r="P3268" t="s">
        <v>13812</v>
      </c>
      <c r="Q3268">
        <v>-374.01</v>
      </c>
      <c r="R3268" t="s">
        <v>13813</v>
      </c>
      <c r="S3268">
        <v>0.35</v>
      </c>
      <c r="T3268">
        <v>17</v>
      </c>
      <c r="U3268" t="s">
        <v>275</v>
      </c>
      <c r="V3268" t="s">
        <v>521</v>
      </c>
      <c r="W3268" t="s">
        <v>2304</v>
      </c>
      <c r="X3268">
        <v>-0.54</v>
      </c>
      <c r="Y3268" t="s">
        <v>147</v>
      </c>
      <c r="Z3268" t="s">
        <v>602</v>
      </c>
      <c r="AA3268" t="s">
        <v>6554</v>
      </c>
      <c r="AB3268">
        <v>2.71</v>
      </c>
      <c r="AC3268" t="s">
        <v>767</v>
      </c>
      <c r="AD3268">
        <v>41.52</v>
      </c>
      <c r="AE3268" t="s">
        <v>749</v>
      </c>
      <c r="AF3268">
        <v>1.51</v>
      </c>
      <c r="AG3268">
        <v>0</v>
      </c>
      <c r="AH3268">
        <v>0</v>
      </c>
      <c r="AI3268" s="4">
        <v>40984</v>
      </c>
    </row>
    <row r="3269" spans="1:35">
      <c r="A3269">
        <v>3268</v>
      </c>
      <c r="B3269" t="str">
        <f>"002192"</f>
        <v>002192</v>
      </c>
      <c r="C3269" t="s">
        <v>13814</v>
      </c>
      <c r="D3269" s="4">
        <v>43190</v>
      </c>
      <c r="E3269" t="s">
        <v>1049</v>
      </c>
      <c r="F3269" t="s">
        <v>669</v>
      </c>
      <c r="G3269">
        <v>7317</v>
      </c>
      <c r="H3269">
        <v>-0.02</v>
      </c>
      <c r="I3269">
        <v>2.95</v>
      </c>
      <c r="J3269">
        <v>-0.54</v>
      </c>
      <c r="K3269" t="s">
        <v>12116</v>
      </c>
      <c r="L3269">
        <v>-33.92</v>
      </c>
      <c r="M3269" t="s">
        <v>13815</v>
      </c>
      <c r="N3269" t="s">
        <v>5522</v>
      </c>
      <c r="O3269" t="s">
        <v>13816</v>
      </c>
      <c r="P3269" t="s">
        <v>13817</v>
      </c>
      <c r="Q3269">
        <v>-1455.58</v>
      </c>
      <c r="R3269" t="s">
        <v>13818</v>
      </c>
      <c r="S3269">
        <v>-0.08</v>
      </c>
      <c r="T3269">
        <v>46.53</v>
      </c>
      <c r="U3269" t="s">
        <v>699</v>
      </c>
      <c r="V3269" t="s">
        <v>145</v>
      </c>
      <c r="W3269" t="s">
        <v>3111</v>
      </c>
      <c r="X3269">
        <v>-0.54</v>
      </c>
      <c r="Y3269" t="s">
        <v>203</v>
      </c>
      <c r="Z3269" t="s">
        <v>95</v>
      </c>
      <c r="AA3269" t="s">
        <v>13819</v>
      </c>
      <c r="AB3269">
        <v>8.09</v>
      </c>
      <c r="AC3269" t="s">
        <v>3712</v>
      </c>
      <c r="AD3269">
        <v>70.87</v>
      </c>
      <c r="AE3269" t="s">
        <v>1309</v>
      </c>
      <c r="AF3269">
        <v>1.97</v>
      </c>
      <c r="AG3269">
        <v>0</v>
      </c>
      <c r="AH3269">
        <v>0</v>
      </c>
      <c r="AI3269" s="4">
        <v>39421</v>
      </c>
    </row>
    <row r="3270" spans="1:35">
      <c r="A3270">
        <v>3269</v>
      </c>
      <c r="B3270" t="str">
        <f>"000917"</f>
        <v>000917</v>
      </c>
      <c r="C3270" t="s">
        <v>13820</v>
      </c>
      <c r="D3270" s="4">
        <v>43190</v>
      </c>
      <c r="E3270" t="s">
        <v>173</v>
      </c>
      <c r="F3270" t="s">
        <v>101</v>
      </c>
      <c r="G3270" t="s">
        <v>70</v>
      </c>
      <c r="H3270">
        <v>-0.04</v>
      </c>
      <c r="I3270">
        <v>7.01</v>
      </c>
      <c r="J3270">
        <v>-0.54</v>
      </c>
      <c r="K3270" t="s">
        <v>242</v>
      </c>
      <c r="L3270">
        <v>31.56</v>
      </c>
      <c r="M3270" t="s">
        <v>13821</v>
      </c>
      <c r="N3270" t="s">
        <v>1038</v>
      </c>
      <c r="O3270" t="s">
        <v>4687</v>
      </c>
      <c r="P3270" t="s">
        <v>13822</v>
      </c>
      <c r="Q3270">
        <v>-153.41999999999999</v>
      </c>
      <c r="R3270" t="s">
        <v>119</v>
      </c>
      <c r="S3270">
        <v>1.41</v>
      </c>
      <c r="T3270">
        <v>19.55</v>
      </c>
      <c r="U3270" t="s">
        <v>2804</v>
      </c>
      <c r="V3270" t="s">
        <v>9627</v>
      </c>
      <c r="W3270" t="s">
        <v>1403</v>
      </c>
      <c r="X3270">
        <v>-0.54</v>
      </c>
      <c r="Y3270" t="s">
        <v>1745</v>
      </c>
      <c r="Z3270" t="s">
        <v>2691</v>
      </c>
      <c r="AA3270" t="s">
        <v>2795</v>
      </c>
      <c r="AB3270">
        <v>0.88</v>
      </c>
      <c r="AC3270" t="s">
        <v>11324</v>
      </c>
      <c r="AD3270">
        <v>41.84</v>
      </c>
      <c r="AE3270" t="s">
        <v>4228</v>
      </c>
      <c r="AF3270">
        <v>4.32</v>
      </c>
      <c r="AG3270">
        <v>0</v>
      </c>
      <c r="AH3270">
        <v>0</v>
      </c>
      <c r="AI3270" s="4">
        <v>36244</v>
      </c>
    </row>
    <row r="3271" spans="1:35">
      <c r="A3271">
        <v>3270</v>
      </c>
      <c r="B3271" t="str">
        <f>"600071"</f>
        <v>600071</v>
      </c>
      <c r="C3271" t="s">
        <v>13823</v>
      </c>
      <c r="D3271" s="4">
        <v>43190</v>
      </c>
      <c r="E3271" t="s">
        <v>669</v>
      </c>
      <c r="F3271" t="s">
        <v>669</v>
      </c>
      <c r="G3271" t="s">
        <v>4301</v>
      </c>
      <c r="H3271">
        <v>-0.01</v>
      </c>
      <c r="I3271">
        <v>1.77</v>
      </c>
      <c r="J3271">
        <v>-0.55000000000000004</v>
      </c>
      <c r="K3271" t="s">
        <v>1839</v>
      </c>
      <c r="L3271">
        <v>5.81</v>
      </c>
      <c r="M3271" t="s">
        <v>9796</v>
      </c>
      <c r="N3271" t="s">
        <v>13824</v>
      </c>
      <c r="O3271" t="s">
        <v>850</v>
      </c>
      <c r="P3271" t="s">
        <v>13825</v>
      </c>
      <c r="Q3271">
        <v>55.18</v>
      </c>
      <c r="R3271" t="s">
        <v>8088</v>
      </c>
      <c r="S3271">
        <v>0.04</v>
      </c>
      <c r="T3271">
        <v>13.06</v>
      </c>
      <c r="U3271" t="s">
        <v>62</v>
      </c>
      <c r="V3271" t="s">
        <v>2304</v>
      </c>
      <c r="W3271" t="s">
        <v>145</v>
      </c>
      <c r="X3271">
        <v>-0.55000000000000004</v>
      </c>
      <c r="Y3271" t="s">
        <v>545</v>
      </c>
      <c r="Z3271" t="s">
        <v>142</v>
      </c>
      <c r="AA3271" t="s">
        <v>10154</v>
      </c>
      <c r="AB3271">
        <v>6.61</v>
      </c>
      <c r="AC3271" t="s">
        <v>202</v>
      </c>
      <c r="AD3271">
        <v>45.22</v>
      </c>
      <c r="AE3271" t="s">
        <v>1119</v>
      </c>
      <c r="AF3271">
        <v>0.44</v>
      </c>
      <c r="AG3271">
        <v>0</v>
      </c>
      <c r="AH3271">
        <v>0</v>
      </c>
      <c r="AI3271" s="4">
        <v>35578</v>
      </c>
    </row>
    <row r="3272" spans="1:35">
      <c r="A3272">
        <v>3271</v>
      </c>
      <c r="B3272" t="str">
        <f>"300175"</f>
        <v>300175</v>
      </c>
      <c r="C3272" t="s">
        <v>13826</v>
      </c>
      <c r="D3272" s="4">
        <v>43190</v>
      </c>
      <c r="E3272" t="s">
        <v>1006</v>
      </c>
      <c r="F3272" t="s">
        <v>2112</v>
      </c>
      <c r="G3272" t="s">
        <v>1448</v>
      </c>
      <c r="H3272">
        <v>-0.01</v>
      </c>
      <c r="I3272">
        <v>1.66</v>
      </c>
      <c r="J3272">
        <v>-0.55000000000000004</v>
      </c>
      <c r="K3272" t="s">
        <v>5220</v>
      </c>
      <c r="L3272">
        <v>-9.8000000000000007</v>
      </c>
      <c r="M3272" t="s">
        <v>13827</v>
      </c>
      <c r="N3272" t="s">
        <v>13828</v>
      </c>
      <c r="O3272" t="s">
        <v>13829</v>
      </c>
      <c r="P3272" t="s">
        <v>13829</v>
      </c>
      <c r="Q3272">
        <v>-107.97</v>
      </c>
      <c r="R3272" t="s">
        <v>205</v>
      </c>
      <c r="S3272">
        <v>0.62</v>
      </c>
      <c r="T3272">
        <v>6.86</v>
      </c>
      <c r="U3272" t="s">
        <v>1774</v>
      </c>
      <c r="V3272" t="s">
        <v>204</v>
      </c>
      <c r="W3272" t="s">
        <v>1666</v>
      </c>
      <c r="X3272">
        <v>-0.55000000000000004</v>
      </c>
      <c r="Y3272" t="s">
        <v>13830</v>
      </c>
      <c r="Z3272" t="s">
        <v>13831</v>
      </c>
      <c r="AA3272" t="s">
        <v>8824</v>
      </c>
      <c r="AB3272">
        <v>2.64</v>
      </c>
      <c r="AC3272" t="s">
        <v>488</v>
      </c>
      <c r="AD3272">
        <v>91.86</v>
      </c>
      <c r="AE3272" t="s">
        <v>13832</v>
      </c>
      <c r="AF3272">
        <v>0.16</v>
      </c>
      <c r="AG3272">
        <v>0</v>
      </c>
      <c r="AH3272">
        <v>0</v>
      </c>
      <c r="AI3272" s="4">
        <v>40589</v>
      </c>
    </row>
    <row r="3273" spans="1:35">
      <c r="A3273">
        <v>3272</v>
      </c>
      <c r="B3273" t="str">
        <f>"300045"</f>
        <v>300045</v>
      </c>
      <c r="C3273" t="s">
        <v>13833</v>
      </c>
      <c r="D3273" s="4">
        <v>43190</v>
      </c>
      <c r="E3273" t="s">
        <v>417</v>
      </c>
      <c r="F3273" t="s">
        <v>160</v>
      </c>
      <c r="G3273">
        <v>9803</v>
      </c>
      <c r="H3273">
        <v>-0.01</v>
      </c>
      <c r="I3273">
        <v>2.82</v>
      </c>
      <c r="J3273">
        <v>-0.55000000000000004</v>
      </c>
      <c r="K3273" t="s">
        <v>13834</v>
      </c>
      <c r="L3273">
        <v>-25.86</v>
      </c>
      <c r="M3273" t="s">
        <v>4252</v>
      </c>
      <c r="N3273" t="s">
        <v>13835</v>
      </c>
      <c r="O3273" t="s">
        <v>13836</v>
      </c>
      <c r="P3273" t="s">
        <v>13837</v>
      </c>
      <c r="Q3273">
        <v>-206.17</v>
      </c>
      <c r="R3273" t="s">
        <v>1578</v>
      </c>
      <c r="S3273">
        <v>0.53</v>
      </c>
      <c r="T3273">
        <v>40.840000000000003</v>
      </c>
      <c r="U3273" t="s">
        <v>876</v>
      </c>
      <c r="V3273" t="s">
        <v>924</v>
      </c>
      <c r="W3273" t="s">
        <v>13838</v>
      </c>
      <c r="X3273">
        <v>-0.55000000000000004</v>
      </c>
      <c r="Y3273" t="s">
        <v>597</v>
      </c>
      <c r="Z3273" t="s">
        <v>1964</v>
      </c>
      <c r="AA3273" t="s">
        <v>10078</v>
      </c>
      <c r="AB3273">
        <v>3.12</v>
      </c>
      <c r="AC3273" t="s">
        <v>1343</v>
      </c>
      <c r="AD3273">
        <v>83.26</v>
      </c>
      <c r="AE3273" t="s">
        <v>4599</v>
      </c>
      <c r="AF3273">
        <v>1.29</v>
      </c>
      <c r="AG3273">
        <v>0</v>
      </c>
      <c r="AH3273">
        <v>0</v>
      </c>
      <c r="AI3273" s="4">
        <v>40198</v>
      </c>
    </row>
    <row r="3274" spans="1:35">
      <c r="A3274">
        <v>3273</v>
      </c>
      <c r="B3274" t="str">
        <f>"002527"</f>
        <v>002527</v>
      </c>
      <c r="C3274" t="s">
        <v>13839</v>
      </c>
      <c r="D3274" s="4">
        <v>43190</v>
      </c>
      <c r="E3274" t="s">
        <v>3587</v>
      </c>
      <c r="F3274" t="s">
        <v>662</v>
      </c>
      <c r="G3274">
        <v>8837</v>
      </c>
      <c r="H3274">
        <v>-0.02</v>
      </c>
      <c r="I3274">
        <v>4.8600000000000003</v>
      </c>
      <c r="J3274">
        <v>-0.55000000000000004</v>
      </c>
      <c r="K3274" t="s">
        <v>1590</v>
      </c>
      <c r="L3274">
        <v>23.71</v>
      </c>
      <c r="M3274" t="s">
        <v>7623</v>
      </c>
      <c r="N3274" t="s">
        <v>10965</v>
      </c>
      <c r="O3274" t="s">
        <v>5964</v>
      </c>
      <c r="P3274" t="s">
        <v>13840</v>
      </c>
      <c r="Q3274">
        <v>-156.88999999999999</v>
      </c>
      <c r="R3274" t="s">
        <v>1584</v>
      </c>
      <c r="S3274">
        <v>1.31</v>
      </c>
      <c r="T3274">
        <v>19.05</v>
      </c>
      <c r="U3274" t="s">
        <v>1281</v>
      </c>
      <c r="V3274" t="s">
        <v>2267</v>
      </c>
      <c r="W3274" t="s">
        <v>346</v>
      </c>
      <c r="X3274">
        <v>-0.55000000000000004</v>
      </c>
      <c r="Y3274" t="s">
        <v>2535</v>
      </c>
      <c r="Z3274" t="s">
        <v>316</v>
      </c>
      <c r="AA3274" t="s">
        <v>458</v>
      </c>
      <c r="AB3274">
        <v>1.47</v>
      </c>
      <c r="AC3274" t="s">
        <v>2339</v>
      </c>
      <c r="AD3274">
        <v>46.93</v>
      </c>
      <c r="AE3274" t="s">
        <v>759</v>
      </c>
      <c r="AF3274">
        <v>2.4</v>
      </c>
      <c r="AG3274">
        <v>0</v>
      </c>
      <c r="AH3274">
        <v>0</v>
      </c>
      <c r="AI3274" s="4">
        <v>40536</v>
      </c>
    </row>
    <row r="3275" spans="1:35">
      <c r="A3275">
        <v>3274</v>
      </c>
      <c r="B3275" t="str">
        <f>"600853"</f>
        <v>600853</v>
      </c>
      <c r="C3275" t="s">
        <v>13841</v>
      </c>
      <c r="D3275" s="4">
        <v>43190</v>
      </c>
      <c r="E3275" t="s">
        <v>941</v>
      </c>
      <c r="F3275" t="s">
        <v>128</v>
      </c>
      <c r="G3275">
        <v>9337</v>
      </c>
      <c r="H3275">
        <v>-0.01</v>
      </c>
      <c r="I3275">
        <v>2.1800000000000002</v>
      </c>
      <c r="J3275">
        <v>-0.55000000000000004</v>
      </c>
      <c r="K3275" t="s">
        <v>2647</v>
      </c>
      <c r="L3275">
        <v>-20.84</v>
      </c>
      <c r="M3275" t="s">
        <v>13842</v>
      </c>
      <c r="N3275">
        <v>0</v>
      </c>
      <c r="O3275" t="s">
        <v>13842</v>
      </c>
      <c r="P3275" t="s">
        <v>13843</v>
      </c>
      <c r="Q3275">
        <v>1.38</v>
      </c>
      <c r="R3275" t="s">
        <v>1402</v>
      </c>
      <c r="S3275">
        <v>0.45</v>
      </c>
      <c r="T3275">
        <v>17.23</v>
      </c>
      <c r="U3275" t="s">
        <v>2504</v>
      </c>
      <c r="V3275" t="s">
        <v>586</v>
      </c>
      <c r="W3275" t="s">
        <v>704</v>
      </c>
      <c r="X3275">
        <v>-0.55000000000000004</v>
      </c>
      <c r="Y3275" t="s">
        <v>315</v>
      </c>
      <c r="Z3275" t="s">
        <v>10899</v>
      </c>
      <c r="AA3275" t="s">
        <v>1158</v>
      </c>
      <c r="AB3275">
        <v>1.68</v>
      </c>
      <c r="AC3275" t="s">
        <v>538</v>
      </c>
      <c r="AD3275">
        <v>10.59</v>
      </c>
      <c r="AE3275" t="s">
        <v>645</v>
      </c>
      <c r="AF3275">
        <v>0.7</v>
      </c>
      <c r="AG3275">
        <v>0</v>
      </c>
      <c r="AH3275">
        <v>0</v>
      </c>
      <c r="AI3275" s="4">
        <v>34428</v>
      </c>
    </row>
    <row r="3276" spans="1:35">
      <c r="A3276">
        <v>3275</v>
      </c>
      <c r="B3276" t="str">
        <f>"002285"</f>
        <v>002285</v>
      </c>
      <c r="C3276" t="s">
        <v>13844</v>
      </c>
      <c r="D3276" s="4">
        <v>43190</v>
      </c>
      <c r="E3276" t="s">
        <v>1843</v>
      </c>
      <c r="F3276" t="s">
        <v>119</v>
      </c>
      <c r="G3276" t="s">
        <v>11281</v>
      </c>
      <c r="H3276">
        <v>-0.01</v>
      </c>
      <c r="I3276">
        <v>2.38</v>
      </c>
      <c r="J3276">
        <v>-0.56000000000000005</v>
      </c>
      <c r="K3276" t="s">
        <v>80</v>
      </c>
      <c r="L3276">
        <v>8.5500000000000007</v>
      </c>
      <c r="M3276" t="s">
        <v>13777</v>
      </c>
      <c r="N3276" t="s">
        <v>3836</v>
      </c>
      <c r="O3276" t="s">
        <v>13845</v>
      </c>
      <c r="P3276" t="s">
        <v>13846</v>
      </c>
      <c r="Q3276">
        <v>-130.69999999999999</v>
      </c>
      <c r="R3276" t="s">
        <v>702</v>
      </c>
      <c r="S3276">
        <v>0.86</v>
      </c>
      <c r="T3276">
        <v>12.78</v>
      </c>
      <c r="U3276" t="s">
        <v>1149</v>
      </c>
      <c r="V3276" t="s">
        <v>689</v>
      </c>
      <c r="W3276" t="s">
        <v>1839</v>
      </c>
      <c r="X3276">
        <v>-0.56000000000000005</v>
      </c>
      <c r="Y3276" t="s">
        <v>1192</v>
      </c>
      <c r="Z3276" t="s">
        <v>1192</v>
      </c>
      <c r="AA3276">
        <v>0</v>
      </c>
      <c r="AB3276">
        <v>2.77</v>
      </c>
      <c r="AC3276" t="s">
        <v>5270</v>
      </c>
      <c r="AD3276">
        <v>35.78</v>
      </c>
      <c r="AE3276" t="s">
        <v>2056</v>
      </c>
      <c r="AF3276">
        <v>0.28000000000000003</v>
      </c>
      <c r="AG3276">
        <v>0</v>
      </c>
      <c r="AH3276">
        <v>0</v>
      </c>
      <c r="AI3276" s="4">
        <v>40053</v>
      </c>
    </row>
    <row r="3277" spans="1:35">
      <c r="A3277">
        <v>3276</v>
      </c>
      <c r="B3277" t="str">
        <f>"600207"</f>
        <v>600207</v>
      </c>
      <c r="C3277" t="s">
        <v>13847</v>
      </c>
      <c r="D3277" s="4">
        <v>43190</v>
      </c>
      <c r="E3277" t="s">
        <v>102</v>
      </c>
      <c r="F3277" t="s">
        <v>2510</v>
      </c>
      <c r="G3277" t="s">
        <v>2349</v>
      </c>
      <c r="H3277">
        <v>-0.01</v>
      </c>
      <c r="I3277">
        <v>2.2000000000000002</v>
      </c>
      <c r="J3277">
        <v>-0.56999999999999995</v>
      </c>
      <c r="K3277" t="s">
        <v>1491</v>
      </c>
      <c r="L3277">
        <v>39.020000000000003</v>
      </c>
      <c r="M3277" t="s">
        <v>13848</v>
      </c>
      <c r="N3277" t="s">
        <v>13849</v>
      </c>
      <c r="O3277" t="s">
        <v>12994</v>
      </c>
      <c r="P3277" t="s">
        <v>13850</v>
      </c>
      <c r="Q3277">
        <v>39.89</v>
      </c>
      <c r="R3277" t="s">
        <v>13851</v>
      </c>
      <c r="S3277">
        <v>-2.6</v>
      </c>
      <c r="T3277">
        <v>8.48</v>
      </c>
      <c r="U3277" t="s">
        <v>578</v>
      </c>
      <c r="V3277" t="s">
        <v>407</v>
      </c>
      <c r="W3277" t="s">
        <v>259</v>
      </c>
      <c r="X3277">
        <v>-0.56999999999999995</v>
      </c>
      <c r="Y3277" t="s">
        <v>1594</v>
      </c>
      <c r="Z3277" t="s">
        <v>286</v>
      </c>
      <c r="AA3277" t="s">
        <v>7772</v>
      </c>
      <c r="AB3277">
        <v>3.23</v>
      </c>
      <c r="AC3277" t="s">
        <v>308</v>
      </c>
      <c r="AD3277">
        <v>83.29</v>
      </c>
      <c r="AE3277" t="s">
        <v>371</v>
      </c>
      <c r="AF3277">
        <v>3.34</v>
      </c>
      <c r="AG3277">
        <v>0</v>
      </c>
      <c r="AH3277">
        <v>0</v>
      </c>
      <c r="AI3277" s="4">
        <v>36355</v>
      </c>
    </row>
    <row r="3278" spans="1:35">
      <c r="A3278">
        <v>3277</v>
      </c>
      <c r="B3278" t="str">
        <f>"300589"</f>
        <v>300589</v>
      </c>
      <c r="C3278" t="s">
        <v>13852</v>
      </c>
      <c r="D3278" s="4">
        <v>43190</v>
      </c>
      <c r="E3278" t="s">
        <v>975</v>
      </c>
      <c r="F3278" t="s">
        <v>2172</v>
      </c>
      <c r="G3278">
        <v>2459</v>
      </c>
      <c r="H3278">
        <v>-0.01</v>
      </c>
      <c r="I3278">
        <v>1.5</v>
      </c>
      <c r="J3278">
        <v>-0.56999999999999995</v>
      </c>
      <c r="K3278" t="s">
        <v>13853</v>
      </c>
      <c r="L3278">
        <v>-15.12</v>
      </c>
      <c r="M3278" t="s">
        <v>13477</v>
      </c>
      <c r="N3278" t="s">
        <v>13854</v>
      </c>
      <c r="O3278" t="s">
        <v>5510</v>
      </c>
      <c r="P3278" t="s">
        <v>13855</v>
      </c>
      <c r="Q3278">
        <v>-157.25</v>
      </c>
      <c r="R3278" t="s">
        <v>8741</v>
      </c>
      <c r="S3278">
        <v>0.45</v>
      </c>
      <c r="T3278">
        <v>13</v>
      </c>
      <c r="U3278" t="s">
        <v>523</v>
      </c>
      <c r="V3278" t="s">
        <v>806</v>
      </c>
      <c r="W3278" t="s">
        <v>1200</v>
      </c>
      <c r="X3278">
        <v>-0.56999999999999995</v>
      </c>
      <c r="Y3278" t="s">
        <v>498</v>
      </c>
      <c r="Z3278" t="s">
        <v>1934</v>
      </c>
      <c r="AA3278" t="s">
        <v>10876</v>
      </c>
      <c r="AB3278">
        <v>8.17</v>
      </c>
      <c r="AC3278" t="s">
        <v>3441</v>
      </c>
      <c r="AD3278">
        <v>43.43</v>
      </c>
      <c r="AE3278" t="s">
        <v>13856</v>
      </c>
      <c r="AF3278">
        <v>0.05</v>
      </c>
      <c r="AG3278">
        <v>0</v>
      </c>
      <c r="AH3278">
        <v>0</v>
      </c>
      <c r="AI3278" s="4">
        <v>42748</v>
      </c>
    </row>
    <row r="3279" spans="1:35">
      <c r="A3279">
        <v>3278</v>
      </c>
      <c r="B3279" t="str">
        <f>"300004"</f>
        <v>300004</v>
      </c>
      <c r="C3279" t="s">
        <v>13857</v>
      </c>
      <c r="D3279" s="4">
        <v>43190</v>
      </c>
      <c r="E3279" t="s">
        <v>44</v>
      </c>
      <c r="F3279" t="s">
        <v>498</v>
      </c>
      <c r="G3279" t="s">
        <v>1340</v>
      </c>
      <c r="H3279">
        <v>-0.03</v>
      </c>
      <c r="I3279">
        <v>6.1</v>
      </c>
      <c r="J3279">
        <v>-0.56999999999999995</v>
      </c>
      <c r="K3279" t="s">
        <v>1349</v>
      </c>
      <c r="L3279">
        <v>2.41</v>
      </c>
      <c r="M3279" t="s">
        <v>13530</v>
      </c>
      <c r="N3279" t="s">
        <v>13858</v>
      </c>
      <c r="O3279" t="s">
        <v>13762</v>
      </c>
      <c r="P3279" t="s">
        <v>13859</v>
      </c>
      <c r="Q3279">
        <v>8.77</v>
      </c>
      <c r="R3279" t="s">
        <v>2468</v>
      </c>
      <c r="S3279">
        <v>0.78</v>
      </c>
      <c r="T3279">
        <v>24.2</v>
      </c>
      <c r="U3279" t="s">
        <v>1419</v>
      </c>
      <c r="V3279" t="s">
        <v>510</v>
      </c>
      <c r="W3279" t="s">
        <v>1506</v>
      </c>
      <c r="X3279">
        <v>-0.56999999999999995</v>
      </c>
      <c r="Y3279" t="s">
        <v>1993</v>
      </c>
      <c r="Z3279" t="s">
        <v>1012</v>
      </c>
      <c r="AA3279" t="s">
        <v>2769</v>
      </c>
      <c r="AB3279">
        <v>0.73</v>
      </c>
      <c r="AC3279" t="s">
        <v>2064</v>
      </c>
      <c r="AD3279">
        <v>81.47</v>
      </c>
      <c r="AE3279" t="s">
        <v>420</v>
      </c>
      <c r="AF3279">
        <v>4.21</v>
      </c>
      <c r="AG3279">
        <v>0</v>
      </c>
      <c r="AH3279">
        <v>0</v>
      </c>
      <c r="AI3279" s="4">
        <v>40116</v>
      </c>
    </row>
    <row r="3280" spans="1:35">
      <c r="A3280">
        <v>3279</v>
      </c>
      <c r="B3280" t="str">
        <f>"002106"</f>
        <v>002106</v>
      </c>
      <c r="C3280" t="s">
        <v>13860</v>
      </c>
      <c r="D3280" s="4">
        <v>43190</v>
      </c>
      <c r="E3280" t="s">
        <v>1723</v>
      </c>
      <c r="F3280" t="s">
        <v>5195</v>
      </c>
      <c r="G3280" t="s">
        <v>5706</v>
      </c>
      <c r="H3280">
        <v>-0.03</v>
      </c>
      <c r="I3280">
        <v>5.14</v>
      </c>
      <c r="J3280">
        <v>-0.56999999999999995</v>
      </c>
      <c r="K3280" t="s">
        <v>544</v>
      </c>
      <c r="L3280">
        <v>9.49</v>
      </c>
      <c r="M3280" t="s">
        <v>13861</v>
      </c>
      <c r="N3280" t="s">
        <v>13862</v>
      </c>
      <c r="O3280" t="s">
        <v>13863</v>
      </c>
      <c r="P3280" t="s">
        <v>13864</v>
      </c>
      <c r="Q3280">
        <v>-160.22999999999999</v>
      </c>
      <c r="R3280" t="s">
        <v>1941</v>
      </c>
      <c r="S3280">
        <v>0.79</v>
      </c>
      <c r="T3280">
        <v>12.61</v>
      </c>
      <c r="U3280" t="s">
        <v>3653</v>
      </c>
      <c r="V3280" t="s">
        <v>1205</v>
      </c>
      <c r="W3280" t="s">
        <v>300</v>
      </c>
      <c r="X3280">
        <v>-0.56999999999999995</v>
      </c>
      <c r="Y3280" t="s">
        <v>619</v>
      </c>
      <c r="Z3280" t="s">
        <v>1941</v>
      </c>
      <c r="AA3280" t="s">
        <v>1264</v>
      </c>
      <c r="AB3280">
        <v>1.07</v>
      </c>
      <c r="AC3280" t="s">
        <v>2871</v>
      </c>
      <c r="AD3280">
        <v>80.48</v>
      </c>
      <c r="AE3280" t="s">
        <v>877</v>
      </c>
      <c r="AF3280">
        <v>2.94</v>
      </c>
      <c r="AG3280">
        <v>0</v>
      </c>
      <c r="AH3280">
        <v>0</v>
      </c>
      <c r="AI3280" s="4">
        <v>39094</v>
      </c>
    </row>
    <row r="3281" spans="1:35">
      <c r="A3281">
        <v>3280</v>
      </c>
      <c r="B3281" t="str">
        <f>"000037"</f>
        <v>000037</v>
      </c>
      <c r="C3281" t="s">
        <v>13865</v>
      </c>
      <c r="D3281" s="4">
        <v>43190</v>
      </c>
      <c r="E3281" t="s">
        <v>1168</v>
      </c>
      <c r="F3281" t="s">
        <v>1578</v>
      </c>
      <c r="G3281">
        <v>0</v>
      </c>
      <c r="H3281">
        <v>-0.02</v>
      </c>
      <c r="I3281">
        <v>3.23</v>
      </c>
      <c r="J3281">
        <v>-0.56999999999999995</v>
      </c>
      <c r="K3281" t="s">
        <v>78</v>
      </c>
      <c r="L3281">
        <v>26.59</v>
      </c>
      <c r="M3281" t="s">
        <v>13866</v>
      </c>
      <c r="N3281" t="s">
        <v>13867</v>
      </c>
      <c r="O3281" t="s">
        <v>13868</v>
      </c>
      <c r="P3281" t="s">
        <v>13869</v>
      </c>
      <c r="Q3281">
        <v>60.1</v>
      </c>
      <c r="R3281" t="s">
        <v>1444</v>
      </c>
      <c r="S3281">
        <v>1.08</v>
      </c>
      <c r="T3281">
        <v>4.58</v>
      </c>
      <c r="U3281" t="s">
        <v>1404</v>
      </c>
      <c r="V3281" t="s">
        <v>747</v>
      </c>
      <c r="W3281" t="s">
        <v>538</v>
      </c>
      <c r="X3281">
        <v>-0.56999999999999995</v>
      </c>
      <c r="Y3281" t="s">
        <v>613</v>
      </c>
      <c r="Z3281" t="s">
        <v>295</v>
      </c>
      <c r="AA3281" t="s">
        <v>13870</v>
      </c>
      <c r="AB3281">
        <v>1.78</v>
      </c>
      <c r="AC3281" t="s">
        <v>275</v>
      </c>
      <c r="AD3281">
        <v>61.4</v>
      </c>
      <c r="AE3281" t="s">
        <v>2029</v>
      </c>
      <c r="AF3281">
        <v>0.6</v>
      </c>
      <c r="AG3281" t="s">
        <v>828</v>
      </c>
      <c r="AH3281">
        <v>0</v>
      </c>
      <c r="AI3281" s="4">
        <v>34516</v>
      </c>
    </row>
    <row r="3282" spans="1:35">
      <c r="A3282">
        <v>3281</v>
      </c>
      <c r="B3282" t="str">
        <f>"600444"</f>
        <v>600444</v>
      </c>
      <c r="C3282" t="s">
        <v>13871</v>
      </c>
      <c r="D3282" s="4">
        <v>43190</v>
      </c>
      <c r="E3282" t="s">
        <v>93</v>
      </c>
      <c r="F3282" t="s">
        <v>198</v>
      </c>
      <c r="G3282" t="s">
        <v>70</v>
      </c>
      <c r="H3282">
        <v>-0.02</v>
      </c>
      <c r="I3282">
        <v>3.46</v>
      </c>
      <c r="J3282">
        <v>-0.57999999999999996</v>
      </c>
      <c r="K3282" t="s">
        <v>7458</v>
      </c>
      <c r="L3282">
        <v>-6.96</v>
      </c>
      <c r="M3282" t="s">
        <v>11615</v>
      </c>
      <c r="N3282">
        <v>0</v>
      </c>
      <c r="O3282" t="s">
        <v>13872</v>
      </c>
      <c r="P3282" t="s">
        <v>10362</v>
      </c>
      <c r="Q3282">
        <v>-126.71</v>
      </c>
      <c r="R3282" t="s">
        <v>2906</v>
      </c>
      <c r="S3282">
        <v>0.01</v>
      </c>
      <c r="T3282">
        <v>17.09</v>
      </c>
      <c r="U3282" t="s">
        <v>1868</v>
      </c>
      <c r="V3282" t="s">
        <v>1444</v>
      </c>
      <c r="W3282" t="s">
        <v>3843</v>
      </c>
      <c r="X3282">
        <v>-0.57999999999999996</v>
      </c>
      <c r="Y3282" t="s">
        <v>296</v>
      </c>
      <c r="Z3282" t="s">
        <v>486</v>
      </c>
      <c r="AA3282" t="s">
        <v>9471</v>
      </c>
      <c r="AB3282">
        <v>3.09</v>
      </c>
      <c r="AC3282" t="s">
        <v>1959</v>
      </c>
      <c r="AD3282">
        <v>62.74</v>
      </c>
      <c r="AE3282" t="s">
        <v>2661</v>
      </c>
      <c r="AF3282">
        <v>2.25</v>
      </c>
      <c r="AG3282">
        <v>0</v>
      </c>
      <c r="AH3282">
        <v>0</v>
      </c>
      <c r="AI3282" s="4">
        <v>38036</v>
      </c>
    </row>
    <row r="3283" spans="1:35">
      <c r="A3283">
        <v>3282</v>
      </c>
      <c r="B3283" t="str">
        <f>"002693"</f>
        <v>002693</v>
      </c>
      <c r="C3283" t="s">
        <v>13873</v>
      </c>
      <c r="D3283" s="4">
        <v>43190</v>
      </c>
      <c r="E3283" t="s">
        <v>338</v>
      </c>
      <c r="F3283" t="s">
        <v>800</v>
      </c>
      <c r="G3283" t="s">
        <v>2506</v>
      </c>
      <c r="H3283">
        <v>-0.01</v>
      </c>
      <c r="I3283">
        <v>1.45</v>
      </c>
      <c r="J3283">
        <v>-0.57999999999999996</v>
      </c>
      <c r="K3283" t="s">
        <v>13874</v>
      </c>
      <c r="L3283">
        <v>124.87</v>
      </c>
      <c r="M3283" t="s">
        <v>13875</v>
      </c>
      <c r="N3283" t="s">
        <v>10370</v>
      </c>
      <c r="O3283" t="s">
        <v>13876</v>
      </c>
      <c r="P3283" t="s">
        <v>13808</v>
      </c>
      <c r="Q3283">
        <v>60.62</v>
      </c>
      <c r="R3283" t="s">
        <v>13119</v>
      </c>
      <c r="S3283">
        <v>-0.47</v>
      </c>
      <c r="T3283">
        <v>63.05</v>
      </c>
      <c r="U3283" t="s">
        <v>1025</v>
      </c>
      <c r="V3283" t="s">
        <v>3496</v>
      </c>
      <c r="W3283" t="s">
        <v>364</v>
      </c>
      <c r="X3283">
        <v>-0.57999999999999996</v>
      </c>
      <c r="Y3283" t="s">
        <v>1438</v>
      </c>
      <c r="Z3283" t="s">
        <v>382</v>
      </c>
      <c r="AA3283" t="s">
        <v>184</v>
      </c>
      <c r="AB3283">
        <v>4.33</v>
      </c>
      <c r="AC3283" t="s">
        <v>105</v>
      </c>
      <c r="AD3283">
        <v>45.12</v>
      </c>
      <c r="AE3283" t="s">
        <v>1578</v>
      </c>
      <c r="AF3283">
        <v>0.84</v>
      </c>
      <c r="AG3283">
        <v>0</v>
      </c>
      <c r="AH3283">
        <v>0</v>
      </c>
      <c r="AI3283" s="4">
        <v>41129</v>
      </c>
    </row>
    <row r="3284" spans="1:35">
      <c r="A3284">
        <v>3283</v>
      </c>
      <c r="B3284" t="str">
        <f>"002229"</f>
        <v>002229</v>
      </c>
      <c r="C3284" t="s">
        <v>13877</v>
      </c>
      <c r="D3284" s="4">
        <v>43190</v>
      </c>
      <c r="E3284" t="s">
        <v>442</v>
      </c>
      <c r="F3284" t="s">
        <v>749</v>
      </c>
      <c r="G3284" t="s">
        <v>3219</v>
      </c>
      <c r="H3284">
        <v>-0.02</v>
      </c>
      <c r="I3284">
        <v>3.18</v>
      </c>
      <c r="J3284">
        <v>-0.57999999999999996</v>
      </c>
      <c r="K3284" t="s">
        <v>1203</v>
      </c>
      <c r="L3284">
        <v>16.45</v>
      </c>
      <c r="M3284" t="s">
        <v>13878</v>
      </c>
      <c r="N3284" t="s">
        <v>5255</v>
      </c>
      <c r="O3284" t="s">
        <v>13879</v>
      </c>
      <c r="P3284" t="s">
        <v>13880</v>
      </c>
      <c r="Q3284">
        <v>17.66</v>
      </c>
      <c r="R3284" t="s">
        <v>292</v>
      </c>
      <c r="S3284">
        <v>0.35</v>
      </c>
      <c r="T3284">
        <v>23.68</v>
      </c>
      <c r="U3284" t="s">
        <v>877</v>
      </c>
      <c r="V3284" t="s">
        <v>192</v>
      </c>
      <c r="W3284" t="s">
        <v>1168</v>
      </c>
      <c r="X3284">
        <v>-0.57999999999999996</v>
      </c>
      <c r="Y3284" t="s">
        <v>144</v>
      </c>
      <c r="Z3284" t="s">
        <v>120</v>
      </c>
      <c r="AA3284" t="s">
        <v>6743</v>
      </c>
      <c r="AB3284">
        <v>3.07</v>
      </c>
      <c r="AC3284" t="s">
        <v>1244</v>
      </c>
      <c r="AD3284">
        <v>78.400000000000006</v>
      </c>
      <c r="AE3284" t="s">
        <v>1769</v>
      </c>
      <c r="AF3284">
        <v>1.8</v>
      </c>
      <c r="AG3284">
        <v>0</v>
      </c>
      <c r="AH3284">
        <v>0</v>
      </c>
      <c r="AI3284" s="4">
        <v>39576</v>
      </c>
    </row>
    <row r="3285" spans="1:35">
      <c r="A3285">
        <v>3284</v>
      </c>
      <c r="B3285" t="str">
        <f>"300546"</f>
        <v>300546</v>
      </c>
      <c r="C3285" t="s">
        <v>13881</v>
      </c>
      <c r="D3285" s="4">
        <v>43190</v>
      </c>
      <c r="E3285" t="s">
        <v>1370</v>
      </c>
      <c r="F3285" t="s">
        <v>7865</v>
      </c>
      <c r="G3285">
        <v>4743</v>
      </c>
      <c r="H3285">
        <v>-0.03</v>
      </c>
      <c r="I3285">
        <v>4.53</v>
      </c>
      <c r="J3285">
        <v>-0.59</v>
      </c>
      <c r="K3285" t="s">
        <v>2904</v>
      </c>
      <c r="L3285">
        <v>78.16</v>
      </c>
      <c r="M3285" t="s">
        <v>13882</v>
      </c>
      <c r="N3285">
        <v>0</v>
      </c>
      <c r="O3285" t="s">
        <v>13882</v>
      </c>
      <c r="P3285" t="s">
        <v>13883</v>
      </c>
      <c r="Q3285">
        <v>-165.7</v>
      </c>
      <c r="R3285" t="s">
        <v>120</v>
      </c>
      <c r="S3285">
        <v>2.0699999999999998</v>
      </c>
      <c r="T3285">
        <v>36.200000000000003</v>
      </c>
      <c r="U3285" t="s">
        <v>1589</v>
      </c>
      <c r="V3285" t="s">
        <v>4009</v>
      </c>
      <c r="W3285" t="s">
        <v>13143</v>
      </c>
      <c r="X3285">
        <v>-0.59</v>
      </c>
      <c r="Y3285" t="s">
        <v>217</v>
      </c>
      <c r="Z3285" t="s">
        <v>2142</v>
      </c>
      <c r="AA3285" t="s">
        <v>10844</v>
      </c>
      <c r="AB3285">
        <v>3.87</v>
      </c>
      <c r="AC3285" t="s">
        <v>1779</v>
      </c>
      <c r="AD3285">
        <v>71.150000000000006</v>
      </c>
      <c r="AE3285" t="s">
        <v>1624</v>
      </c>
      <c r="AF3285">
        <v>1.45</v>
      </c>
      <c r="AG3285">
        <v>0</v>
      </c>
      <c r="AH3285">
        <v>0</v>
      </c>
      <c r="AI3285" s="4">
        <v>42641</v>
      </c>
    </row>
    <row r="3286" spans="1:35">
      <c r="A3286">
        <v>3285</v>
      </c>
      <c r="B3286" t="str">
        <f>"002816"</f>
        <v>002816</v>
      </c>
      <c r="C3286" t="s">
        <v>13884</v>
      </c>
      <c r="D3286" s="4">
        <v>43190</v>
      </c>
      <c r="E3286" t="s">
        <v>2307</v>
      </c>
      <c r="F3286" t="s">
        <v>13885</v>
      </c>
      <c r="G3286">
        <v>3285</v>
      </c>
      <c r="H3286">
        <v>-0.03</v>
      </c>
      <c r="I3286">
        <v>5.2</v>
      </c>
      <c r="J3286">
        <v>-0.59</v>
      </c>
      <c r="K3286" t="s">
        <v>5368</v>
      </c>
      <c r="L3286">
        <v>24.21</v>
      </c>
      <c r="M3286" t="s">
        <v>5082</v>
      </c>
      <c r="N3286" t="s">
        <v>13094</v>
      </c>
      <c r="O3286" t="s">
        <v>13679</v>
      </c>
      <c r="P3286" t="s">
        <v>12238</v>
      </c>
      <c r="Q3286">
        <v>-2.82</v>
      </c>
      <c r="R3286" t="s">
        <v>415</v>
      </c>
      <c r="S3286">
        <v>2.08</v>
      </c>
      <c r="T3286">
        <v>28</v>
      </c>
      <c r="U3286" t="s">
        <v>3859</v>
      </c>
      <c r="V3286" t="s">
        <v>2063</v>
      </c>
      <c r="W3286" t="s">
        <v>13886</v>
      </c>
      <c r="X3286">
        <v>-0.59</v>
      </c>
      <c r="Y3286" t="s">
        <v>3768</v>
      </c>
      <c r="Z3286" t="s">
        <v>1860</v>
      </c>
      <c r="AA3286" t="s">
        <v>8845</v>
      </c>
      <c r="AB3286">
        <v>2.63</v>
      </c>
      <c r="AC3286" t="s">
        <v>2479</v>
      </c>
      <c r="AD3286">
        <v>72.099999999999994</v>
      </c>
      <c r="AE3286" t="s">
        <v>844</v>
      </c>
      <c r="AF3286">
        <v>2.0499999999999998</v>
      </c>
      <c r="AG3286">
        <v>0</v>
      </c>
      <c r="AH3286">
        <v>0</v>
      </c>
      <c r="AI3286" s="4">
        <v>42668</v>
      </c>
    </row>
    <row r="3287" spans="1:35">
      <c r="A3287">
        <v>3286</v>
      </c>
      <c r="B3287" t="str">
        <f>"002457"</f>
        <v>002457</v>
      </c>
      <c r="C3287" t="s">
        <v>13887</v>
      </c>
      <c r="D3287" s="4">
        <v>43190</v>
      </c>
      <c r="E3287" t="s">
        <v>681</v>
      </c>
      <c r="F3287" t="s">
        <v>91</v>
      </c>
      <c r="G3287">
        <v>3642</v>
      </c>
      <c r="H3287">
        <v>-0.03</v>
      </c>
      <c r="I3287">
        <v>5.27</v>
      </c>
      <c r="J3287">
        <v>-0.59</v>
      </c>
      <c r="K3287" t="s">
        <v>13888</v>
      </c>
      <c r="L3287">
        <v>-30.04</v>
      </c>
      <c r="M3287" t="s">
        <v>13889</v>
      </c>
      <c r="N3287" t="s">
        <v>2485</v>
      </c>
      <c r="O3287" t="s">
        <v>13890</v>
      </c>
      <c r="P3287" t="s">
        <v>13891</v>
      </c>
      <c r="Q3287">
        <v>-74.2</v>
      </c>
      <c r="R3287" t="s">
        <v>483</v>
      </c>
      <c r="S3287">
        <v>1.55</v>
      </c>
      <c r="T3287">
        <v>31.26</v>
      </c>
      <c r="U3287" t="s">
        <v>1542</v>
      </c>
      <c r="V3287" t="s">
        <v>516</v>
      </c>
      <c r="W3287" t="s">
        <v>365</v>
      </c>
      <c r="X3287">
        <v>-0.59</v>
      </c>
      <c r="Y3287" t="s">
        <v>919</v>
      </c>
      <c r="Z3287" t="s">
        <v>1094</v>
      </c>
      <c r="AA3287" t="s">
        <v>13892</v>
      </c>
      <c r="AB3287">
        <v>1.49</v>
      </c>
      <c r="AC3287" t="s">
        <v>757</v>
      </c>
      <c r="AD3287">
        <v>62.64</v>
      </c>
      <c r="AE3287" t="s">
        <v>605</v>
      </c>
      <c r="AF3287">
        <v>2.4500000000000002</v>
      </c>
      <c r="AG3287">
        <v>0</v>
      </c>
      <c r="AH3287">
        <v>0</v>
      </c>
      <c r="AI3287" s="4">
        <v>40393</v>
      </c>
    </row>
    <row r="3288" spans="1:35">
      <c r="A3288">
        <v>3287</v>
      </c>
      <c r="B3288" t="str">
        <f>"002314"</f>
        <v>002314</v>
      </c>
      <c r="C3288" t="s">
        <v>13893</v>
      </c>
      <c r="D3288" s="4">
        <v>43190</v>
      </c>
      <c r="E3288" t="s">
        <v>187</v>
      </c>
      <c r="F3288" t="s">
        <v>3234</v>
      </c>
      <c r="G3288" t="s">
        <v>6893</v>
      </c>
      <c r="H3288">
        <v>-0.02</v>
      </c>
      <c r="I3288">
        <v>3.12</v>
      </c>
      <c r="J3288">
        <v>-0.59</v>
      </c>
      <c r="K3288" t="s">
        <v>3549</v>
      </c>
      <c r="L3288">
        <v>146.29</v>
      </c>
      <c r="M3288" t="s">
        <v>6198</v>
      </c>
      <c r="N3288" t="s">
        <v>8452</v>
      </c>
      <c r="O3288" t="s">
        <v>13894</v>
      </c>
      <c r="P3288" t="s">
        <v>13895</v>
      </c>
      <c r="Q3288">
        <v>53.37</v>
      </c>
      <c r="R3288" t="s">
        <v>5880</v>
      </c>
      <c r="S3288">
        <v>0.48</v>
      </c>
      <c r="T3288">
        <v>39.71</v>
      </c>
      <c r="U3288" t="s">
        <v>5633</v>
      </c>
      <c r="V3288" t="s">
        <v>3118</v>
      </c>
      <c r="W3288" t="s">
        <v>569</v>
      </c>
      <c r="X3288">
        <v>-0.59</v>
      </c>
      <c r="Y3288" t="s">
        <v>586</v>
      </c>
      <c r="Z3288" t="s">
        <v>3468</v>
      </c>
      <c r="AA3288" t="s">
        <v>570</v>
      </c>
      <c r="AB3288">
        <v>1.26</v>
      </c>
      <c r="AC3288" t="s">
        <v>1427</v>
      </c>
      <c r="AD3288">
        <v>33.33</v>
      </c>
      <c r="AE3288" t="s">
        <v>1313</v>
      </c>
      <c r="AF3288">
        <v>1.49</v>
      </c>
      <c r="AG3288">
        <v>0</v>
      </c>
      <c r="AH3288">
        <v>0</v>
      </c>
      <c r="AI3288" s="4">
        <v>40150</v>
      </c>
    </row>
    <row r="3289" spans="1:35">
      <c r="A3289">
        <v>3288</v>
      </c>
      <c r="B3289" t="str">
        <f>"600220"</f>
        <v>600220</v>
      </c>
      <c r="C3289" t="s">
        <v>13896</v>
      </c>
      <c r="D3289" s="4">
        <v>43190</v>
      </c>
      <c r="E3289" t="s">
        <v>1678</v>
      </c>
      <c r="F3289" t="s">
        <v>1678</v>
      </c>
      <c r="G3289" t="s">
        <v>268</v>
      </c>
      <c r="H3289">
        <v>-0.01</v>
      </c>
      <c r="I3289">
        <v>1.1399999999999999</v>
      </c>
      <c r="J3289">
        <v>-0.6</v>
      </c>
      <c r="K3289" t="s">
        <v>498</v>
      </c>
      <c r="L3289">
        <v>10.72</v>
      </c>
      <c r="M3289" t="s">
        <v>8668</v>
      </c>
      <c r="N3289" t="s">
        <v>13897</v>
      </c>
      <c r="O3289" t="s">
        <v>13898</v>
      </c>
      <c r="P3289" t="s">
        <v>13650</v>
      </c>
      <c r="Q3289">
        <v>-1204.3399999999999</v>
      </c>
      <c r="R3289" t="s">
        <v>322</v>
      </c>
      <c r="S3289">
        <v>7.0000000000000007E-2</v>
      </c>
      <c r="T3289">
        <v>19.11</v>
      </c>
      <c r="U3289" t="s">
        <v>1925</v>
      </c>
      <c r="V3289" t="s">
        <v>243</v>
      </c>
      <c r="W3289" t="s">
        <v>1052</v>
      </c>
      <c r="X3289">
        <v>-0.6</v>
      </c>
      <c r="Y3289" t="s">
        <v>2280</v>
      </c>
      <c r="Z3289" t="s">
        <v>2280</v>
      </c>
      <c r="AA3289" t="s">
        <v>13899</v>
      </c>
      <c r="AB3289">
        <v>1.77</v>
      </c>
      <c r="AC3289" t="s">
        <v>1843</v>
      </c>
      <c r="AD3289">
        <v>42.56</v>
      </c>
      <c r="AE3289">
        <v>0</v>
      </c>
      <c r="AF3289">
        <v>0</v>
      </c>
      <c r="AG3289">
        <v>0</v>
      </c>
      <c r="AH3289">
        <v>0</v>
      </c>
      <c r="AI3289" s="4">
        <v>36430</v>
      </c>
    </row>
    <row r="3290" spans="1:35">
      <c r="A3290">
        <v>3289</v>
      </c>
      <c r="B3290" t="str">
        <f>"300645"</f>
        <v>300645</v>
      </c>
      <c r="C3290" t="s">
        <v>13900</v>
      </c>
      <c r="D3290" s="4">
        <v>43190</v>
      </c>
      <c r="E3290" t="s">
        <v>4349</v>
      </c>
      <c r="F3290" t="s">
        <v>8827</v>
      </c>
      <c r="G3290">
        <v>1516</v>
      </c>
      <c r="H3290">
        <v>-0.05</v>
      </c>
      <c r="I3290">
        <v>7.94</v>
      </c>
      <c r="J3290">
        <v>-0.61</v>
      </c>
      <c r="K3290" t="s">
        <v>13901</v>
      </c>
      <c r="L3290">
        <v>20.54</v>
      </c>
      <c r="M3290" t="s">
        <v>13902</v>
      </c>
      <c r="N3290" t="s">
        <v>13897</v>
      </c>
      <c r="O3290" t="s">
        <v>13903</v>
      </c>
      <c r="P3290" t="s">
        <v>13904</v>
      </c>
      <c r="Q3290">
        <v>30</v>
      </c>
      <c r="R3290" t="s">
        <v>603</v>
      </c>
      <c r="S3290">
        <v>2.44</v>
      </c>
      <c r="T3290">
        <v>39.68</v>
      </c>
      <c r="U3290" t="s">
        <v>1019</v>
      </c>
      <c r="V3290" t="s">
        <v>3603</v>
      </c>
      <c r="W3290" t="s">
        <v>10757</v>
      </c>
      <c r="X3290">
        <v>-0.61</v>
      </c>
      <c r="Y3290" t="s">
        <v>1435</v>
      </c>
      <c r="Z3290" t="s">
        <v>1435</v>
      </c>
      <c r="AA3290">
        <v>0</v>
      </c>
      <c r="AB3290">
        <v>4.08</v>
      </c>
      <c r="AC3290" t="s">
        <v>3471</v>
      </c>
      <c r="AD3290">
        <v>69.59</v>
      </c>
      <c r="AE3290" t="s">
        <v>1664</v>
      </c>
      <c r="AF3290">
        <v>4.1900000000000004</v>
      </c>
      <c r="AG3290">
        <v>0</v>
      </c>
      <c r="AH3290">
        <v>0</v>
      </c>
      <c r="AI3290" s="4">
        <v>42846</v>
      </c>
    </row>
    <row r="3291" spans="1:35">
      <c r="A3291">
        <v>3290</v>
      </c>
      <c r="B3291" t="str">
        <f>"300541"</f>
        <v>300541</v>
      </c>
      <c r="C3291" t="s">
        <v>13905</v>
      </c>
      <c r="D3291" s="4">
        <v>43190</v>
      </c>
      <c r="E3291" t="s">
        <v>1288</v>
      </c>
      <c r="F3291" t="s">
        <v>1478</v>
      </c>
      <c r="G3291">
        <v>3056</v>
      </c>
      <c r="H3291">
        <v>-0.02</v>
      </c>
      <c r="I3291">
        <v>4.03</v>
      </c>
      <c r="J3291">
        <v>-0.61</v>
      </c>
      <c r="K3291" t="s">
        <v>13906</v>
      </c>
      <c r="L3291">
        <v>8.2200000000000006</v>
      </c>
      <c r="M3291" t="s">
        <v>13790</v>
      </c>
      <c r="N3291" t="s">
        <v>13907</v>
      </c>
      <c r="O3291" t="s">
        <v>13790</v>
      </c>
      <c r="P3291" t="s">
        <v>13908</v>
      </c>
      <c r="Q3291">
        <v>-1.82</v>
      </c>
      <c r="R3291" t="s">
        <v>985</v>
      </c>
      <c r="S3291">
        <v>1.2</v>
      </c>
      <c r="T3291">
        <v>20.94</v>
      </c>
      <c r="U3291" t="s">
        <v>264</v>
      </c>
      <c r="V3291" t="s">
        <v>1496</v>
      </c>
      <c r="W3291" t="s">
        <v>13909</v>
      </c>
      <c r="X3291">
        <v>-0.61</v>
      </c>
      <c r="Y3291" t="s">
        <v>2685</v>
      </c>
      <c r="Z3291" t="s">
        <v>2685</v>
      </c>
      <c r="AA3291" t="s">
        <v>13910</v>
      </c>
      <c r="AB3291">
        <v>3.53</v>
      </c>
      <c r="AC3291" t="s">
        <v>1651</v>
      </c>
      <c r="AD3291">
        <v>60.5</v>
      </c>
      <c r="AE3291" t="s">
        <v>139</v>
      </c>
      <c r="AF3291">
        <v>1.7</v>
      </c>
      <c r="AG3291">
        <v>0</v>
      </c>
      <c r="AH3291">
        <v>0</v>
      </c>
      <c r="AI3291" s="4">
        <v>42626</v>
      </c>
    </row>
    <row r="3292" spans="1:35">
      <c r="A3292">
        <v>3291</v>
      </c>
      <c r="B3292" t="str">
        <f>"000619"</f>
        <v>000619</v>
      </c>
      <c r="C3292" t="s">
        <v>13911</v>
      </c>
      <c r="D3292" s="4">
        <v>43190</v>
      </c>
      <c r="E3292" t="s">
        <v>204</v>
      </c>
      <c r="F3292" t="s">
        <v>204</v>
      </c>
      <c r="G3292" t="s">
        <v>70</v>
      </c>
      <c r="H3292">
        <v>-0.04</v>
      </c>
      <c r="I3292">
        <v>6.74</v>
      </c>
      <c r="J3292">
        <v>-0.63</v>
      </c>
      <c r="K3292" t="s">
        <v>3374</v>
      </c>
      <c r="L3292">
        <v>-11.74</v>
      </c>
      <c r="M3292" t="s">
        <v>13912</v>
      </c>
      <c r="N3292" t="s">
        <v>5473</v>
      </c>
      <c r="O3292" t="s">
        <v>13913</v>
      </c>
      <c r="P3292" t="s">
        <v>13914</v>
      </c>
      <c r="Q3292">
        <v>-120.5</v>
      </c>
      <c r="R3292" t="s">
        <v>350</v>
      </c>
      <c r="S3292">
        <v>3.77</v>
      </c>
      <c r="T3292">
        <v>9.52</v>
      </c>
      <c r="U3292" t="s">
        <v>1174</v>
      </c>
      <c r="V3292" t="s">
        <v>891</v>
      </c>
      <c r="W3292" t="s">
        <v>1214</v>
      </c>
      <c r="X3292">
        <v>-0.63</v>
      </c>
      <c r="Y3292" t="s">
        <v>1705</v>
      </c>
      <c r="Z3292" t="s">
        <v>6799</v>
      </c>
      <c r="AA3292" t="s">
        <v>13915</v>
      </c>
      <c r="AB3292">
        <v>0.94</v>
      </c>
      <c r="AC3292" t="s">
        <v>306</v>
      </c>
      <c r="AD3292">
        <v>69.290000000000006</v>
      </c>
      <c r="AE3292" t="s">
        <v>335</v>
      </c>
      <c r="AF3292">
        <v>1.22</v>
      </c>
      <c r="AG3292">
        <v>0</v>
      </c>
      <c r="AH3292">
        <v>0</v>
      </c>
      <c r="AI3292" s="4">
        <v>35361</v>
      </c>
    </row>
    <row r="3293" spans="1:35">
      <c r="A3293">
        <v>3292</v>
      </c>
      <c r="B3293" t="str">
        <f>"300458"</f>
        <v>300458</v>
      </c>
      <c r="C3293" t="s">
        <v>13916</v>
      </c>
      <c r="D3293" s="4">
        <v>43190</v>
      </c>
      <c r="E3293" t="s">
        <v>977</v>
      </c>
      <c r="F3293" t="s">
        <v>535</v>
      </c>
      <c r="G3293">
        <v>5430</v>
      </c>
      <c r="H3293">
        <v>-0.04</v>
      </c>
      <c r="I3293">
        <v>6.06</v>
      </c>
      <c r="J3293">
        <v>-0.64</v>
      </c>
      <c r="K3293" t="s">
        <v>535</v>
      </c>
      <c r="L3293">
        <v>63.87</v>
      </c>
      <c r="M3293" t="s">
        <v>13917</v>
      </c>
      <c r="N3293" t="s">
        <v>3666</v>
      </c>
      <c r="O3293" t="s">
        <v>13918</v>
      </c>
      <c r="P3293" t="s">
        <v>13919</v>
      </c>
      <c r="Q3293">
        <v>-74.39</v>
      </c>
      <c r="R3293" t="s">
        <v>3184</v>
      </c>
      <c r="S3293">
        <v>2.85</v>
      </c>
      <c r="T3293">
        <v>29.86</v>
      </c>
      <c r="U3293" t="s">
        <v>578</v>
      </c>
      <c r="V3293" t="s">
        <v>419</v>
      </c>
      <c r="W3293" t="s">
        <v>321</v>
      </c>
      <c r="X3293">
        <v>-0.64</v>
      </c>
      <c r="Y3293" t="s">
        <v>618</v>
      </c>
      <c r="Z3293" t="s">
        <v>383</v>
      </c>
      <c r="AA3293" t="s">
        <v>13920</v>
      </c>
      <c r="AB3293">
        <v>2.93</v>
      </c>
      <c r="AC3293" t="s">
        <v>1255</v>
      </c>
      <c r="AD3293">
        <v>88.46</v>
      </c>
      <c r="AE3293" t="s">
        <v>1044</v>
      </c>
      <c r="AF3293">
        <v>1.96</v>
      </c>
      <c r="AG3293">
        <v>0</v>
      </c>
      <c r="AH3293">
        <v>0</v>
      </c>
      <c r="AI3293" s="4">
        <v>42139</v>
      </c>
    </row>
    <row r="3294" spans="1:35">
      <c r="A3294">
        <v>3293</v>
      </c>
      <c r="B3294" t="str">
        <f>"600391"</f>
        <v>600391</v>
      </c>
      <c r="C3294" t="s">
        <v>13921</v>
      </c>
      <c r="D3294" s="4">
        <v>43190</v>
      </c>
      <c r="E3294" t="s">
        <v>47</v>
      </c>
      <c r="F3294" t="s">
        <v>47</v>
      </c>
      <c r="G3294">
        <v>6512</v>
      </c>
      <c r="H3294">
        <v>-0.04</v>
      </c>
      <c r="I3294">
        <v>5.35</v>
      </c>
      <c r="J3294">
        <v>-0.65</v>
      </c>
      <c r="K3294" t="s">
        <v>479</v>
      </c>
      <c r="L3294">
        <v>-3.38</v>
      </c>
      <c r="M3294" t="s">
        <v>13922</v>
      </c>
      <c r="N3294">
        <v>0</v>
      </c>
      <c r="O3294" t="s">
        <v>13923</v>
      </c>
      <c r="P3294" t="s">
        <v>13924</v>
      </c>
      <c r="Q3294">
        <v>-465.28</v>
      </c>
      <c r="R3294" t="s">
        <v>977</v>
      </c>
      <c r="S3294">
        <v>0.97</v>
      </c>
      <c r="T3294">
        <v>20.53</v>
      </c>
      <c r="U3294" t="s">
        <v>2923</v>
      </c>
      <c r="V3294" t="s">
        <v>816</v>
      </c>
      <c r="W3294" t="s">
        <v>1678</v>
      </c>
      <c r="X3294">
        <v>-0.65</v>
      </c>
      <c r="Y3294" t="s">
        <v>1601</v>
      </c>
      <c r="Z3294" t="s">
        <v>2280</v>
      </c>
      <c r="AA3294" t="s">
        <v>295</v>
      </c>
      <c r="AB3294">
        <v>2.52</v>
      </c>
      <c r="AC3294" t="s">
        <v>1678</v>
      </c>
      <c r="AD3294">
        <v>31.25</v>
      </c>
      <c r="AE3294" t="s">
        <v>1094</v>
      </c>
      <c r="AF3294">
        <v>3.06</v>
      </c>
      <c r="AG3294">
        <v>0</v>
      </c>
      <c r="AH3294">
        <v>0</v>
      </c>
      <c r="AI3294" s="4">
        <v>37237</v>
      </c>
    </row>
    <row r="3295" spans="1:35">
      <c r="A3295">
        <v>3294</v>
      </c>
      <c r="B3295" t="str">
        <f>"600158"</f>
        <v>600158</v>
      </c>
      <c r="C3295" t="s">
        <v>13925</v>
      </c>
      <c r="D3295" s="4">
        <v>43190</v>
      </c>
      <c r="E3295" t="s">
        <v>652</v>
      </c>
      <c r="F3295" t="s">
        <v>190</v>
      </c>
      <c r="G3295">
        <v>6153</v>
      </c>
      <c r="H3295">
        <v>-0.01</v>
      </c>
      <c r="I3295">
        <v>1.92</v>
      </c>
      <c r="J3295">
        <v>-0.65</v>
      </c>
      <c r="K3295" t="s">
        <v>2307</v>
      </c>
      <c r="L3295">
        <v>-3.61</v>
      </c>
      <c r="M3295" t="s">
        <v>13926</v>
      </c>
      <c r="N3295" t="s">
        <v>6797</v>
      </c>
      <c r="O3295" t="s">
        <v>13927</v>
      </c>
      <c r="P3295" t="s">
        <v>13891</v>
      </c>
      <c r="Q3295">
        <v>15.99</v>
      </c>
      <c r="R3295" t="s">
        <v>857</v>
      </c>
      <c r="S3295">
        <v>0.74</v>
      </c>
      <c r="T3295">
        <v>19.45</v>
      </c>
      <c r="U3295" t="s">
        <v>511</v>
      </c>
      <c r="V3295" t="s">
        <v>2093</v>
      </c>
      <c r="W3295" t="s">
        <v>13928</v>
      </c>
      <c r="X3295">
        <v>-0.65</v>
      </c>
      <c r="Y3295" t="s">
        <v>876</v>
      </c>
      <c r="Z3295" t="s">
        <v>187</v>
      </c>
      <c r="AA3295" t="s">
        <v>1364</v>
      </c>
      <c r="AB3295">
        <v>6.07</v>
      </c>
      <c r="AC3295" t="s">
        <v>1062</v>
      </c>
      <c r="AD3295">
        <v>40.47</v>
      </c>
      <c r="AE3295" t="s">
        <v>10124</v>
      </c>
      <c r="AF3295">
        <v>0.03</v>
      </c>
      <c r="AG3295">
        <v>0</v>
      </c>
      <c r="AH3295">
        <v>0</v>
      </c>
      <c r="AI3295" s="4">
        <v>35881</v>
      </c>
    </row>
    <row r="3296" spans="1:35">
      <c r="A3296">
        <v>3295</v>
      </c>
      <c r="B3296" t="str">
        <f>"300540"</f>
        <v>300540</v>
      </c>
      <c r="C3296" t="s">
        <v>13929</v>
      </c>
      <c r="D3296" s="4">
        <v>43190</v>
      </c>
      <c r="E3296" t="s">
        <v>1365</v>
      </c>
      <c r="F3296" t="s">
        <v>13930</v>
      </c>
      <c r="G3296">
        <v>4120</v>
      </c>
      <c r="H3296">
        <v>-0.03</v>
      </c>
      <c r="I3296">
        <v>5.39</v>
      </c>
      <c r="J3296">
        <v>-0.65</v>
      </c>
      <c r="K3296" t="s">
        <v>13931</v>
      </c>
      <c r="L3296">
        <v>44.58</v>
      </c>
      <c r="M3296" t="s">
        <v>13908</v>
      </c>
      <c r="N3296">
        <v>0</v>
      </c>
      <c r="O3296" t="s">
        <v>12506</v>
      </c>
      <c r="P3296" t="s">
        <v>13932</v>
      </c>
      <c r="Q3296">
        <v>13.32</v>
      </c>
      <c r="R3296" t="s">
        <v>1860</v>
      </c>
      <c r="S3296">
        <v>1.55</v>
      </c>
      <c r="T3296">
        <v>12.85</v>
      </c>
      <c r="U3296" t="s">
        <v>4236</v>
      </c>
      <c r="V3296" t="s">
        <v>4097</v>
      </c>
      <c r="W3296" t="s">
        <v>13933</v>
      </c>
      <c r="X3296">
        <v>-0.65</v>
      </c>
      <c r="Y3296" t="s">
        <v>1672</v>
      </c>
      <c r="Z3296" t="s">
        <v>977</v>
      </c>
      <c r="AA3296" t="s">
        <v>4677</v>
      </c>
      <c r="AB3296">
        <v>3.16</v>
      </c>
      <c r="AC3296" t="s">
        <v>941</v>
      </c>
      <c r="AD3296">
        <v>65.22</v>
      </c>
      <c r="AE3296" t="s">
        <v>1967</v>
      </c>
      <c r="AF3296">
        <v>2.57</v>
      </c>
      <c r="AG3296">
        <v>0</v>
      </c>
      <c r="AH3296">
        <v>0</v>
      </c>
      <c r="AI3296" s="4">
        <v>42605</v>
      </c>
    </row>
    <row r="3297" spans="1:35">
      <c r="A3297">
        <v>3296</v>
      </c>
      <c r="B3297" t="str">
        <f>"002259"</f>
        <v>002259</v>
      </c>
      <c r="C3297" t="s">
        <v>13934</v>
      </c>
      <c r="D3297" s="4">
        <v>43190</v>
      </c>
      <c r="E3297" t="s">
        <v>2264</v>
      </c>
      <c r="F3297" t="s">
        <v>201</v>
      </c>
      <c r="G3297" t="s">
        <v>2511</v>
      </c>
      <c r="H3297">
        <v>-0.01</v>
      </c>
      <c r="I3297">
        <v>2.2000000000000002</v>
      </c>
      <c r="J3297">
        <v>-0.65</v>
      </c>
      <c r="K3297" t="s">
        <v>748</v>
      </c>
      <c r="L3297">
        <v>-31.36</v>
      </c>
      <c r="M3297" t="s">
        <v>13935</v>
      </c>
      <c r="N3297" t="s">
        <v>13936</v>
      </c>
      <c r="O3297" t="s">
        <v>13937</v>
      </c>
      <c r="P3297" t="s">
        <v>13938</v>
      </c>
      <c r="Q3297">
        <v>-24.12</v>
      </c>
      <c r="R3297" t="s">
        <v>845</v>
      </c>
      <c r="S3297">
        <v>0.21</v>
      </c>
      <c r="T3297">
        <v>15.89</v>
      </c>
      <c r="U3297" t="s">
        <v>1625</v>
      </c>
      <c r="V3297" t="s">
        <v>891</v>
      </c>
      <c r="W3297" t="s">
        <v>2192</v>
      </c>
      <c r="X3297">
        <v>-0.65</v>
      </c>
      <c r="Y3297" t="s">
        <v>521</v>
      </c>
      <c r="Z3297" t="s">
        <v>2836</v>
      </c>
      <c r="AA3297" t="s">
        <v>322</v>
      </c>
      <c r="AB3297">
        <v>2.17</v>
      </c>
      <c r="AC3297" t="s">
        <v>298</v>
      </c>
      <c r="AD3297">
        <v>55.15</v>
      </c>
      <c r="AE3297" t="s">
        <v>615</v>
      </c>
      <c r="AF3297">
        <v>0.96</v>
      </c>
      <c r="AG3297">
        <v>0</v>
      </c>
      <c r="AH3297">
        <v>0</v>
      </c>
      <c r="AI3297" s="4">
        <v>39645</v>
      </c>
    </row>
    <row r="3298" spans="1:35">
      <c r="A3298">
        <v>3297</v>
      </c>
      <c r="B3298" t="str">
        <f>"000610"</f>
        <v>000610</v>
      </c>
      <c r="C3298" t="s">
        <v>13939</v>
      </c>
      <c r="D3298" s="4">
        <v>43190</v>
      </c>
      <c r="E3298" t="s">
        <v>669</v>
      </c>
      <c r="F3298" t="s">
        <v>1999</v>
      </c>
      <c r="G3298">
        <v>9814</v>
      </c>
      <c r="H3298">
        <v>-0.02</v>
      </c>
      <c r="I3298">
        <v>3.25</v>
      </c>
      <c r="J3298">
        <v>-0.66</v>
      </c>
      <c r="K3298" t="s">
        <v>600</v>
      </c>
      <c r="L3298">
        <v>-8.94</v>
      </c>
      <c r="M3298" t="s">
        <v>13940</v>
      </c>
      <c r="N3298" t="s">
        <v>1598</v>
      </c>
      <c r="O3298" t="s">
        <v>13940</v>
      </c>
      <c r="P3298" t="s">
        <v>11464</v>
      </c>
      <c r="Q3298">
        <v>-10.050000000000001</v>
      </c>
      <c r="R3298" t="s">
        <v>13941</v>
      </c>
      <c r="S3298">
        <v>0.42</v>
      </c>
      <c r="T3298">
        <v>7.77</v>
      </c>
      <c r="U3298" t="s">
        <v>625</v>
      </c>
      <c r="V3298" t="s">
        <v>883</v>
      </c>
      <c r="W3298" t="s">
        <v>66</v>
      </c>
      <c r="X3298">
        <v>-0.66</v>
      </c>
      <c r="Y3298" t="s">
        <v>165</v>
      </c>
      <c r="Z3298" t="s">
        <v>1001</v>
      </c>
      <c r="AA3298" t="s">
        <v>8941</v>
      </c>
      <c r="AB3298">
        <v>1.8</v>
      </c>
      <c r="AC3298" t="s">
        <v>3570</v>
      </c>
      <c r="AD3298">
        <v>64.39</v>
      </c>
      <c r="AE3298" t="s">
        <v>2468</v>
      </c>
      <c r="AF3298">
        <v>1.67</v>
      </c>
      <c r="AG3298">
        <v>0</v>
      </c>
      <c r="AH3298">
        <v>0</v>
      </c>
      <c r="AI3298" s="4">
        <v>35334</v>
      </c>
    </row>
    <row r="3299" spans="1:35">
      <c r="A3299">
        <v>3298</v>
      </c>
      <c r="B3299" t="str">
        <f>"002622"</f>
        <v>002622</v>
      </c>
      <c r="C3299" t="s">
        <v>13942</v>
      </c>
      <c r="D3299" s="4">
        <v>43190</v>
      </c>
      <c r="E3299" t="s">
        <v>5930</v>
      </c>
      <c r="F3299" t="s">
        <v>1375</v>
      </c>
      <c r="G3299" t="s">
        <v>5011</v>
      </c>
      <c r="H3299">
        <v>-0.01</v>
      </c>
      <c r="I3299">
        <v>1.46</v>
      </c>
      <c r="J3299">
        <v>-0.67</v>
      </c>
      <c r="K3299" t="s">
        <v>12881</v>
      </c>
      <c r="L3299">
        <v>109.84</v>
      </c>
      <c r="M3299" t="s">
        <v>13943</v>
      </c>
      <c r="N3299" t="s">
        <v>10305</v>
      </c>
      <c r="O3299" t="s">
        <v>13944</v>
      </c>
      <c r="P3299" t="s">
        <v>13945</v>
      </c>
      <c r="Q3299">
        <v>-238.2</v>
      </c>
      <c r="R3299" t="s">
        <v>314</v>
      </c>
      <c r="S3299">
        <v>0.42</v>
      </c>
      <c r="T3299">
        <v>79.77</v>
      </c>
      <c r="U3299" t="s">
        <v>304</v>
      </c>
      <c r="V3299" t="s">
        <v>479</v>
      </c>
      <c r="W3299" t="s">
        <v>454</v>
      </c>
      <c r="X3299">
        <v>-0.67</v>
      </c>
      <c r="Y3299" t="s">
        <v>476</v>
      </c>
      <c r="Z3299" t="s">
        <v>255</v>
      </c>
      <c r="AA3299" t="s">
        <v>1664</v>
      </c>
      <c r="AB3299">
        <v>3.39</v>
      </c>
      <c r="AC3299" t="s">
        <v>405</v>
      </c>
      <c r="AD3299">
        <v>71.349999999999994</v>
      </c>
      <c r="AE3299" t="s">
        <v>13946</v>
      </c>
      <c r="AF3299">
        <v>0</v>
      </c>
      <c r="AG3299">
        <v>0</v>
      </c>
      <c r="AH3299">
        <v>0</v>
      </c>
      <c r="AI3299" s="4">
        <v>40834</v>
      </c>
    </row>
    <row r="3300" spans="1:35">
      <c r="A3300">
        <v>3299</v>
      </c>
      <c r="B3300" t="str">
        <f>"600746"</f>
        <v>600746</v>
      </c>
      <c r="C3300" t="s">
        <v>13947</v>
      </c>
      <c r="D3300" s="4">
        <v>43190</v>
      </c>
      <c r="E3300" t="s">
        <v>1152</v>
      </c>
      <c r="F3300" t="s">
        <v>342</v>
      </c>
      <c r="G3300" t="s">
        <v>1448</v>
      </c>
      <c r="H3300">
        <v>-0.01</v>
      </c>
      <c r="I3300">
        <v>1.63</v>
      </c>
      <c r="J3300">
        <v>-0.69</v>
      </c>
      <c r="K3300" t="s">
        <v>1974</v>
      </c>
      <c r="L3300">
        <v>-33.369999999999997</v>
      </c>
      <c r="M3300" t="s">
        <v>13948</v>
      </c>
      <c r="N3300" t="s">
        <v>13949</v>
      </c>
      <c r="O3300" t="s">
        <v>13948</v>
      </c>
      <c r="P3300" t="s">
        <v>13950</v>
      </c>
      <c r="Q3300">
        <v>-107.37</v>
      </c>
      <c r="R3300" t="s">
        <v>13951</v>
      </c>
      <c r="S3300">
        <v>0.28000000000000003</v>
      </c>
      <c r="T3300">
        <v>5.04</v>
      </c>
      <c r="U3300" t="s">
        <v>487</v>
      </c>
      <c r="V3300" t="s">
        <v>1317</v>
      </c>
      <c r="W3300" t="s">
        <v>993</v>
      </c>
      <c r="X3300">
        <v>-0.69</v>
      </c>
      <c r="Y3300" t="s">
        <v>1077</v>
      </c>
      <c r="Z3300" t="s">
        <v>1597</v>
      </c>
      <c r="AA3300" t="s">
        <v>4452</v>
      </c>
      <c r="AB3300">
        <v>3.37</v>
      </c>
      <c r="AC3300" t="s">
        <v>2563</v>
      </c>
      <c r="AD3300">
        <v>73.28</v>
      </c>
      <c r="AE3300" t="s">
        <v>13952</v>
      </c>
      <c r="AF3300">
        <v>0.2</v>
      </c>
      <c r="AG3300">
        <v>0</v>
      </c>
      <c r="AH3300">
        <v>0</v>
      </c>
      <c r="AI3300" s="4">
        <v>35326</v>
      </c>
    </row>
    <row r="3301" spans="1:35">
      <c r="A3301">
        <v>3300</v>
      </c>
      <c r="B3301" t="str">
        <f>"603737"</f>
        <v>603737</v>
      </c>
      <c r="C3301" t="s">
        <v>13953</v>
      </c>
      <c r="D3301" s="4">
        <v>43190</v>
      </c>
      <c r="E3301" t="s">
        <v>45</v>
      </c>
      <c r="F3301" t="s">
        <v>4991</v>
      </c>
      <c r="G3301">
        <v>4256</v>
      </c>
      <c r="H3301">
        <v>-0.06</v>
      </c>
      <c r="I3301">
        <v>8.01</v>
      </c>
      <c r="J3301">
        <v>-0.7</v>
      </c>
      <c r="K3301" t="s">
        <v>1934</v>
      </c>
      <c r="L3301">
        <v>15.94</v>
      </c>
      <c r="M3301" t="s">
        <v>13954</v>
      </c>
      <c r="N3301" t="s">
        <v>4471</v>
      </c>
      <c r="O3301" t="s">
        <v>10163</v>
      </c>
      <c r="P3301" t="s">
        <v>13486</v>
      </c>
      <c r="Q3301">
        <v>39.200000000000003</v>
      </c>
      <c r="R3301" t="s">
        <v>852</v>
      </c>
      <c r="S3301">
        <v>4.3499999999999996</v>
      </c>
      <c r="T3301">
        <v>42.13</v>
      </c>
      <c r="U3301" t="s">
        <v>514</v>
      </c>
      <c r="V3301" t="s">
        <v>1223</v>
      </c>
      <c r="W3301" t="s">
        <v>1615</v>
      </c>
      <c r="X3301">
        <v>-0.7</v>
      </c>
      <c r="Y3301" t="s">
        <v>1094</v>
      </c>
      <c r="Z3301" t="s">
        <v>3489</v>
      </c>
      <c r="AA3301" t="s">
        <v>13955</v>
      </c>
      <c r="AB3301">
        <v>6.52</v>
      </c>
      <c r="AC3301" t="s">
        <v>147</v>
      </c>
      <c r="AD3301">
        <v>52.65</v>
      </c>
      <c r="AE3301" t="s">
        <v>133</v>
      </c>
      <c r="AF3301">
        <v>2.77</v>
      </c>
      <c r="AG3301">
        <v>0</v>
      </c>
      <c r="AH3301">
        <v>0</v>
      </c>
      <c r="AI3301" s="4">
        <v>42524</v>
      </c>
    </row>
    <row r="3302" spans="1:35">
      <c r="A3302">
        <v>3301</v>
      </c>
      <c r="B3302" t="str">
        <f>"002733"</f>
        <v>002733</v>
      </c>
      <c r="C3302" t="s">
        <v>13956</v>
      </c>
      <c r="D3302" s="4">
        <v>43190</v>
      </c>
      <c r="E3302" t="s">
        <v>218</v>
      </c>
      <c r="F3302" t="s">
        <v>2551</v>
      </c>
      <c r="G3302" t="s">
        <v>4418</v>
      </c>
      <c r="H3302">
        <v>-0.04</v>
      </c>
      <c r="I3302">
        <v>6.07</v>
      </c>
      <c r="J3302">
        <v>-0.7</v>
      </c>
      <c r="K3302" t="s">
        <v>561</v>
      </c>
      <c r="L3302">
        <v>33.31</v>
      </c>
      <c r="M3302" t="s">
        <v>13957</v>
      </c>
      <c r="N3302" t="s">
        <v>13958</v>
      </c>
      <c r="O3302" t="s">
        <v>13959</v>
      </c>
      <c r="P3302" t="s">
        <v>13960</v>
      </c>
      <c r="Q3302">
        <v>-169</v>
      </c>
      <c r="R3302" t="s">
        <v>4176</v>
      </c>
      <c r="S3302">
        <v>1.52</v>
      </c>
      <c r="T3302">
        <v>11.64</v>
      </c>
      <c r="U3302" t="s">
        <v>1781</v>
      </c>
      <c r="V3302" t="s">
        <v>1546</v>
      </c>
      <c r="W3302" t="s">
        <v>188</v>
      </c>
      <c r="X3302">
        <v>-0.7</v>
      </c>
      <c r="Y3302" t="s">
        <v>820</v>
      </c>
      <c r="Z3302" t="s">
        <v>76</v>
      </c>
      <c r="AA3302" t="s">
        <v>4289</v>
      </c>
      <c r="AB3302">
        <v>1.66</v>
      </c>
      <c r="AC3302" t="s">
        <v>420</v>
      </c>
      <c r="AD3302">
        <v>55.64</v>
      </c>
      <c r="AE3302" t="s">
        <v>405</v>
      </c>
      <c r="AF3302">
        <v>3.52</v>
      </c>
      <c r="AG3302">
        <v>0</v>
      </c>
      <c r="AH3302">
        <v>0</v>
      </c>
      <c r="AI3302" s="4">
        <v>41976</v>
      </c>
    </row>
    <row r="3303" spans="1:35">
      <c r="A3303">
        <v>3302</v>
      </c>
      <c r="B3303" t="str">
        <f>"000609"</f>
        <v>000609</v>
      </c>
      <c r="C3303" t="s">
        <v>13961</v>
      </c>
      <c r="D3303" s="4">
        <v>43190</v>
      </c>
      <c r="E3303" t="s">
        <v>1621</v>
      </c>
      <c r="F3303" t="s">
        <v>3011</v>
      </c>
      <c r="G3303" t="s">
        <v>4360</v>
      </c>
      <c r="H3303">
        <v>-0.04</v>
      </c>
      <c r="I3303">
        <v>5.23</v>
      </c>
      <c r="J3303">
        <v>-0.7</v>
      </c>
      <c r="K3303" t="s">
        <v>10657</v>
      </c>
      <c r="L3303">
        <v>-97.21</v>
      </c>
      <c r="M3303" t="s">
        <v>13962</v>
      </c>
      <c r="N3303" t="s">
        <v>9796</v>
      </c>
      <c r="O3303" t="s">
        <v>13963</v>
      </c>
      <c r="P3303" t="s">
        <v>13964</v>
      </c>
      <c r="Q3303">
        <v>-126.04</v>
      </c>
      <c r="R3303" t="s">
        <v>699</v>
      </c>
      <c r="S3303">
        <v>3.6</v>
      </c>
      <c r="T3303">
        <v>15.32</v>
      </c>
      <c r="U3303" t="s">
        <v>877</v>
      </c>
      <c r="V3303" t="s">
        <v>980</v>
      </c>
      <c r="W3303" t="s">
        <v>10492</v>
      </c>
      <c r="X3303">
        <v>-0.7</v>
      </c>
      <c r="Y3303" t="s">
        <v>2230</v>
      </c>
      <c r="Z3303" t="s">
        <v>944</v>
      </c>
      <c r="AA3303" t="s">
        <v>1746</v>
      </c>
      <c r="AB3303">
        <v>1.28</v>
      </c>
      <c r="AC3303" t="s">
        <v>848</v>
      </c>
      <c r="AD3303">
        <v>75.099999999999994</v>
      </c>
      <c r="AE3303" t="s">
        <v>13965</v>
      </c>
      <c r="AF3303">
        <v>0.31</v>
      </c>
      <c r="AG3303">
        <v>0</v>
      </c>
      <c r="AH3303">
        <v>0</v>
      </c>
      <c r="AI3303" s="4">
        <v>35348</v>
      </c>
    </row>
    <row r="3304" spans="1:35">
      <c r="A3304">
        <v>3303</v>
      </c>
      <c r="B3304" t="str">
        <f>"000159"</f>
        <v>000159</v>
      </c>
      <c r="C3304" t="s">
        <v>13966</v>
      </c>
      <c r="D3304" s="4">
        <v>43190</v>
      </c>
      <c r="E3304" t="s">
        <v>2792</v>
      </c>
      <c r="F3304" t="s">
        <v>2792</v>
      </c>
      <c r="G3304">
        <v>8508</v>
      </c>
      <c r="H3304">
        <v>-0.03</v>
      </c>
      <c r="I3304">
        <v>4.28</v>
      </c>
      <c r="J3304">
        <v>-0.7</v>
      </c>
      <c r="K3304" t="s">
        <v>255</v>
      </c>
      <c r="L3304">
        <v>220.55</v>
      </c>
      <c r="M3304" t="s">
        <v>13967</v>
      </c>
      <c r="N3304" t="s">
        <v>5226</v>
      </c>
      <c r="O3304" t="s">
        <v>13968</v>
      </c>
      <c r="P3304" t="s">
        <v>13969</v>
      </c>
      <c r="Q3304">
        <v>25.61</v>
      </c>
      <c r="R3304" t="s">
        <v>323</v>
      </c>
      <c r="S3304">
        <v>2.2999999999999998</v>
      </c>
      <c r="T3304">
        <v>13.18</v>
      </c>
      <c r="U3304" t="s">
        <v>2941</v>
      </c>
      <c r="V3304" t="s">
        <v>820</v>
      </c>
      <c r="W3304" t="s">
        <v>314</v>
      </c>
      <c r="X3304">
        <v>-0.7</v>
      </c>
      <c r="Y3304" t="s">
        <v>2908</v>
      </c>
      <c r="Z3304" t="s">
        <v>1723</v>
      </c>
      <c r="AA3304" t="s">
        <v>13970</v>
      </c>
      <c r="AB3304">
        <v>0.82</v>
      </c>
      <c r="AC3304" t="s">
        <v>251</v>
      </c>
      <c r="AD3304">
        <v>72.150000000000006</v>
      </c>
      <c r="AE3304" t="s">
        <v>3197</v>
      </c>
      <c r="AF3304">
        <v>0.78</v>
      </c>
      <c r="AG3304">
        <v>0</v>
      </c>
      <c r="AH3304">
        <v>0</v>
      </c>
      <c r="AI3304" s="4">
        <v>36795</v>
      </c>
    </row>
    <row r="3305" spans="1:35">
      <c r="A3305">
        <v>3304</v>
      </c>
      <c r="B3305" t="str">
        <f>"002276"</f>
        <v>002276</v>
      </c>
      <c r="C3305" t="s">
        <v>13971</v>
      </c>
      <c r="D3305" s="4">
        <v>43190</v>
      </c>
      <c r="E3305" t="s">
        <v>919</v>
      </c>
      <c r="F3305" t="s">
        <v>2250</v>
      </c>
      <c r="G3305">
        <v>8403</v>
      </c>
      <c r="H3305">
        <v>-0.03</v>
      </c>
      <c r="I3305">
        <v>3.76</v>
      </c>
      <c r="J3305">
        <v>-0.71</v>
      </c>
      <c r="K3305" t="s">
        <v>867</v>
      </c>
      <c r="L3305">
        <v>41.19</v>
      </c>
      <c r="M3305" t="s">
        <v>13462</v>
      </c>
      <c r="N3305" t="s">
        <v>13972</v>
      </c>
      <c r="O3305" t="s">
        <v>13973</v>
      </c>
      <c r="P3305" t="s">
        <v>13974</v>
      </c>
      <c r="Q3305">
        <v>10.44</v>
      </c>
      <c r="R3305" t="s">
        <v>835</v>
      </c>
      <c r="S3305">
        <v>1.0900000000000001</v>
      </c>
      <c r="T3305">
        <v>14.96</v>
      </c>
      <c r="U3305" t="s">
        <v>1303</v>
      </c>
      <c r="V3305" t="s">
        <v>1085</v>
      </c>
      <c r="W3305" t="s">
        <v>3544</v>
      </c>
      <c r="X3305">
        <v>-0.71</v>
      </c>
      <c r="Y3305" t="s">
        <v>1205</v>
      </c>
      <c r="Z3305" t="s">
        <v>1516</v>
      </c>
      <c r="AA3305" t="s">
        <v>2230</v>
      </c>
      <c r="AB3305">
        <v>1.52</v>
      </c>
      <c r="AC3305" t="s">
        <v>1803</v>
      </c>
      <c r="AD3305">
        <v>56.54</v>
      </c>
      <c r="AE3305" t="s">
        <v>1792</v>
      </c>
      <c r="AF3305">
        <v>1.5</v>
      </c>
      <c r="AG3305">
        <v>0</v>
      </c>
      <c r="AH3305">
        <v>0</v>
      </c>
      <c r="AI3305" s="4">
        <v>40004</v>
      </c>
    </row>
    <row r="3306" spans="1:35">
      <c r="A3306">
        <v>3305</v>
      </c>
      <c r="B3306" t="str">
        <f>"000573"</f>
        <v>000573</v>
      </c>
      <c r="C3306" t="s">
        <v>13975</v>
      </c>
      <c r="D3306" s="4">
        <v>43190</v>
      </c>
      <c r="E3306" t="s">
        <v>690</v>
      </c>
      <c r="F3306" t="s">
        <v>1869</v>
      </c>
      <c r="G3306" t="s">
        <v>2589</v>
      </c>
      <c r="H3306">
        <v>-0.02</v>
      </c>
      <c r="I3306">
        <v>2.58</v>
      </c>
      <c r="J3306">
        <v>-0.72</v>
      </c>
      <c r="K3306" t="s">
        <v>3076</v>
      </c>
      <c r="L3306">
        <v>-10</v>
      </c>
      <c r="M3306" t="s">
        <v>13976</v>
      </c>
      <c r="N3306" t="s">
        <v>6187</v>
      </c>
      <c r="O3306" t="s">
        <v>13977</v>
      </c>
      <c r="P3306" t="s">
        <v>13708</v>
      </c>
      <c r="Q3306">
        <v>-250.06</v>
      </c>
      <c r="R3306" t="s">
        <v>1977</v>
      </c>
      <c r="S3306">
        <v>0.42</v>
      </c>
      <c r="T3306">
        <v>20.09</v>
      </c>
      <c r="U3306" t="s">
        <v>273</v>
      </c>
      <c r="V3306" t="s">
        <v>223</v>
      </c>
      <c r="W3306" t="s">
        <v>1525</v>
      </c>
      <c r="X3306">
        <v>-0.72</v>
      </c>
      <c r="Y3306" t="s">
        <v>848</v>
      </c>
      <c r="Z3306" t="s">
        <v>226</v>
      </c>
      <c r="AA3306" t="s">
        <v>1872</v>
      </c>
      <c r="AB3306">
        <v>1.41</v>
      </c>
      <c r="AC3306" t="s">
        <v>1190</v>
      </c>
      <c r="AD3306">
        <v>51.14</v>
      </c>
      <c r="AE3306" t="s">
        <v>1874</v>
      </c>
      <c r="AF3306">
        <v>0.94</v>
      </c>
      <c r="AG3306">
        <v>0</v>
      </c>
      <c r="AH3306">
        <v>0</v>
      </c>
      <c r="AI3306" s="4">
        <v>34561</v>
      </c>
    </row>
    <row r="3307" spans="1:35">
      <c r="A3307">
        <v>3306</v>
      </c>
      <c r="B3307" t="str">
        <f>"300399"</f>
        <v>300399</v>
      </c>
      <c r="C3307" t="s">
        <v>13978</v>
      </c>
      <c r="D3307" s="4">
        <v>43190</v>
      </c>
      <c r="E3307" t="s">
        <v>148</v>
      </c>
      <c r="F3307" t="s">
        <v>595</v>
      </c>
      <c r="G3307">
        <v>7501</v>
      </c>
      <c r="H3307">
        <v>-0.01</v>
      </c>
      <c r="I3307">
        <v>2.0299999999999998</v>
      </c>
      <c r="J3307">
        <v>-0.73</v>
      </c>
      <c r="K3307" t="s">
        <v>13979</v>
      </c>
      <c r="L3307">
        <v>-12.27</v>
      </c>
      <c r="M3307" t="s">
        <v>13980</v>
      </c>
      <c r="N3307" t="s">
        <v>6044</v>
      </c>
      <c r="O3307" t="s">
        <v>13726</v>
      </c>
      <c r="P3307" t="s">
        <v>13075</v>
      </c>
      <c r="Q3307">
        <v>-127.57</v>
      </c>
      <c r="R3307" t="s">
        <v>552</v>
      </c>
      <c r="S3307">
        <v>0.82</v>
      </c>
      <c r="T3307">
        <v>19.3</v>
      </c>
      <c r="U3307" t="s">
        <v>1309</v>
      </c>
      <c r="V3307" t="s">
        <v>142</v>
      </c>
      <c r="W3307" t="s">
        <v>7426</v>
      </c>
      <c r="X3307">
        <v>-0.73</v>
      </c>
      <c r="Y3307" t="s">
        <v>13981</v>
      </c>
      <c r="Z3307" t="s">
        <v>11143</v>
      </c>
      <c r="AA3307" t="s">
        <v>13982</v>
      </c>
      <c r="AB3307">
        <v>4.79</v>
      </c>
      <c r="AC3307" t="s">
        <v>241</v>
      </c>
      <c r="AD3307">
        <v>78.459999999999994</v>
      </c>
      <c r="AE3307" t="s">
        <v>13983</v>
      </c>
      <c r="AF3307">
        <v>0.09</v>
      </c>
      <c r="AG3307">
        <v>0</v>
      </c>
      <c r="AH3307">
        <v>0</v>
      </c>
      <c r="AI3307" s="4">
        <v>41921</v>
      </c>
    </row>
    <row r="3308" spans="1:35">
      <c r="A3308">
        <v>3307</v>
      </c>
      <c r="B3308" t="str">
        <f>"300291"</f>
        <v>300291</v>
      </c>
      <c r="C3308" t="s">
        <v>13984</v>
      </c>
      <c r="D3308" s="4">
        <v>43190</v>
      </c>
      <c r="E3308" t="s">
        <v>1978</v>
      </c>
      <c r="F3308" t="s">
        <v>1058</v>
      </c>
      <c r="G3308" t="s">
        <v>3585</v>
      </c>
      <c r="H3308">
        <v>-0.06</v>
      </c>
      <c r="I3308">
        <v>7.82</v>
      </c>
      <c r="J3308">
        <v>-0.73</v>
      </c>
      <c r="K3308" t="s">
        <v>2733</v>
      </c>
      <c r="L3308">
        <v>-40.99</v>
      </c>
      <c r="M3308" t="s">
        <v>13985</v>
      </c>
      <c r="N3308" t="s">
        <v>2374</v>
      </c>
      <c r="O3308" t="s">
        <v>13986</v>
      </c>
      <c r="P3308" t="s">
        <v>13987</v>
      </c>
      <c r="Q3308">
        <v>-173.12</v>
      </c>
      <c r="R3308" t="s">
        <v>2813</v>
      </c>
      <c r="S3308">
        <v>1.21</v>
      </c>
      <c r="T3308">
        <v>2.23</v>
      </c>
      <c r="U3308" t="s">
        <v>3243</v>
      </c>
      <c r="V3308" t="s">
        <v>811</v>
      </c>
      <c r="W3308" t="s">
        <v>5483</v>
      </c>
      <c r="X3308">
        <v>-0.73</v>
      </c>
      <c r="Y3308" t="s">
        <v>3859</v>
      </c>
      <c r="Z3308" t="s">
        <v>3859</v>
      </c>
      <c r="AA3308" t="s">
        <v>3890</v>
      </c>
      <c r="AB3308">
        <v>0.84</v>
      </c>
      <c r="AC3308" t="s">
        <v>5750</v>
      </c>
      <c r="AD3308">
        <v>89.5</v>
      </c>
      <c r="AE3308" t="s">
        <v>783</v>
      </c>
      <c r="AF3308">
        <v>5.56</v>
      </c>
      <c r="AG3308">
        <v>0</v>
      </c>
      <c r="AH3308">
        <v>0</v>
      </c>
      <c r="AI3308" s="4">
        <v>40948</v>
      </c>
    </row>
    <row r="3309" spans="1:35">
      <c r="A3309">
        <v>3308</v>
      </c>
      <c r="B3309" t="str">
        <f>"002633"</f>
        <v>002633</v>
      </c>
      <c r="C3309" t="s">
        <v>13988</v>
      </c>
      <c r="D3309" s="4">
        <v>43190</v>
      </c>
      <c r="E3309" t="s">
        <v>609</v>
      </c>
      <c r="F3309" t="s">
        <v>2424</v>
      </c>
      <c r="G3309" t="s">
        <v>2221</v>
      </c>
      <c r="H3309">
        <v>-0.03</v>
      </c>
      <c r="I3309">
        <v>3.45</v>
      </c>
      <c r="J3309">
        <v>-0.73</v>
      </c>
      <c r="K3309" t="s">
        <v>2822</v>
      </c>
      <c r="L3309">
        <v>-19.63</v>
      </c>
      <c r="M3309" t="s">
        <v>13632</v>
      </c>
      <c r="N3309">
        <v>0</v>
      </c>
      <c r="O3309" t="s">
        <v>13989</v>
      </c>
      <c r="P3309" t="s">
        <v>13989</v>
      </c>
      <c r="Q3309">
        <v>-295.87</v>
      </c>
      <c r="R3309" t="s">
        <v>13990</v>
      </c>
      <c r="S3309">
        <v>0.3</v>
      </c>
      <c r="T3309">
        <v>24.31</v>
      </c>
      <c r="U3309" t="s">
        <v>1216</v>
      </c>
      <c r="V3309" t="s">
        <v>89</v>
      </c>
      <c r="W3309" t="s">
        <v>2031</v>
      </c>
      <c r="X3309">
        <v>-0.73</v>
      </c>
      <c r="Y3309" t="s">
        <v>3799</v>
      </c>
      <c r="Z3309" t="s">
        <v>13991</v>
      </c>
      <c r="AA3309" t="s">
        <v>6865</v>
      </c>
      <c r="AB3309">
        <v>2.5099999999999998</v>
      </c>
      <c r="AC3309" t="s">
        <v>1243</v>
      </c>
      <c r="AD3309">
        <v>85.35</v>
      </c>
      <c r="AE3309" t="s">
        <v>342</v>
      </c>
      <c r="AF3309">
        <v>2.0299999999999998</v>
      </c>
      <c r="AG3309">
        <v>0</v>
      </c>
      <c r="AH3309">
        <v>0</v>
      </c>
      <c r="AI3309" s="4">
        <v>40869</v>
      </c>
    </row>
    <row r="3310" spans="1:35">
      <c r="A3310">
        <v>3309</v>
      </c>
      <c r="B3310" t="str">
        <f>"000607"</f>
        <v>000607</v>
      </c>
      <c r="C3310" t="s">
        <v>13992</v>
      </c>
      <c r="D3310" s="4">
        <v>43190</v>
      </c>
      <c r="E3310" t="s">
        <v>1496</v>
      </c>
      <c r="F3310" t="s">
        <v>274</v>
      </c>
      <c r="G3310" t="s">
        <v>8879</v>
      </c>
      <c r="H3310">
        <v>-0.01</v>
      </c>
      <c r="I3310">
        <v>1.76</v>
      </c>
      <c r="J3310">
        <v>-0.73</v>
      </c>
      <c r="K3310" t="s">
        <v>976</v>
      </c>
      <c r="L3310">
        <v>-2.84</v>
      </c>
      <c r="M3310" t="s">
        <v>13993</v>
      </c>
      <c r="N3310" t="s">
        <v>10136</v>
      </c>
      <c r="O3310" t="s">
        <v>13523</v>
      </c>
      <c r="P3310" t="s">
        <v>13994</v>
      </c>
      <c r="Q3310">
        <v>25.35</v>
      </c>
      <c r="R3310" t="s">
        <v>903</v>
      </c>
      <c r="S3310">
        <v>0.91</v>
      </c>
      <c r="T3310">
        <v>20.76</v>
      </c>
      <c r="U3310" t="s">
        <v>907</v>
      </c>
      <c r="V3310" t="s">
        <v>848</v>
      </c>
      <c r="W3310" t="s">
        <v>1484</v>
      </c>
      <c r="X3310">
        <v>-0.73</v>
      </c>
      <c r="Y3310" t="s">
        <v>613</v>
      </c>
      <c r="Z3310" t="s">
        <v>295</v>
      </c>
      <c r="AA3310" t="s">
        <v>10501</v>
      </c>
      <c r="AB3310">
        <v>2.39</v>
      </c>
      <c r="AC3310" t="s">
        <v>303</v>
      </c>
      <c r="AD3310">
        <v>56.61</v>
      </c>
      <c r="AE3310" t="s">
        <v>13995</v>
      </c>
      <c r="AF3310">
        <v>-0.23</v>
      </c>
      <c r="AG3310">
        <v>0</v>
      </c>
      <c r="AH3310">
        <v>0</v>
      </c>
      <c r="AI3310" s="4">
        <v>35307</v>
      </c>
    </row>
    <row r="3311" spans="1:35">
      <c r="A3311">
        <v>3310</v>
      </c>
      <c r="B3311" t="str">
        <f>"600095"</f>
        <v>600095</v>
      </c>
      <c r="C3311" t="s">
        <v>13996</v>
      </c>
      <c r="D3311" s="4">
        <v>43190</v>
      </c>
      <c r="E3311" t="s">
        <v>265</v>
      </c>
      <c r="F3311" t="s">
        <v>265</v>
      </c>
      <c r="G3311">
        <v>6473</v>
      </c>
      <c r="H3311">
        <v>-0.01</v>
      </c>
      <c r="I3311">
        <v>2</v>
      </c>
      <c r="J3311">
        <v>-0.74</v>
      </c>
      <c r="K3311" t="s">
        <v>13997</v>
      </c>
      <c r="L3311">
        <v>-5.59</v>
      </c>
      <c r="M3311" t="s">
        <v>13998</v>
      </c>
      <c r="N3311" t="s">
        <v>12543</v>
      </c>
      <c r="O3311" t="s">
        <v>13998</v>
      </c>
      <c r="P3311" t="s">
        <v>13243</v>
      </c>
      <c r="Q3311">
        <v>31.14</v>
      </c>
      <c r="R3311" t="s">
        <v>13999</v>
      </c>
      <c r="S3311">
        <v>0.16</v>
      </c>
      <c r="T3311">
        <v>34.159999999999997</v>
      </c>
      <c r="U3311" t="s">
        <v>407</v>
      </c>
      <c r="V3311" t="s">
        <v>1959</v>
      </c>
      <c r="W3311" t="s">
        <v>319</v>
      </c>
      <c r="X3311">
        <v>-0.74</v>
      </c>
      <c r="Y3311" t="s">
        <v>535</v>
      </c>
      <c r="Z3311" t="s">
        <v>293</v>
      </c>
      <c r="AA3311" t="s">
        <v>14000</v>
      </c>
      <c r="AB3311">
        <v>2.0499999999999998</v>
      </c>
      <c r="AC3311" t="s">
        <v>1651</v>
      </c>
      <c r="AD3311">
        <v>69.430000000000007</v>
      </c>
      <c r="AE3311" t="s">
        <v>122</v>
      </c>
      <c r="AF3311">
        <v>0.74</v>
      </c>
      <c r="AG3311">
        <v>0</v>
      </c>
      <c r="AH3311">
        <v>0</v>
      </c>
      <c r="AI3311" s="4">
        <v>35619</v>
      </c>
    </row>
    <row r="3312" spans="1:35">
      <c r="A3312">
        <v>3311</v>
      </c>
      <c r="B3312" t="str">
        <f>"600701"</f>
        <v>600701</v>
      </c>
      <c r="C3312" t="s">
        <v>14001</v>
      </c>
      <c r="D3312" s="4">
        <v>43190</v>
      </c>
      <c r="E3312" t="s">
        <v>978</v>
      </c>
      <c r="F3312" t="s">
        <v>1979</v>
      </c>
      <c r="G3312" t="s">
        <v>70</v>
      </c>
      <c r="H3312">
        <v>-0.03</v>
      </c>
      <c r="I3312">
        <v>4.08</v>
      </c>
      <c r="J3312">
        <v>-0.76</v>
      </c>
      <c r="K3312" t="s">
        <v>1056</v>
      </c>
      <c r="L3312">
        <v>-21.51</v>
      </c>
      <c r="M3312" t="s">
        <v>14002</v>
      </c>
      <c r="N3312" t="s">
        <v>14003</v>
      </c>
      <c r="O3312" t="s">
        <v>13326</v>
      </c>
      <c r="P3312" t="s">
        <v>14004</v>
      </c>
      <c r="Q3312">
        <v>-151.72999999999999</v>
      </c>
      <c r="R3312" t="s">
        <v>90</v>
      </c>
      <c r="S3312">
        <v>0.31</v>
      </c>
      <c r="T3312">
        <v>33.83</v>
      </c>
      <c r="U3312" t="s">
        <v>5429</v>
      </c>
      <c r="V3312" t="s">
        <v>1803</v>
      </c>
      <c r="W3312" t="s">
        <v>864</v>
      </c>
      <c r="X3312">
        <v>-0.76</v>
      </c>
      <c r="Y3312" t="s">
        <v>2396</v>
      </c>
      <c r="Z3312" t="s">
        <v>4052</v>
      </c>
      <c r="AA3312" t="s">
        <v>141</v>
      </c>
      <c r="AB3312">
        <v>2.2599999999999998</v>
      </c>
      <c r="AC3312" t="s">
        <v>2694</v>
      </c>
      <c r="AD3312">
        <v>43.6</v>
      </c>
      <c r="AE3312" t="s">
        <v>1700</v>
      </c>
      <c r="AF3312">
        <v>2.69</v>
      </c>
      <c r="AG3312">
        <v>0</v>
      </c>
      <c r="AH3312">
        <v>0</v>
      </c>
      <c r="AI3312" s="4">
        <v>35213</v>
      </c>
    </row>
    <row r="3313" spans="1:35">
      <c r="A3313">
        <v>3312</v>
      </c>
      <c r="B3313" t="str">
        <f>"600313"</f>
        <v>600313</v>
      </c>
      <c r="C3313" t="s">
        <v>14005</v>
      </c>
      <c r="D3313" s="4">
        <v>43190</v>
      </c>
      <c r="E3313" t="s">
        <v>699</v>
      </c>
      <c r="F3313" t="s">
        <v>6194</v>
      </c>
      <c r="G3313" t="s">
        <v>135</v>
      </c>
      <c r="H3313">
        <v>-0.01</v>
      </c>
      <c r="I3313">
        <v>1.27</v>
      </c>
      <c r="J3313">
        <v>-0.76</v>
      </c>
      <c r="K3313" t="s">
        <v>2063</v>
      </c>
      <c r="L3313">
        <v>-40.020000000000003</v>
      </c>
      <c r="M3313" t="s">
        <v>13748</v>
      </c>
      <c r="N3313" t="s">
        <v>8026</v>
      </c>
      <c r="O3313" t="s">
        <v>14006</v>
      </c>
      <c r="P3313" t="s">
        <v>14007</v>
      </c>
      <c r="Q3313">
        <v>-61.27</v>
      </c>
      <c r="R3313" t="s">
        <v>9244</v>
      </c>
      <c r="S3313">
        <v>-0.13</v>
      </c>
      <c r="T3313">
        <v>5.62</v>
      </c>
      <c r="U3313" t="s">
        <v>2866</v>
      </c>
      <c r="V3313" t="s">
        <v>2273</v>
      </c>
      <c r="W3313" t="s">
        <v>2454</v>
      </c>
      <c r="X3313">
        <v>-0.76</v>
      </c>
      <c r="Y3313" t="s">
        <v>848</v>
      </c>
      <c r="Z3313" t="s">
        <v>1384</v>
      </c>
      <c r="AA3313" t="s">
        <v>319</v>
      </c>
      <c r="AB3313">
        <v>2.48</v>
      </c>
      <c r="AC3313" t="s">
        <v>176</v>
      </c>
      <c r="AD3313">
        <v>37.58</v>
      </c>
      <c r="AE3313" t="s">
        <v>2581</v>
      </c>
      <c r="AF3313">
        <v>0.39</v>
      </c>
      <c r="AG3313">
        <v>0</v>
      </c>
      <c r="AH3313">
        <v>0</v>
      </c>
      <c r="AI3313" s="4">
        <v>36910</v>
      </c>
    </row>
    <row r="3314" spans="1:35">
      <c r="A3314">
        <v>3313</v>
      </c>
      <c r="B3314" t="str">
        <f>"002828"</f>
        <v>002828</v>
      </c>
      <c r="C3314" t="s">
        <v>14008</v>
      </c>
      <c r="D3314" s="4">
        <v>43190</v>
      </c>
      <c r="E3314" t="s">
        <v>292</v>
      </c>
      <c r="F3314" t="s">
        <v>14009</v>
      </c>
      <c r="G3314">
        <v>3941</v>
      </c>
      <c r="H3314">
        <v>-0.03</v>
      </c>
      <c r="I3314">
        <v>4.29</v>
      </c>
      <c r="J3314">
        <v>-0.76</v>
      </c>
      <c r="K3314" t="s">
        <v>14010</v>
      </c>
      <c r="L3314">
        <v>107.55</v>
      </c>
      <c r="M3314" t="s">
        <v>14011</v>
      </c>
      <c r="N3314" t="s">
        <v>14012</v>
      </c>
      <c r="O3314" t="s">
        <v>7104</v>
      </c>
      <c r="P3314" t="s">
        <v>14013</v>
      </c>
      <c r="Q3314">
        <v>24.61</v>
      </c>
      <c r="R3314" t="s">
        <v>2041</v>
      </c>
      <c r="S3314">
        <v>1.63</v>
      </c>
      <c r="T3314">
        <v>28.18</v>
      </c>
      <c r="U3314" t="s">
        <v>1384</v>
      </c>
      <c r="V3314" t="s">
        <v>3117</v>
      </c>
      <c r="W3314" t="s">
        <v>681</v>
      </c>
      <c r="X3314">
        <v>-0.76</v>
      </c>
      <c r="Y3314" t="s">
        <v>1645</v>
      </c>
      <c r="Z3314" t="s">
        <v>1645</v>
      </c>
      <c r="AA3314" t="s">
        <v>14014</v>
      </c>
      <c r="AB3314">
        <v>3.52</v>
      </c>
      <c r="AC3314" t="s">
        <v>4877</v>
      </c>
      <c r="AD3314">
        <v>62.72</v>
      </c>
      <c r="AE3314" t="s">
        <v>3726</v>
      </c>
      <c r="AF3314">
        <v>1.4</v>
      </c>
      <c r="AG3314">
        <v>0</v>
      </c>
      <c r="AH3314">
        <v>0</v>
      </c>
      <c r="AI3314" s="4">
        <v>42712</v>
      </c>
    </row>
    <row r="3315" spans="1:35">
      <c r="A3315">
        <v>3314</v>
      </c>
      <c r="B3315" t="str">
        <f>"000929"</f>
        <v>000929</v>
      </c>
      <c r="C3315" t="s">
        <v>14015</v>
      </c>
      <c r="D3315" s="4">
        <v>43190</v>
      </c>
      <c r="E3315" t="s">
        <v>383</v>
      </c>
      <c r="F3315" t="s">
        <v>383</v>
      </c>
      <c r="G3315">
        <v>9620</v>
      </c>
      <c r="H3315">
        <v>-0.03</v>
      </c>
      <c r="I3315">
        <v>3.92</v>
      </c>
      <c r="J3315">
        <v>-0.76</v>
      </c>
      <c r="K3315" t="s">
        <v>1936</v>
      </c>
      <c r="L3315">
        <v>-11.54</v>
      </c>
      <c r="M3315" t="s">
        <v>14016</v>
      </c>
      <c r="N3315" t="s">
        <v>14017</v>
      </c>
      <c r="O3315" t="s">
        <v>2478</v>
      </c>
      <c r="P3315" t="s">
        <v>13689</v>
      </c>
      <c r="Q3315">
        <v>-131.62</v>
      </c>
      <c r="R3315" t="s">
        <v>89</v>
      </c>
      <c r="S3315">
        <v>1.75</v>
      </c>
      <c r="T3315">
        <v>35.65</v>
      </c>
      <c r="U3315" t="s">
        <v>80</v>
      </c>
      <c r="V3315" t="s">
        <v>835</v>
      </c>
      <c r="W3315" t="s">
        <v>126</v>
      </c>
      <c r="X3315">
        <v>-0.76</v>
      </c>
      <c r="Y3315" t="s">
        <v>559</v>
      </c>
      <c r="Z3315" t="s">
        <v>186</v>
      </c>
      <c r="AA3315" t="s">
        <v>8546</v>
      </c>
      <c r="AB3315">
        <v>1.88</v>
      </c>
      <c r="AC3315" t="s">
        <v>1837</v>
      </c>
      <c r="AD3315">
        <v>49.36</v>
      </c>
      <c r="AE3315" t="s">
        <v>95</v>
      </c>
      <c r="AF3315">
        <v>1.04</v>
      </c>
      <c r="AG3315">
        <v>0</v>
      </c>
      <c r="AH3315">
        <v>0</v>
      </c>
      <c r="AI3315" s="4">
        <v>36334</v>
      </c>
    </row>
    <row r="3316" spans="1:35">
      <c r="A3316">
        <v>3315</v>
      </c>
      <c r="B3316" t="str">
        <f>"300074"</f>
        <v>300074</v>
      </c>
      <c r="C3316" t="s">
        <v>14018</v>
      </c>
      <c r="D3316" s="4">
        <v>43190</v>
      </c>
      <c r="E3316" t="s">
        <v>3471</v>
      </c>
      <c r="F3316" t="s">
        <v>1695</v>
      </c>
      <c r="G3316" t="s">
        <v>3048</v>
      </c>
      <c r="H3316">
        <v>-0.02</v>
      </c>
      <c r="I3316">
        <v>2.19</v>
      </c>
      <c r="J3316">
        <v>-0.78</v>
      </c>
      <c r="K3316" t="s">
        <v>7828</v>
      </c>
      <c r="L3316">
        <v>-2.4</v>
      </c>
      <c r="M3316" t="s">
        <v>14019</v>
      </c>
      <c r="N3316">
        <v>1352</v>
      </c>
      <c r="O3316" t="s">
        <v>14020</v>
      </c>
      <c r="P3316" t="s">
        <v>14021</v>
      </c>
      <c r="Q3316">
        <v>-131.16</v>
      </c>
      <c r="R3316" t="s">
        <v>3259</v>
      </c>
      <c r="S3316">
        <v>0.7</v>
      </c>
      <c r="T3316">
        <v>41.05</v>
      </c>
      <c r="U3316" t="s">
        <v>391</v>
      </c>
      <c r="V3316" t="s">
        <v>782</v>
      </c>
      <c r="W3316" t="s">
        <v>499</v>
      </c>
      <c r="X3316">
        <v>-0.78</v>
      </c>
      <c r="Y3316" t="s">
        <v>47</v>
      </c>
      <c r="Z3316" t="s">
        <v>2132</v>
      </c>
      <c r="AA3316" t="s">
        <v>9501</v>
      </c>
      <c r="AB3316">
        <v>2.92</v>
      </c>
      <c r="AC3316" t="s">
        <v>1033</v>
      </c>
      <c r="AD3316">
        <v>77.7</v>
      </c>
      <c r="AE3316" t="s">
        <v>2889</v>
      </c>
      <c r="AF3316">
        <v>0.46</v>
      </c>
      <c r="AG3316">
        <v>0</v>
      </c>
      <c r="AH3316">
        <v>0</v>
      </c>
      <c r="AI3316" s="4">
        <v>40295</v>
      </c>
    </row>
    <row r="3317" spans="1:35">
      <c r="A3317">
        <v>3316</v>
      </c>
      <c r="B3317" t="str">
        <f>"000762"</f>
        <v>000762</v>
      </c>
      <c r="C3317" t="s">
        <v>14022</v>
      </c>
      <c r="D3317" s="4">
        <v>43190</v>
      </c>
      <c r="E3317" t="s">
        <v>1611</v>
      </c>
      <c r="F3317" t="s">
        <v>2685</v>
      </c>
      <c r="G3317">
        <v>5377</v>
      </c>
      <c r="H3317">
        <v>-0.03</v>
      </c>
      <c r="I3317">
        <v>4.1100000000000003</v>
      </c>
      <c r="J3317">
        <v>-0.82</v>
      </c>
      <c r="K3317" t="s">
        <v>14023</v>
      </c>
      <c r="L3317">
        <v>50.52</v>
      </c>
      <c r="M3317" t="s">
        <v>14024</v>
      </c>
      <c r="N3317" t="s">
        <v>14025</v>
      </c>
      <c r="O3317" t="s">
        <v>14026</v>
      </c>
      <c r="P3317" t="s">
        <v>14027</v>
      </c>
      <c r="Q3317">
        <v>21.51</v>
      </c>
      <c r="R3317" t="s">
        <v>14028</v>
      </c>
      <c r="S3317">
        <v>-0.04</v>
      </c>
      <c r="T3317">
        <v>14.22</v>
      </c>
      <c r="U3317" t="s">
        <v>1625</v>
      </c>
      <c r="V3317" t="s">
        <v>187</v>
      </c>
      <c r="W3317" t="s">
        <v>160</v>
      </c>
      <c r="X3317">
        <v>-0.82</v>
      </c>
      <c r="Y3317" t="s">
        <v>1476</v>
      </c>
      <c r="Z3317" t="s">
        <v>165</v>
      </c>
      <c r="AA3317" t="s">
        <v>14029</v>
      </c>
      <c r="AB3317">
        <v>2.2999999999999998</v>
      </c>
      <c r="AC3317" t="s">
        <v>420</v>
      </c>
      <c r="AD3317">
        <v>71.099999999999994</v>
      </c>
      <c r="AE3317" t="s">
        <v>1367</v>
      </c>
      <c r="AF3317">
        <v>3.04</v>
      </c>
      <c r="AG3317">
        <v>0</v>
      </c>
      <c r="AH3317">
        <v>0</v>
      </c>
      <c r="AI3317" s="4">
        <v>35619</v>
      </c>
    </row>
    <row r="3318" spans="1:35">
      <c r="A3318">
        <v>3317</v>
      </c>
      <c r="B3318" t="str">
        <f>"000811"</f>
        <v>000811</v>
      </c>
      <c r="C3318" t="s">
        <v>14030</v>
      </c>
      <c r="D3318" s="4">
        <v>43190</v>
      </c>
      <c r="E3318" t="s">
        <v>504</v>
      </c>
      <c r="F3318" t="s">
        <v>2063</v>
      </c>
      <c r="G3318" t="s">
        <v>4988</v>
      </c>
      <c r="H3318">
        <v>-0.03</v>
      </c>
      <c r="I3318">
        <v>4.16</v>
      </c>
      <c r="J3318">
        <v>-0.83</v>
      </c>
      <c r="K3318" t="s">
        <v>852</v>
      </c>
      <c r="L3318">
        <v>-6.4</v>
      </c>
      <c r="M3318" t="s">
        <v>14031</v>
      </c>
      <c r="N3318" t="s">
        <v>3767</v>
      </c>
      <c r="O3318" t="s">
        <v>14032</v>
      </c>
      <c r="P3318" t="s">
        <v>14033</v>
      </c>
      <c r="Q3318">
        <v>-125.46</v>
      </c>
      <c r="R3318" t="s">
        <v>1792</v>
      </c>
      <c r="S3318">
        <v>2.38</v>
      </c>
      <c r="T3318">
        <v>25.43</v>
      </c>
      <c r="U3318" t="s">
        <v>3159</v>
      </c>
      <c r="V3318" t="s">
        <v>2523</v>
      </c>
      <c r="W3318" t="s">
        <v>4435</v>
      </c>
      <c r="X3318">
        <v>-0.83</v>
      </c>
      <c r="Y3318" t="s">
        <v>774</v>
      </c>
      <c r="Z3318" t="s">
        <v>1390</v>
      </c>
      <c r="AA3318" t="s">
        <v>1594</v>
      </c>
      <c r="AB3318">
        <v>1.25</v>
      </c>
      <c r="AC3318" t="s">
        <v>1675</v>
      </c>
      <c r="AD3318">
        <v>50.4</v>
      </c>
      <c r="AE3318" t="s">
        <v>6336</v>
      </c>
      <c r="AF3318">
        <v>0.06</v>
      </c>
      <c r="AG3318">
        <v>0</v>
      </c>
      <c r="AH3318">
        <v>0</v>
      </c>
      <c r="AI3318" s="4">
        <v>35943</v>
      </c>
    </row>
    <row r="3319" spans="1:35">
      <c r="A3319">
        <v>3318</v>
      </c>
      <c r="B3319" t="str">
        <f>"600532"</f>
        <v>600532</v>
      </c>
      <c r="C3319" t="s">
        <v>14034</v>
      </c>
      <c r="D3319" s="4">
        <v>43190</v>
      </c>
      <c r="E3319" t="s">
        <v>1731</v>
      </c>
      <c r="F3319" t="s">
        <v>2953</v>
      </c>
      <c r="G3319" t="s">
        <v>1261</v>
      </c>
      <c r="H3319">
        <v>-0.03</v>
      </c>
      <c r="I3319">
        <v>3.51</v>
      </c>
      <c r="J3319">
        <v>-0.84</v>
      </c>
      <c r="K3319" t="s">
        <v>595</v>
      </c>
      <c r="L3319">
        <v>42.83</v>
      </c>
      <c r="M3319" t="s">
        <v>14035</v>
      </c>
      <c r="N3319" t="s">
        <v>9204</v>
      </c>
      <c r="O3319" t="s">
        <v>14036</v>
      </c>
      <c r="P3319" t="s">
        <v>14037</v>
      </c>
      <c r="Q3319">
        <v>-57.97</v>
      </c>
      <c r="R3319" t="s">
        <v>935</v>
      </c>
      <c r="S3319">
        <v>0.44</v>
      </c>
      <c r="T3319">
        <v>3.54</v>
      </c>
      <c r="U3319" t="s">
        <v>946</v>
      </c>
      <c r="V3319" t="s">
        <v>613</v>
      </c>
      <c r="W3319" t="s">
        <v>2310</v>
      </c>
      <c r="X3319">
        <v>-0.84</v>
      </c>
      <c r="Y3319" t="s">
        <v>164</v>
      </c>
      <c r="Z3319" t="s">
        <v>4236</v>
      </c>
      <c r="AA3319" t="s">
        <v>958</v>
      </c>
      <c r="AB3319">
        <v>1.59</v>
      </c>
      <c r="AC3319" t="s">
        <v>1455</v>
      </c>
      <c r="AD3319">
        <v>58.9</v>
      </c>
      <c r="AE3319" t="s">
        <v>407</v>
      </c>
      <c r="AF3319">
        <v>2.0299999999999998</v>
      </c>
      <c r="AG3319">
        <v>0</v>
      </c>
      <c r="AH3319">
        <v>0</v>
      </c>
      <c r="AI3319" s="4">
        <v>37560</v>
      </c>
    </row>
    <row r="3320" spans="1:35">
      <c r="A3320">
        <v>3319</v>
      </c>
      <c r="B3320" t="str">
        <f>"600372"</f>
        <v>600372</v>
      </c>
      <c r="C3320" t="s">
        <v>14038</v>
      </c>
      <c r="D3320" s="4">
        <v>43190</v>
      </c>
      <c r="E3320" t="s">
        <v>775</v>
      </c>
      <c r="F3320" t="s">
        <v>775</v>
      </c>
      <c r="G3320" t="s">
        <v>4156</v>
      </c>
      <c r="H3320">
        <v>-0.03</v>
      </c>
      <c r="I3320">
        <v>3.76</v>
      </c>
      <c r="J3320">
        <v>-0.84</v>
      </c>
      <c r="K3320" t="s">
        <v>3117</v>
      </c>
      <c r="L3320">
        <v>-0.83</v>
      </c>
      <c r="M3320" t="s">
        <v>14039</v>
      </c>
      <c r="N3320" t="s">
        <v>7316</v>
      </c>
      <c r="O3320" t="s">
        <v>14040</v>
      </c>
      <c r="P3320" t="s">
        <v>14041</v>
      </c>
      <c r="Q3320">
        <v>-128.38999999999999</v>
      </c>
      <c r="R3320" t="s">
        <v>1051</v>
      </c>
      <c r="S3320">
        <v>1.71</v>
      </c>
      <c r="T3320">
        <v>28.67</v>
      </c>
      <c r="U3320" t="s">
        <v>2617</v>
      </c>
      <c r="V3320" t="s">
        <v>788</v>
      </c>
      <c r="W3320" t="s">
        <v>386</v>
      </c>
      <c r="X3320">
        <v>-0.84</v>
      </c>
      <c r="Y3320" t="s">
        <v>794</v>
      </c>
      <c r="Z3320" t="s">
        <v>5302</v>
      </c>
      <c r="AA3320" t="s">
        <v>2452</v>
      </c>
      <c r="AB3320">
        <v>2.95</v>
      </c>
      <c r="AC3320" t="s">
        <v>3286</v>
      </c>
      <c r="AD3320">
        <v>33.869999999999997</v>
      </c>
      <c r="AE3320" t="s">
        <v>173</v>
      </c>
      <c r="AF3320">
        <v>0.81</v>
      </c>
      <c r="AG3320">
        <v>0</v>
      </c>
      <c r="AH3320">
        <v>0</v>
      </c>
      <c r="AI3320" s="4">
        <v>37078</v>
      </c>
    </row>
    <row r="3321" spans="1:35">
      <c r="A3321">
        <v>3320</v>
      </c>
      <c r="B3321" t="str">
        <f>"603189"</f>
        <v>603189</v>
      </c>
      <c r="C3321" t="s">
        <v>14042</v>
      </c>
      <c r="D3321" s="4">
        <v>43190</v>
      </c>
      <c r="E3321" t="s">
        <v>682</v>
      </c>
      <c r="F3321" t="s">
        <v>804</v>
      </c>
      <c r="G3321">
        <v>4325</v>
      </c>
      <c r="H3321">
        <v>-0.03</v>
      </c>
      <c r="I3321">
        <v>3.55</v>
      </c>
      <c r="J3321">
        <v>-0.85</v>
      </c>
      <c r="K3321" t="s">
        <v>14043</v>
      </c>
      <c r="L3321">
        <v>-14.39</v>
      </c>
      <c r="M3321" t="s">
        <v>12844</v>
      </c>
      <c r="N3321">
        <v>0</v>
      </c>
      <c r="O3321" t="s">
        <v>13588</v>
      </c>
      <c r="P3321" t="s">
        <v>13588</v>
      </c>
      <c r="Q3321">
        <v>-115.19</v>
      </c>
      <c r="R3321" t="s">
        <v>284</v>
      </c>
      <c r="S3321">
        <v>0.73</v>
      </c>
      <c r="T3321">
        <v>22.19</v>
      </c>
      <c r="U3321" t="s">
        <v>4952</v>
      </c>
      <c r="V3321" t="s">
        <v>1493</v>
      </c>
      <c r="W3321" t="s">
        <v>1119</v>
      </c>
      <c r="X3321">
        <v>-0.85</v>
      </c>
      <c r="Y3321" t="s">
        <v>14044</v>
      </c>
      <c r="Z3321" t="s">
        <v>12691</v>
      </c>
      <c r="AA3321" t="s">
        <v>6841</v>
      </c>
      <c r="AB3321">
        <v>3.99</v>
      </c>
      <c r="AC3321" t="s">
        <v>2908</v>
      </c>
      <c r="AD3321">
        <v>94.06</v>
      </c>
      <c r="AE3321" t="s">
        <v>1035</v>
      </c>
      <c r="AF3321">
        <v>1.69</v>
      </c>
      <c r="AG3321">
        <v>0</v>
      </c>
      <c r="AH3321">
        <v>0</v>
      </c>
      <c r="AI3321" s="4">
        <v>42627</v>
      </c>
    </row>
    <row r="3322" spans="1:35">
      <c r="A3322">
        <v>3321</v>
      </c>
      <c r="B3322" t="str">
        <f>"600796"</f>
        <v>600796</v>
      </c>
      <c r="C3322" t="s">
        <v>14045</v>
      </c>
      <c r="D3322" s="4">
        <v>43190</v>
      </c>
      <c r="E3322" t="s">
        <v>296</v>
      </c>
      <c r="F3322" t="s">
        <v>296</v>
      </c>
      <c r="G3322">
        <v>9619</v>
      </c>
      <c r="H3322">
        <v>-0.02</v>
      </c>
      <c r="I3322">
        <v>2.08</v>
      </c>
      <c r="J3322">
        <v>-0.86</v>
      </c>
      <c r="K3322" t="s">
        <v>14046</v>
      </c>
      <c r="L3322">
        <v>-7.72</v>
      </c>
      <c r="M3322" t="s">
        <v>14047</v>
      </c>
      <c r="N3322" t="s">
        <v>14048</v>
      </c>
      <c r="O3322" t="s">
        <v>13950</v>
      </c>
      <c r="P3322" t="s">
        <v>5594</v>
      </c>
      <c r="Q3322">
        <v>-232.39</v>
      </c>
      <c r="R3322" t="s">
        <v>292</v>
      </c>
      <c r="S3322">
        <v>0.68</v>
      </c>
      <c r="T3322">
        <v>11.91</v>
      </c>
      <c r="U3322" t="s">
        <v>1496</v>
      </c>
      <c r="V3322" t="s">
        <v>104</v>
      </c>
      <c r="W3322" t="s">
        <v>2608</v>
      </c>
      <c r="X3322">
        <v>-0.86</v>
      </c>
      <c r="Y3322" t="s">
        <v>707</v>
      </c>
      <c r="Z3322" t="s">
        <v>1489</v>
      </c>
      <c r="AA3322" t="s">
        <v>2360</v>
      </c>
      <c r="AB3322">
        <v>2.94</v>
      </c>
      <c r="AC3322" t="s">
        <v>2517</v>
      </c>
      <c r="AD3322">
        <v>61.18</v>
      </c>
      <c r="AE3322" t="s">
        <v>7735</v>
      </c>
      <c r="AF3322">
        <v>0.12</v>
      </c>
      <c r="AG3322">
        <v>0</v>
      </c>
      <c r="AH3322">
        <v>0</v>
      </c>
      <c r="AI3322" s="4">
        <v>35528</v>
      </c>
    </row>
    <row r="3323" spans="1:35">
      <c r="A3323">
        <v>3322</v>
      </c>
      <c r="B3323" t="str">
        <f>"600573"</f>
        <v>600573</v>
      </c>
      <c r="C3323" t="s">
        <v>14049</v>
      </c>
      <c r="D3323" s="4">
        <v>43190</v>
      </c>
      <c r="E3323" t="s">
        <v>126</v>
      </c>
      <c r="F3323" t="s">
        <v>126</v>
      </c>
      <c r="G3323" t="s">
        <v>6102</v>
      </c>
      <c r="H3323">
        <v>-0.04</v>
      </c>
      <c r="I3323">
        <v>4.42</v>
      </c>
      <c r="J3323">
        <v>-0.86</v>
      </c>
      <c r="K3323" t="s">
        <v>642</v>
      </c>
      <c r="L3323">
        <v>1.72</v>
      </c>
      <c r="M3323" t="s">
        <v>14050</v>
      </c>
      <c r="N3323" t="s">
        <v>2538</v>
      </c>
      <c r="O3323" t="s">
        <v>14051</v>
      </c>
      <c r="P3323" t="s">
        <v>14052</v>
      </c>
      <c r="Q3323">
        <v>29.13</v>
      </c>
      <c r="R3323" t="s">
        <v>912</v>
      </c>
      <c r="S3323">
        <v>0.87</v>
      </c>
      <c r="T3323">
        <v>20.62</v>
      </c>
      <c r="U3323" t="s">
        <v>264</v>
      </c>
      <c r="V3323" t="s">
        <v>63</v>
      </c>
      <c r="W3323" t="s">
        <v>2751</v>
      </c>
      <c r="X3323">
        <v>-0.86</v>
      </c>
      <c r="Y3323" t="s">
        <v>651</v>
      </c>
      <c r="Z3323" t="s">
        <v>14053</v>
      </c>
      <c r="AA3323" t="s">
        <v>2150</v>
      </c>
      <c r="AB3323">
        <v>1.47</v>
      </c>
      <c r="AC3323" t="s">
        <v>323</v>
      </c>
      <c r="AD3323">
        <v>90.99</v>
      </c>
      <c r="AE3323" t="s">
        <v>169</v>
      </c>
      <c r="AF3323">
        <v>2.02</v>
      </c>
      <c r="AG3323">
        <v>0</v>
      </c>
      <c r="AH3323">
        <v>0</v>
      </c>
      <c r="AI3323" s="4">
        <v>37678</v>
      </c>
    </row>
    <row r="3324" spans="1:35">
      <c r="A3324">
        <v>3323</v>
      </c>
      <c r="B3324" t="str">
        <f>"300023"</f>
        <v>300023</v>
      </c>
      <c r="C3324" t="s">
        <v>14054</v>
      </c>
      <c r="D3324" s="4">
        <v>43190</v>
      </c>
      <c r="E3324" t="s">
        <v>167</v>
      </c>
      <c r="F3324" t="s">
        <v>1376</v>
      </c>
      <c r="G3324">
        <v>6249</v>
      </c>
      <c r="H3324">
        <v>-0.03</v>
      </c>
      <c r="I3324">
        <v>3.37</v>
      </c>
      <c r="J3324">
        <v>-0.86</v>
      </c>
      <c r="K3324" t="s">
        <v>1038</v>
      </c>
      <c r="L3324">
        <v>-2.16</v>
      </c>
      <c r="M3324" t="s">
        <v>14055</v>
      </c>
      <c r="N3324" t="s">
        <v>5454</v>
      </c>
      <c r="O3324" t="s">
        <v>14056</v>
      </c>
      <c r="P3324" t="s">
        <v>10163</v>
      </c>
      <c r="Q3324">
        <v>-303.3</v>
      </c>
      <c r="R3324" t="s">
        <v>609</v>
      </c>
      <c r="S3324">
        <v>0.48</v>
      </c>
      <c r="T3324">
        <v>-2.08</v>
      </c>
      <c r="U3324" t="s">
        <v>2044</v>
      </c>
      <c r="V3324" t="s">
        <v>1000</v>
      </c>
      <c r="W3324" t="s">
        <v>2603</v>
      </c>
      <c r="X3324">
        <v>-0.86</v>
      </c>
      <c r="Y3324" t="s">
        <v>4218</v>
      </c>
      <c r="Z3324" t="s">
        <v>1312</v>
      </c>
      <c r="AA3324" t="s">
        <v>2134</v>
      </c>
      <c r="AB3324">
        <v>2.89</v>
      </c>
      <c r="AC3324" t="s">
        <v>295</v>
      </c>
      <c r="AD3324">
        <v>16.93</v>
      </c>
      <c r="AE3324" t="s">
        <v>5084</v>
      </c>
      <c r="AF3324">
        <v>1.87</v>
      </c>
      <c r="AG3324">
        <v>0</v>
      </c>
      <c r="AH3324">
        <v>0</v>
      </c>
      <c r="AI3324" s="4">
        <v>40116</v>
      </c>
    </row>
    <row r="3325" spans="1:35">
      <c r="A3325">
        <v>3324</v>
      </c>
      <c r="B3325" t="str">
        <f>"002670"</f>
        <v>002670</v>
      </c>
      <c r="C3325" t="s">
        <v>14057</v>
      </c>
      <c r="D3325" s="4">
        <v>43190</v>
      </c>
      <c r="E3325" t="s">
        <v>855</v>
      </c>
      <c r="F3325" t="s">
        <v>1483</v>
      </c>
      <c r="G3325" t="s">
        <v>1340</v>
      </c>
      <c r="H3325">
        <v>-7.0000000000000007E-2</v>
      </c>
      <c r="I3325">
        <v>8.3800000000000008</v>
      </c>
      <c r="J3325">
        <v>-0.86</v>
      </c>
      <c r="K3325" t="s">
        <v>121</v>
      </c>
      <c r="L3325">
        <v>-45.98</v>
      </c>
      <c r="M3325" t="s">
        <v>12443</v>
      </c>
      <c r="N3325" t="s">
        <v>4406</v>
      </c>
      <c r="O3325" t="s">
        <v>12443</v>
      </c>
      <c r="P3325" t="s">
        <v>215</v>
      </c>
      <c r="Q3325">
        <v>-414.9</v>
      </c>
      <c r="R3325" t="s">
        <v>407</v>
      </c>
      <c r="S3325">
        <v>0.7</v>
      </c>
      <c r="T3325">
        <v>0</v>
      </c>
      <c r="U3325" t="s">
        <v>968</v>
      </c>
      <c r="V3325" t="s">
        <v>1221</v>
      </c>
      <c r="W3325" t="s">
        <v>206</v>
      </c>
      <c r="X3325">
        <v>-0.86</v>
      </c>
      <c r="Y3325" t="s">
        <v>2050</v>
      </c>
      <c r="Z3325" t="s">
        <v>3472</v>
      </c>
      <c r="AA3325" t="s">
        <v>1947</v>
      </c>
      <c r="AB3325">
        <v>1.66</v>
      </c>
      <c r="AC3325" t="s">
        <v>932</v>
      </c>
      <c r="AD3325">
        <v>42.93</v>
      </c>
      <c r="AE3325" t="s">
        <v>8883</v>
      </c>
      <c r="AF3325">
        <v>6.32</v>
      </c>
      <c r="AG3325">
        <v>0</v>
      </c>
      <c r="AH3325">
        <v>0</v>
      </c>
      <c r="AI3325" s="4">
        <v>41015</v>
      </c>
    </row>
    <row r="3326" spans="1:35">
      <c r="A3326">
        <v>3325</v>
      </c>
      <c r="B3326" t="str">
        <f>"002147"</f>
        <v>002147</v>
      </c>
      <c r="C3326" t="s">
        <v>14058</v>
      </c>
      <c r="D3326" s="4">
        <v>43190</v>
      </c>
      <c r="E3326" t="s">
        <v>1101</v>
      </c>
      <c r="F3326" t="s">
        <v>128</v>
      </c>
      <c r="G3326" t="s">
        <v>14059</v>
      </c>
      <c r="H3326">
        <v>-0.04</v>
      </c>
      <c r="I3326">
        <v>4.3600000000000003</v>
      </c>
      <c r="J3326">
        <v>-0.86</v>
      </c>
      <c r="K3326" t="s">
        <v>145</v>
      </c>
      <c r="L3326">
        <v>-27.26</v>
      </c>
      <c r="M3326" t="s">
        <v>14060</v>
      </c>
      <c r="N3326" t="s">
        <v>12015</v>
      </c>
      <c r="O3326" t="s">
        <v>14061</v>
      </c>
      <c r="P3326" t="s">
        <v>14062</v>
      </c>
      <c r="Q3326">
        <v>-409.3</v>
      </c>
      <c r="R3326" t="s">
        <v>612</v>
      </c>
      <c r="S3326">
        <v>1.89</v>
      </c>
      <c r="T3326">
        <v>23.64</v>
      </c>
      <c r="U3326" t="s">
        <v>3129</v>
      </c>
      <c r="V3326" t="s">
        <v>8498</v>
      </c>
      <c r="W3326" t="s">
        <v>646</v>
      </c>
      <c r="X3326">
        <v>-0.86</v>
      </c>
      <c r="Y3326" t="s">
        <v>3458</v>
      </c>
      <c r="Z3326" t="s">
        <v>3701</v>
      </c>
      <c r="AA3326" t="s">
        <v>275</v>
      </c>
      <c r="AB3326">
        <v>3.39</v>
      </c>
      <c r="AC3326" t="s">
        <v>9297</v>
      </c>
      <c r="AD3326">
        <v>49.75</v>
      </c>
      <c r="AE3326" t="s">
        <v>1294</v>
      </c>
      <c r="AF3326">
        <v>1.36</v>
      </c>
      <c r="AG3326">
        <v>0</v>
      </c>
      <c r="AH3326">
        <v>0</v>
      </c>
      <c r="AI3326" s="4">
        <v>39302</v>
      </c>
    </row>
    <row r="3327" spans="1:35">
      <c r="A3327">
        <v>3326</v>
      </c>
      <c r="B3327" t="str">
        <f>"002319"</f>
        <v>002319</v>
      </c>
      <c r="C3327" t="s">
        <v>14063</v>
      </c>
      <c r="D3327" s="4">
        <v>43190</v>
      </c>
      <c r="E3327" t="s">
        <v>293</v>
      </c>
      <c r="F3327" t="s">
        <v>293</v>
      </c>
      <c r="G3327" t="s">
        <v>2349</v>
      </c>
      <c r="H3327">
        <v>-0.02</v>
      </c>
      <c r="I3327">
        <v>2.4300000000000002</v>
      </c>
      <c r="J3327">
        <v>-0.87</v>
      </c>
      <c r="K3327" t="s">
        <v>355</v>
      </c>
      <c r="L3327">
        <v>19.68</v>
      </c>
      <c r="M3327" t="s">
        <v>13882</v>
      </c>
      <c r="N3327">
        <v>0</v>
      </c>
      <c r="O3327" t="s">
        <v>13643</v>
      </c>
      <c r="P3327" t="s">
        <v>13603</v>
      </c>
      <c r="Q3327">
        <v>-4.42</v>
      </c>
      <c r="R3327" t="s">
        <v>2306</v>
      </c>
      <c r="S3327">
        <v>0.66</v>
      </c>
      <c r="T3327">
        <v>22.71</v>
      </c>
      <c r="U3327" t="s">
        <v>978</v>
      </c>
      <c r="V3327" t="s">
        <v>1067</v>
      </c>
      <c r="W3327" t="s">
        <v>3044</v>
      </c>
      <c r="X3327">
        <v>-0.87</v>
      </c>
      <c r="Y3327" t="s">
        <v>592</v>
      </c>
      <c r="Z3327" t="s">
        <v>127</v>
      </c>
      <c r="AA3327" t="s">
        <v>4272</v>
      </c>
      <c r="AB3327">
        <v>5.82</v>
      </c>
      <c r="AC3327" t="s">
        <v>1436</v>
      </c>
      <c r="AD3327">
        <v>47.05</v>
      </c>
      <c r="AE3327" t="s">
        <v>1119</v>
      </c>
      <c r="AF3327">
        <v>0.52</v>
      </c>
      <c r="AG3327">
        <v>0</v>
      </c>
      <c r="AH3327">
        <v>0</v>
      </c>
      <c r="AI3327" s="4">
        <v>40158</v>
      </c>
    </row>
    <row r="3328" spans="1:35">
      <c r="A3328">
        <v>3327</v>
      </c>
      <c r="B3328" t="str">
        <f>"000897"</f>
        <v>000897</v>
      </c>
      <c r="C3328" t="s">
        <v>14064</v>
      </c>
      <c r="D3328" s="4">
        <v>43190</v>
      </c>
      <c r="E3328" t="s">
        <v>1062</v>
      </c>
      <c r="F3328" t="s">
        <v>1062</v>
      </c>
      <c r="G3328" t="s">
        <v>892</v>
      </c>
      <c r="H3328">
        <v>-0.01</v>
      </c>
      <c r="I3328">
        <v>0.72</v>
      </c>
      <c r="J3328">
        <v>-0.88</v>
      </c>
      <c r="K3328" t="s">
        <v>14065</v>
      </c>
      <c r="L3328">
        <v>6.4</v>
      </c>
      <c r="M3328" t="s">
        <v>14066</v>
      </c>
      <c r="N3328" t="s">
        <v>14067</v>
      </c>
      <c r="O3328" t="s">
        <v>13787</v>
      </c>
      <c r="P3328" t="s">
        <v>14068</v>
      </c>
      <c r="Q3328">
        <v>-10.34</v>
      </c>
      <c r="R3328" t="s">
        <v>14069</v>
      </c>
      <c r="S3328">
        <v>-0.51</v>
      </c>
      <c r="T3328">
        <v>31.86</v>
      </c>
      <c r="U3328" t="s">
        <v>2633</v>
      </c>
      <c r="V3328" t="s">
        <v>3982</v>
      </c>
      <c r="W3328" t="s">
        <v>14070</v>
      </c>
      <c r="X3328">
        <v>-0.88</v>
      </c>
      <c r="Y3328" t="s">
        <v>2092</v>
      </c>
      <c r="Z3328" t="s">
        <v>2866</v>
      </c>
      <c r="AA3328" t="s">
        <v>147</v>
      </c>
      <c r="AB3328">
        <v>3.04</v>
      </c>
      <c r="AC3328" t="s">
        <v>192</v>
      </c>
      <c r="AD3328">
        <v>19.100000000000001</v>
      </c>
      <c r="AE3328" t="s">
        <v>1048</v>
      </c>
      <c r="AF3328">
        <v>0.19</v>
      </c>
      <c r="AG3328">
        <v>0</v>
      </c>
      <c r="AH3328">
        <v>0</v>
      </c>
      <c r="AI3328" s="4">
        <v>36272</v>
      </c>
    </row>
    <row r="3329" spans="1:35">
      <c r="A3329">
        <v>3328</v>
      </c>
      <c r="B3329" t="str">
        <f>"300002"</f>
        <v>300002</v>
      </c>
      <c r="C3329" t="s">
        <v>14071</v>
      </c>
      <c r="D3329" s="4">
        <v>43190</v>
      </c>
      <c r="E3329" t="s">
        <v>419</v>
      </c>
      <c r="F3329" t="s">
        <v>624</v>
      </c>
      <c r="G3329" t="s">
        <v>791</v>
      </c>
      <c r="H3329">
        <v>-0.02</v>
      </c>
      <c r="I3329">
        <v>2.6</v>
      </c>
      <c r="J3329">
        <v>-0.9</v>
      </c>
      <c r="K3329" t="s">
        <v>90</v>
      </c>
      <c r="L3329">
        <v>-48.08</v>
      </c>
      <c r="M3329" t="s">
        <v>14072</v>
      </c>
      <c r="N3329" t="s">
        <v>14073</v>
      </c>
      <c r="O3329" t="s">
        <v>14074</v>
      </c>
      <c r="P3329" t="s">
        <v>14075</v>
      </c>
      <c r="Q3329">
        <v>-346.64</v>
      </c>
      <c r="R3329" t="s">
        <v>253</v>
      </c>
      <c r="S3329">
        <v>1.27</v>
      </c>
      <c r="T3329">
        <v>73.989999999999995</v>
      </c>
      <c r="U3329" t="s">
        <v>1667</v>
      </c>
      <c r="V3329" t="s">
        <v>242</v>
      </c>
      <c r="W3329" t="s">
        <v>104</v>
      </c>
      <c r="X3329">
        <v>-0.9</v>
      </c>
      <c r="Y3329" t="s">
        <v>538</v>
      </c>
      <c r="Z3329" t="s">
        <v>295</v>
      </c>
      <c r="AA3329" t="s">
        <v>976</v>
      </c>
      <c r="AB3329">
        <v>1.6</v>
      </c>
      <c r="AC3329" t="s">
        <v>1327</v>
      </c>
      <c r="AD3329">
        <v>78.5</v>
      </c>
      <c r="AE3329" t="s">
        <v>1317</v>
      </c>
      <c r="AF3329">
        <v>0.22</v>
      </c>
      <c r="AG3329">
        <v>0</v>
      </c>
      <c r="AH3329">
        <v>0</v>
      </c>
      <c r="AI3329" s="4">
        <v>40116</v>
      </c>
    </row>
    <row r="3330" spans="1:35">
      <c r="A3330">
        <v>3329</v>
      </c>
      <c r="B3330" t="str">
        <f>"600881"</f>
        <v>600881</v>
      </c>
      <c r="C3330" t="s">
        <v>14076</v>
      </c>
      <c r="D3330" s="4">
        <v>43190</v>
      </c>
      <c r="E3330" t="s">
        <v>1396</v>
      </c>
      <c r="F3330" t="s">
        <v>370</v>
      </c>
      <c r="G3330" t="s">
        <v>4294</v>
      </c>
      <c r="H3330">
        <v>-0.04</v>
      </c>
      <c r="I3330">
        <v>4.54</v>
      </c>
      <c r="J3330">
        <v>-0.91</v>
      </c>
      <c r="K3330" t="s">
        <v>700</v>
      </c>
      <c r="L3330">
        <v>45.03</v>
      </c>
      <c r="M3330" t="s">
        <v>5768</v>
      </c>
      <c r="N3330" t="s">
        <v>600</v>
      </c>
      <c r="O3330" t="s">
        <v>14077</v>
      </c>
      <c r="P3330" t="s">
        <v>9244</v>
      </c>
      <c r="Q3330">
        <v>31.79</v>
      </c>
      <c r="R3330" t="s">
        <v>1313</v>
      </c>
      <c r="S3330">
        <v>0.87</v>
      </c>
      <c r="T3330">
        <v>27.03</v>
      </c>
      <c r="U3330" t="s">
        <v>14078</v>
      </c>
      <c r="V3330" t="s">
        <v>837</v>
      </c>
      <c r="W3330" t="s">
        <v>1745</v>
      </c>
      <c r="X3330">
        <v>-0.91</v>
      </c>
      <c r="Y3330" t="s">
        <v>6281</v>
      </c>
      <c r="Z3330" t="s">
        <v>2798</v>
      </c>
      <c r="AA3330" t="s">
        <v>4707</v>
      </c>
      <c r="AB3330">
        <v>0.84</v>
      </c>
      <c r="AC3330" t="s">
        <v>1453</v>
      </c>
      <c r="AD3330">
        <v>25.7</v>
      </c>
      <c r="AE3330" t="s">
        <v>6720</v>
      </c>
      <c r="AF3330">
        <v>2.56</v>
      </c>
      <c r="AG3330">
        <v>0</v>
      </c>
      <c r="AH3330">
        <v>0</v>
      </c>
      <c r="AI3330" s="4">
        <v>35018</v>
      </c>
    </row>
    <row r="3331" spans="1:35">
      <c r="A3331">
        <v>3330</v>
      </c>
      <c r="B3331" t="str">
        <f>"600191"</f>
        <v>600191</v>
      </c>
      <c r="C3331" t="s">
        <v>14079</v>
      </c>
      <c r="D3331" s="4">
        <v>43190</v>
      </c>
      <c r="E3331" t="s">
        <v>347</v>
      </c>
      <c r="F3331" t="s">
        <v>347</v>
      </c>
      <c r="G3331" t="s">
        <v>2589</v>
      </c>
      <c r="H3331">
        <v>-0.04</v>
      </c>
      <c r="I3331">
        <v>4.53</v>
      </c>
      <c r="J3331">
        <v>-0.92</v>
      </c>
      <c r="K3331" t="s">
        <v>14080</v>
      </c>
      <c r="L3331">
        <v>-98.33</v>
      </c>
      <c r="M3331" t="s">
        <v>14081</v>
      </c>
      <c r="N3331" t="s">
        <v>14082</v>
      </c>
      <c r="O3331" t="s">
        <v>14081</v>
      </c>
      <c r="P3331" t="s">
        <v>14081</v>
      </c>
      <c r="Q3331">
        <v>-333.36</v>
      </c>
      <c r="R3331" t="s">
        <v>1621</v>
      </c>
      <c r="S3331">
        <v>0.62</v>
      </c>
      <c r="T3331">
        <v>-66.58</v>
      </c>
      <c r="U3331" t="s">
        <v>774</v>
      </c>
      <c r="V3331" t="s">
        <v>912</v>
      </c>
      <c r="W3331" t="s">
        <v>71</v>
      </c>
      <c r="X3331">
        <v>-0.92</v>
      </c>
      <c r="Y3331" t="s">
        <v>2041</v>
      </c>
      <c r="Z3331" t="s">
        <v>1202</v>
      </c>
      <c r="AA3331" t="s">
        <v>1360</v>
      </c>
      <c r="AB3331">
        <v>1.02</v>
      </c>
      <c r="AC3331" t="s">
        <v>1875</v>
      </c>
      <c r="AD3331">
        <v>86.27</v>
      </c>
      <c r="AE3331" t="s">
        <v>1779</v>
      </c>
      <c r="AF3331">
        <v>1.31</v>
      </c>
      <c r="AG3331">
        <v>0</v>
      </c>
      <c r="AH3331">
        <v>0</v>
      </c>
      <c r="AI3331" s="4">
        <v>36139</v>
      </c>
    </row>
    <row r="3332" spans="1:35">
      <c r="A3332">
        <v>3331</v>
      </c>
      <c r="B3332" t="str">
        <f>"603389"</f>
        <v>603389</v>
      </c>
      <c r="C3332" t="s">
        <v>14083</v>
      </c>
      <c r="D3332" s="4">
        <v>43190</v>
      </c>
      <c r="E3332" t="s">
        <v>66</v>
      </c>
      <c r="F3332" t="s">
        <v>14084</v>
      </c>
      <c r="G3332">
        <v>3838</v>
      </c>
      <c r="H3332">
        <v>-0.04</v>
      </c>
      <c r="I3332">
        <v>4</v>
      </c>
      <c r="J3332">
        <v>-0.94</v>
      </c>
      <c r="K3332" t="s">
        <v>14085</v>
      </c>
      <c r="L3332">
        <v>-15.29</v>
      </c>
      <c r="M3332" t="s">
        <v>2433</v>
      </c>
      <c r="N3332" t="s">
        <v>5049</v>
      </c>
      <c r="O3332" t="s">
        <v>14086</v>
      </c>
      <c r="P3332" t="s">
        <v>14087</v>
      </c>
      <c r="Q3332">
        <v>-220.81</v>
      </c>
      <c r="R3332" t="s">
        <v>998</v>
      </c>
      <c r="S3332">
        <v>1.1599999999999999</v>
      </c>
      <c r="T3332">
        <v>55.02</v>
      </c>
      <c r="U3332" t="s">
        <v>1496</v>
      </c>
      <c r="V3332" t="s">
        <v>4435</v>
      </c>
      <c r="W3332" t="s">
        <v>1525</v>
      </c>
      <c r="X3332">
        <v>-0.94</v>
      </c>
      <c r="Y3332" t="s">
        <v>84</v>
      </c>
      <c r="Z3332" t="s">
        <v>322</v>
      </c>
      <c r="AA3332" t="s">
        <v>7134</v>
      </c>
      <c r="AB3332">
        <v>2.73</v>
      </c>
      <c r="AC3332" t="s">
        <v>421</v>
      </c>
      <c r="AD3332">
        <v>85.94</v>
      </c>
      <c r="AE3332" t="s">
        <v>2224</v>
      </c>
      <c r="AF3332">
        <v>1.73</v>
      </c>
      <c r="AG3332">
        <v>0</v>
      </c>
      <c r="AH3332">
        <v>0</v>
      </c>
      <c r="AI3332" s="4">
        <v>42719</v>
      </c>
    </row>
    <row r="3333" spans="1:35">
      <c r="A3333">
        <v>3332</v>
      </c>
      <c r="B3333" t="str">
        <f>"300218"</f>
        <v>300218</v>
      </c>
      <c r="C3333" t="s">
        <v>14088</v>
      </c>
      <c r="D3333" s="4">
        <v>43190</v>
      </c>
      <c r="E3333" t="s">
        <v>912</v>
      </c>
      <c r="F3333" t="s">
        <v>1287</v>
      </c>
      <c r="G3333" t="s">
        <v>1340</v>
      </c>
      <c r="H3333">
        <v>-0.04</v>
      </c>
      <c r="I3333">
        <v>4.43</v>
      </c>
      <c r="J3333">
        <v>-0.94</v>
      </c>
      <c r="K3333" t="s">
        <v>3726</v>
      </c>
      <c r="L3333">
        <v>12.15</v>
      </c>
      <c r="M3333" t="s">
        <v>14089</v>
      </c>
      <c r="N3333" t="s">
        <v>14090</v>
      </c>
      <c r="O3333" t="s">
        <v>14091</v>
      </c>
      <c r="P3333" t="s">
        <v>14092</v>
      </c>
      <c r="Q3333">
        <v>-702.86</v>
      </c>
      <c r="R3333" t="s">
        <v>3297</v>
      </c>
      <c r="S3333">
        <v>1.41</v>
      </c>
      <c r="T3333">
        <v>16.010000000000002</v>
      </c>
      <c r="U3333" t="s">
        <v>1000</v>
      </c>
      <c r="V3333" t="s">
        <v>2035</v>
      </c>
      <c r="W3333" t="s">
        <v>521</v>
      </c>
      <c r="X3333">
        <v>-0.94</v>
      </c>
      <c r="Y3333" t="s">
        <v>3752</v>
      </c>
      <c r="Z3333" t="s">
        <v>488</v>
      </c>
      <c r="AA3333" t="s">
        <v>383</v>
      </c>
      <c r="AB3333">
        <v>1.48</v>
      </c>
      <c r="AC3333" t="s">
        <v>2767</v>
      </c>
      <c r="AD3333">
        <v>48.08</v>
      </c>
      <c r="AE3333" t="s">
        <v>265</v>
      </c>
      <c r="AF3333">
        <v>1.66</v>
      </c>
      <c r="AG3333">
        <v>0</v>
      </c>
      <c r="AH3333">
        <v>0</v>
      </c>
      <c r="AI3333" s="4">
        <v>40681</v>
      </c>
    </row>
    <row r="3334" spans="1:35">
      <c r="A3334">
        <v>3333</v>
      </c>
      <c r="B3334" t="str">
        <f>"600239"</f>
        <v>600239</v>
      </c>
      <c r="C3334" t="s">
        <v>14093</v>
      </c>
      <c r="D3334" s="4">
        <v>43190</v>
      </c>
      <c r="E3334" t="s">
        <v>50</v>
      </c>
      <c r="F3334" t="s">
        <v>50</v>
      </c>
      <c r="G3334" t="s">
        <v>1879</v>
      </c>
      <c r="H3334">
        <v>-0.03</v>
      </c>
      <c r="I3334">
        <v>2.9</v>
      </c>
      <c r="J3334">
        <v>-0.95</v>
      </c>
      <c r="K3334" t="s">
        <v>1039</v>
      </c>
      <c r="L3334">
        <v>100.37</v>
      </c>
      <c r="M3334" t="s">
        <v>14094</v>
      </c>
      <c r="N3334" t="s">
        <v>14095</v>
      </c>
      <c r="O3334" t="s">
        <v>14096</v>
      </c>
      <c r="P3334" t="s">
        <v>14097</v>
      </c>
      <c r="Q3334">
        <v>56.57</v>
      </c>
      <c r="R3334" t="s">
        <v>80</v>
      </c>
      <c r="S3334">
        <v>0.86</v>
      </c>
      <c r="T3334">
        <v>43.49</v>
      </c>
      <c r="U3334" t="s">
        <v>14098</v>
      </c>
      <c r="V3334" t="s">
        <v>5241</v>
      </c>
      <c r="W3334" t="s">
        <v>2753</v>
      </c>
      <c r="X3334">
        <v>-0.95</v>
      </c>
      <c r="Y3334" t="s">
        <v>14099</v>
      </c>
      <c r="Z3334" t="s">
        <v>8034</v>
      </c>
      <c r="AA3334" t="s">
        <v>2048</v>
      </c>
      <c r="AB3334">
        <v>1.59</v>
      </c>
      <c r="AC3334" t="s">
        <v>1338</v>
      </c>
      <c r="AD3334">
        <v>6.67</v>
      </c>
      <c r="AE3334" t="s">
        <v>624</v>
      </c>
      <c r="AF3334">
        <v>0.86</v>
      </c>
      <c r="AG3334">
        <v>0</v>
      </c>
      <c r="AH3334">
        <v>0</v>
      </c>
      <c r="AI3334" s="4">
        <v>36496</v>
      </c>
    </row>
    <row r="3335" spans="1:35">
      <c r="A3335">
        <v>3334</v>
      </c>
      <c r="B3335" t="str">
        <f>"000430"</f>
        <v>000430</v>
      </c>
      <c r="C3335" t="s">
        <v>14100</v>
      </c>
      <c r="D3335" s="4">
        <v>43190</v>
      </c>
      <c r="E3335" t="s">
        <v>338</v>
      </c>
      <c r="F3335" t="s">
        <v>726</v>
      </c>
      <c r="G3335" t="s">
        <v>708</v>
      </c>
      <c r="H3335">
        <v>-0.04</v>
      </c>
      <c r="I3335">
        <v>3.8</v>
      </c>
      <c r="J3335">
        <v>-0.96</v>
      </c>
      <c r="K3335" t="s">
        <v>2068</v>
      </c>
      <c r="L3335">
        <v>-18.239999999999998</v>
      </c>
      <c r="M3335" t="s">
        <v>14101</v>
      </c>
      <c r="N3335">
        <v>0</v>
      </c>
      <c r="O3335" t="s">
        <v>14102</v>
      </c>
      <c r="P3335" t="s">
        <v>14103</v>
      </c>
      <c r="Q3335">
        <v>-240.67</v>
      </c>
      <c r="R3335" t="s">
        <v>470</v>
      </c>
      <c r="S3335">
        <v>0.57999999999999996</v>
      </c>
      <c r="T3335">
        <v>8.44</v>
      </c>
      <c r="U3335" t="s">
        <v>1039</v>
      </c>
      <c r="V3335" t="s">
        <v>37</v>
      </c>
      <c r="W3335" t="s">
        <v>1652</v>
      </c>
      <c r="X3335">
        <v>-0.96</v>
      </c>
      <c r="Y3335" t="s">
        <v>2148</v>
      </c>
      <c r="Z3335" t="s">
        <v>1450</v>
      </c>
      <c r="AA3335" t="s">
        <v>1004</v>
      </c>
      <c r="AB3335">
        <v>1.71</v>
      </c>
      <c r="AC3335" t="s">
        <v>833</v>
      </c>
      <c r="AD3335">
        <v>66.16</v>
      </c>
      <c r="AE3335" t="s">
        <v>1774</v>
      </c>
      <c r="AF3335">
        <v>2.11</v>
      </c>
      <c r="AG3335">
        <v>0</v>
      </c>
      <c r="AH3335">
        <v>0</v>
      </c>
      <c r="AI3335" s="4">
        <v>35306</v>
      </c>
    </row>
    <row r="3336" spans="1:35">
      <c r="A3336">
        <v>3335</v>
      </c>
      <c r="B3336" t="str">
        <f>"603703"</f>
        <v>603703</v>
      </c>
      <c r="C3336" t="s">
        <v>14104</v>
      </c>
      <c r="D3336" s="4">
        <v>43190</v>
      </c>
      <c r="E3336" t="s">
        <v>985</v>
      </c>
      <c r="F3336" t="s">
        <v>600</v>
      </c>
      <c r="G3336">
        <v>4432</v>
      </c>
      <c r="H3336">
        <v>-0.02</v>
      </c>
      <c r="I3336">
        <v>2.27</v>
      </c>
      <c r="J3336">
        <v>-0.97</v>
      </c>
      <c r="K3336" t="s">
        <v>1855</v>
      </c>
      <c r="L3336">
        <v>-20.22</v>
      </c>
      <c r="M3336" t="s">
        <v>2062</v>
      </c>
      <c r="N3336">
        <v>0</v>
      </c>
      <c r="O3336" t="s">
        <v>9504</v>
      </c>
      <c r="P3336" t="s">
        <v>14105</v>
      </c>
      <c r="Q3336">
        <v>-128.29</v>
      </c>
      <c r="R3336" t="s">
        <v>37</v>
      </c>
      <c r="S3336">
        <v>0.77</v>
      </c>
      <c r="T3336">
        <v>17.7</v>
      </c>
      <c r="U3336" t="s">
        <v>699</v>
      </c>
      <c r="V3336" t="s">
        <v>1872</v>
      </c>
      <c r="W3336" t="s">
        <v>1732</v>
      </c>
      <c r="X3336">
        <v>-0.97</v>
      </c>
      <c r="Y3336" t="s">
        <v>3471</v>
      </c>
      <c r="Z3336" t="s">
        <v>734</v>
      </c>
      <c r="AA3336" t="s">
        <v>5454</v>
      </c>
      <c r="AB3336">
        <v>3.99</v>
      </c>
      <c r="AC3336" t="s">
        <v>769</v>
      </c>
      <c r="AD3336">
        <v>49.05</v>
      </c>
      <c r="AE3336" t="s">
        <v>4031</v>
      </c>
      <c r="AF3336">
        <v>0.37</v>
      </c>
      <c r="AG3336">
        <v>0</v>
      </c>
      <c r="AH3336">
        <v>0</v>
      </c>
      <c r="AI3336" s="4">
        <v>42117</v>
      </c>
    </row>
    <row r="3337" spans="1:35">
      <c r="A3337">
        <v>3336</v>
      </c>
      <c r="B3337" t="str">
        <f>"601949"</f>
        <v>601949</v>
      </c>
      <c r="C3337" t="s">
        <v>14106</v>
      </c>
      <c r="D3337" s="4">
        <v>43190</v>
      </c>
      <c r="E3337" t="s">
        <v>754</v>
      </c>
      <c r="F3337" t="s">
        <v>340</v>
      </c>
      <c r="G3337">
        <v>3887</v>
      </c>
      <c r="H3337">
        <v>-0.03</v>
      </c>
      <c r="I3337">
        <v>3.11</v>
      </c>
      <c r="J3337">
        <v>-0.97</v>
      </c>
      <c r="K3337" t="s">
        <v>1898</v>
      </c>
      <c r="L3337">
        <v>5.67</v>
      </c>
      <c r="M3337" t="s">
        <v>14107</v>
      </c>
      <c r="N3337" t="s">
        <v>5970</v>
      </c>
      <c r="O3337" t="s">
        <v>14108</v>
      </c>
      <c r="P3337" t="s">
        <v>14109</v>
      </c>
      <c r="Q3337">
        <v>43.25</v>
      </c>
      <c r="R3337" t="s">
        <v>2100</v>
      </c>
      <c r="S3337">
        <v>1.47</v>
      </c>
      <c r="T3337">
        <v>31.86</v>
      </c>
      <c r="U3337" t="s">
        <v>586</v>
      </c>
      <c r="V3337" t="s">
        <v>2765</v>
      </c>
      <c r="W3337" t="s">
        <v>973</v>
      </c>
      <c r="X3337">
        <v>-0.97</v>
      </c>
      <c r="Y3337" t="s">
        <v>528</v>
      </c>
      <c r="Z3337" t="s">
        <v>1345</v>
      </c>
      <c r="AA3337" t="s">
        <v>1082</v>
      </c>
      <c r="AB3337">
        <v>1.62</v>
      </c>
      <c r="AC3337" t="s">
        <v>2923</v>
      </c>
      <c r="AD3337">
        <v>51.96</v>
      </c>
      <c r="AE3337" t="s">
        <v>192</v>
      </c>
      <c r="AF3337">
        <v>0.64</v>
      </c>
      <c r="AG3337">
        <v>0</v>
      </c>
      <c r="AH3337">
        <v>0</v>
      </c>
      <c r="AI3337" s="4">
        <v>42968</v>
      </c>
    </row>
    <row r="3338" spans="1:35">
      <c r="A3338">
        <v>3337</v>
      </c>
      <c r="B3338" t="str">
        <f>"300248"</f>
        <v>300248</v>
      </c>
      <c r="C3338" t="s">
        <v>14110</v>
      </c>
      <c r="D3338" s="4">
        <v>43190</v>
      </c>
      <c r="E3338" t="s">
        <v>2792</v>
      </c>
      <c r="F3338" t="s">
        <v>325</v>
      </c>
      <c r="G3338">
        <v>7228</v>
      </c>
      <c r="H3338">
        <v>-0.03</v>
      </c>
      <c r="I3338">
        <v>2.76</v>
      </c>
      <c r="J3338">
        <v>-0.97</v>
      </c>
      <c r="K3338" t="s">
        <v>2306</v>
      </c>
      <c r="L3338">
        <v>23.1</v>
      </c>
      <c r="M3338" t="s">
        <v>14111</v>
      </c>
      <c r="N3338" t="s">
        <v>12655</v>
      </c>
      <c r="O3338" t="s">
        <v>14112</v>
      </c>
      <c r="P3338" t="s">
        <v>13994</v>
      </c>
      <c r="Q3338">
        <v>-585.12</v>
      </c>
      <c r="R3338" t="s">
        <v>2807</v>
      </c>
      <c r="S3338">
        <v>0.69</v>
      </c>
      <c r="T3338">
        <v>53.96</v>
      </c>
      <c r="U3338" t="s">
        <v>1752</v>
      </c>
      <c r="V3338" t="s">
        <v>835</v>
      </c>
      <c r="W3338" t="s">
        <v>1974</v>
      </c>
      <c r="X3338">
        <v>-0.97</v>
      </c>
      <c r="Y3338" t="s">
        <v>2304</v>
      </c>
      <c r="Z3338" t="s">
        <v>2792</v>
      </c>
      <c r="AA3338" t="s">
        <v>14113</v>
      </c>
      <c r="AB3338">
        <v>2.15</v>
      </c>
      <c r="AC3338" t="s">
        <v>1214</v>
      </c>
      <c r="AD3338">
        <v>69.72</v>
      </c>
      <c r="AE3338" t="s">
        <v>2001</v>
      </c>
      <c r="AF3338">
        <v>1.1200000000000001</v>
      </c>
      <c r="AG3338">
        <v>0</v>
      </c>
      <c r="AH3338">
        <v>0</v>
      </c>
      <c r="AI3338" s="4">
        <v>40753</v>
      </c>
    </row>
    <row r="3339" spans="1:35">
      <c r="A3339">
        <v>3338</v>
      </c>
      <c r="B3339" t="str">
        <f>"000517"</f>
        <v>000517</v>
      </c>
      <c r="C3339" t="s">
        <v>14114</v>
      </c>
      <c r="D3339" s="4">
        <v>43190</v>
      </c>
      <c r="E3339" t="s">
        <v>2339</v>
      </c>
      <c r="F3339" t="s">
        <v>1161</v>
      </c>
      <c r="G3339" t="s">
        <v>5713</v>
      </c>
      <c r="H3339">
        <v>-0.01</v>
      </c>
      <c r="I3339">
        <v>1.31</v>
      </c>
      <c r="J3339">
        <v>-0.97</v>
      </c>
      <c r="K3339" t="s">
        <v>14115</v>
      </c>
      <c r="L3339">
        <v>-96.76</v>
      </c>
      <c r="M3339" t="s">
        <v>14116</v>
      </c>
      <c r="N3339" t="s">
        <v>14117</v>
      </c>
      <c r="O3339" t="s">
        <v>14118</v>
      </c>
      <c r="P3339" t="s">
        <v>14119</v>
      </c>
      <c r="Q3339">
        <v>-111.76</v>
      </c>
      <c r="R3339" t="s">
        <v>512</v>
      </c>
      <c r="S3339">
        <v>0.81</v>
      </c>
      <c r="T3339">
        <v>36.86</v>
      </c>
      <c r="U3339" t="s">
        <v>1540</v>
      </c>
      <c r="V3339" t="s">
        <v>899</v>
      </c>
      <c r="W3339" t="s">
        <v>11685</v>
      </c>
      <c r="X3339">
        <v>-0.97</v>
      </c>
      <c r="Y3339" t="s">
        <v>399</v>
      </c>
      <c r="Z3339" t="s">
        <v>4089</v>
      </c>
      <c r="AA3339" t="s">
        <v>693</v>
      </c>
      <c r="AB3339">
        <v>2.4700000000000002</v>
      </c>
      <c r="AC3339" t="s">
        <v>1583</v>
      </c>
      <c r="AD3339">
        <v>25.92</v>
      </c>
      <c r="AE3339" t="s">
        <v>14120</v>
      </c>
      <c r="AF3339">
        <v>-0.53</v>
      </c>
      <c r="AG3339">
        <v>0</v>
      </c>
      <c r="AH3339">
        <v>0</v>
      </c>
      <c r="AI3339" s="4">
        <v>34187</v>
      </c>
    </row>
    <row r="3340" spans="1:35">
      <c r="A3340">
        <v>3339</v>
      </c>
      <c r="B3340" t="str">
        <f>"300012"</f>
        <v>300012</v>
      </c>
      <c r="C3340" t="s">
        <v>14121</v>
      </c>
      <c r="D3340" s="4">
        <v>43190</v>
      </c>
      <c r="E3340" t="s">
        <v>298</v>
      </c>
      <c r="F3340" t="s">
        <v>80</v>
      </c>
      <c r="G3340" t="s">
        <v>14122</v>
      </c>
      <c r="H3340">
        <v>-0.01</v>
      </c>
      <c r="I3340">
        <v>1.46</v>
      </c>
      <c r="J3340">
        <v>-0.98</v>
      </c>
      <c r="K3340" t="s">
        <v>545</v>
      </c>
      <c r="L3340">
        <v>19.54</v>
      </c>
      <c r="M3340" t="s">
        <v>14123</v>
      </c>
      <c r="N3340" t="s">
        <v>10276</v>
      </c>
      <c r="O3340" t="s">
        <v>14124</v>
      </c>
      <c r="P3340" t="s">
        <v>14125</v>
      </c>
      <c r="Q3340">
        <v>-734.92</v>
      </c>
      <c r="R3340" t="s">
        <v>1408</v>
      </c>
      <c r="S3340">
        <v>0.37</v>
      </c>
      <c r="T3340">
        <v>34.53</v>
      </c>
      <c r="U3340" t="s">
        <v>464</v>
      </c>
      <c r="V3340" t="s">
        <v>298</v>
      </c>
      <c r="W3340" t="s">
        <v>699</v>
      </c>
      <c r="X3340">
        <v>-0.98</v>
      </c>
      <c r="Y3340" t="s">
        <v>1223</v>
      </c>
      <c r="Z3340" t="s">
        <v>910</v>
      </c>
      <c r="AA3340" t="s">
        <v>14126</v>
      </c>
      <c r="AB3340">
        <v>3.48</v>
      </c>
      <c r="AC3340" t="s">
        <v>1687</v>
      </c>
      <c r="AD3340">
        <v>68.48</v>
      </c>
      <c r="AE3340" t="s">
        <v>6587</v>
      </c>
      <c r="AF3340">
        <v>0.03</v>
      </c>
      <c r="AG3340">
        <v>0</v>
      </c>
      <c r="AH3340">
        <v>0</v>
      </c>
      <c r="AI3340" s="4">
        <v>40116</v>
      </c>
    </row>
    <row r="3341" spans="1:35">
      <c r="A3341">
        <v>3340</v>
      </c>
      <c r="B3341" t="str">
        <f>"000806"</f>
        <v>000806</v>
      </c>
      <c r="C3341" t="s">
        <v>14127</v>
      </c>
      <c r="D3341" s="4">
        <v>43190</v>
      </c>
      <c r="E3341" t="s">
        <v>602</v>
      </c>
      <c r="F3341" t="s">
        <v>1394</v>
      </c>
      <c r="G3341">
        <v>5913</v>
      </c>
      <c r="H3341">
        <v>-0.02</v>
      </c>
      <c r="I3341">
        <v>1.89</v>
      </c>
      <c r="J3341">
        <v>-0.98</v>
      </c>
      <c r="K3341" t="s">
        <v>2769</v>
      </c>
      <c r="L3341">
        <v>-21.34</v>
      </c>
      <c r="M3341" t="s">
        <v>14128</v>
      </c>
      <c r="N3341" t="s">
        <v>7719</v>
      </c>
      <c r="O3341" t="s">
        <v>14129</v>
      </c>
      <c r="P3341" t="s">
        <v>14130</v>
      </c>
      <c r="Q3341">
        <v>-55.41</v>
      </c>
      <c r="R3341" t="s">
        <v>14131</v>
      </c>
      <c r="S3341">
        <v>-0.2</v>
      </c>
      <c r="T3341">
        <v>26.14</v>
      </c>
      <c r="U3341" t="s">
        <v>638</v>
      </c>
      <c r="V3341" t="s">
        <v>3356</v>
      </c>
      <c r="W3341" t="s">
        <v>1964</v>
      </c>
      <c r="X3341">
        <v>-0.98</v>
      </c>
      <c r="Y3341" t="s">
        <v>613</v>
      </c>
      <c r="Z3341" t="s">
        <v>1872</v>
      </c>
      <c r="AA3341" t="s">
        <v>922</v>
      </c>
      <c r="AB3341">
        <v>2.6</v>
      </c>
      <c r="AC3341" t="s">
        <v>877</v>
      </c>
      <c r="AD3341">
        <v>62.76</v>
      </c>
      <c r="AE3341" t="s">
        <v>1223</v>
      </c>
      <c r="AF3341">
        <v>0.99</v>
      </c>
      <c r="AG3341">
        <v>0</v>
      </c>
      <c r="AH3341">
        <v>0</v>
      </c>
      <c r="AI3341" s="4">
        <v>35901</v>
      </c>
    </row>
    <row r="3342" spans="1:35">
      <c r="A3342">
        <v>3341</v>
      </c>
      <c r="B3342" t="str">
        <f>"000608"</f>
        <v>000608</v>
      </c>
      <c r="C3342" t="s">
        <v>14132</v>
      </c>
      <c r="D3342" s="4">
        <v>43190</v>
      </c>
      <c r="E3342" t="s">
        <v>1590</v>
      </c>
      <c r="F3342" t="s">
        <v>1590</v>
      </c>
      <c r="G3342" t="s">
        <v>8128</v>
      </c>
      <c r="H3342">
        <v>-0.04</v>
      </c>
      <c r="I3342">
        <v>3.91</v>
      </c>
      <c r="J3342">
        <v>-0.98</v>
      </c>
      <c r="K3342" t="s">
        <v>752</v>
      </c>
      <c r="L3342">
        <v>-67.760000000000005</v>
      </c>
      <c r="M3342" t="s">
        <v>13751</v>
      </c>
      <c r="N3342" t="s">
        <v>14133</v>
      </c>
      <c r="O3342" t="s">
        <v>14134</v>
      </c>
      <c r="P3342" t="s">
        <v>14135</v>
      </c>
      <c r="Q3342">
        <v>13.3</v>
      </c>
      <c r="R3342" t="s">
        <v>1384</v>
      </c>
      <c r="S3342">
        <v>1.84</v>
      </c>
      <c r="T3342">
        <v>85.72</v>
      </c>
      <c r="U3342" t="s">
        <v>3015</v>
      </c>
      <c r="V3342" t="s">
        <v>775</v>
      </c>
      <c r="W3342" t="s">
        <v>1642</v>
      </c>
      <c r="X3342">
        <v>-0.98</v>
      </c>
      <c r="Y3342" t="s">
        <v>2028</v>
      </c>
      <c r="Z3342" t="s">
        <v>3196</v>
      </c>
      <c r="AA3342" t="s">
        <v>1832</v>
      </c>
      <c r="AB3342">
        <v>1.45</v>
      </c>
      <c r="AC3342" t="s">
        <v>583</v>
      </c>
      <c r="AD3342">
        <v>42.37</v>
      </c>
      <c r="AE3342" t="s">
        <v>1309</v>
      </c>
      <c r="AF3342">
        <v>0.68</v>
      </c>
      <c r="AG3342">
        <v>0</v>
      </c>
      <c r="AH3342">
        <v>0</v>
      </c>
      <c r="AI3342" s="4">
        <v>35327</v>
      </c>
    </row>
    <row r="3343" spans="1:35">
      <c r="A3343">
        <v>3342</v>
      </c>
      <c r="B3343" t="str">
        <f>"600302"</f>
        <v>600302</v>
      </c>
      <c r="C3343" t="s">
        <v>14136</v>
      </c>
      <c r="D3343" s="4">
        <v>43190</v>
      </c>
      <c r="E3343" t="s">
        <v>1789</v>
      </c>
      <c r="F3343" t="s">
        <v>1789</v>
      </c>
      <c r="G3343" t="s">
        <v>3438</v>
      </c>
      <c r="H3343">
        <v>-0.03</v>
      </c>
      <c r="I3343">
        <v>3.46</v>
      </c>
      <c r="J3343">
        <v>-0.99</v>
      </c>
      <c r="K3343" t="s">
        <v>1287</v>
      </c>
      <c r="L3343">
        <v>11.19</v>
      </c>
      <c r="M3343" t="s">
        <v>14137</v>
      </c>
      <c r="N3343" t="s">
        <v>1441</v>
      </c>
      <c r="O3343" t="s">
        <v>14138</v>
      </c>
      <c r="P3343" t="s">
        <v>14139</v>
      </c>
      <c r="Q3343">
        <v>-180.2</v>
      </c>
      <c r="R3343" t="s">
        <v>594</v>
      </c>
      <c r="S3343">
        <v>0.79</v>
      </c>
      <c r="T3343">
        <v>18.8</v>
      </c>
      <c r="U3343" t="s">
        <v>1244</v>
      </c>
      <c r="V3343" t="s">
        <v>1082</v>
      </c>
      <c r="W3343" t="s">
        <v>3768</v>
      </c>
      <c r="X3343">
        <v>-0.99</v>
      </c>
      <c r="Y3343" t="s">
        <v>314</v>
      </c>
      <c r="Z3343" t="s">
        <v>144</v>
      </c>
      <c r="AA3343" t="s">
        <v>14140</v>
      </c>
      <c r="AB3343">
        <v>1.21</v>
      </c>
      <c r="AC3343" t="s">
        <v>625</v>
      </c>
      <c r="AD3343">
        <v>73.47</v>
      </c>
      <c r="AE3343" t="s">
        <v>597</v>
      </c>
      <c r="AF3343">
        <v>1</v>
      </c>
      <c r="AG3343">
        <v>0</v>
      </c>
      <c r="AH3343">
        <v>0</v>
      </c>
      <c r="AI3343" s="4">
        <v>36873</v>
      </c>
    </row>
    <row r="3344" spans="1:35">
      <c r="A3344">
        <v>3343</v>
      </c>
      <c r="B3344" t="str">
        <f>"300369"</f>
        <v>300369</v>
      </c>
      <c r="C3344" t="s">
        <v>14141</v>
      </c>
      <c r="D3344" s="4">
        <v>43190</v>
      </c>
      <c r="E3344" t="s">
        <v>2984</v>
      </c>
      <c r="F3344" t="s">
        <v>2580</v>
      </c>
      <c r="G3344" t="s">
        <v>3761</v>
      </c>
      <c r="H3344">
        <v>-0.04</v>
      </c>
      <c r="I3344">
        <v>3.56</v>
      </c>
      <c r="J3344">
        <v>-1</v>
      </c>
      <c r="K3344" t="s">
        <v>64</v>
      </c>
      <c r="L3344">
        <v>24.44</v>
      </c>
      <c r="M3344" t="s">
        <v>14142</v>
      </c>
      <c r="N3344" t="s">
        <v>11450</v>
      </c>
      <c r="O3344" t="s">
        <v>14143</v>
      </c>
      <c r="P3344" t="s">
        <v>14144</v>
      </c>
      <c r="Q3344">
        <v>47.27</v>
      </c>
      <c r="R3344" t="s">
        <v>4397</v>
      </c>
      <c r="S3344">
        <v>0.99</v>
      </c>
      <c r="T3344">
        <v>75.959999999999994</v>
      </c>
      <c r="U3344" t="s">
        <v>4558</v>
      </c>
      <c r="V3344" t="s">
        <v>426</v>
      </c>
      <c r="W3344" t="s">
        <v>443</v>
      </c>
      <c r="X3344">
        <v>-1</v>
      </c>
      <c r="Y3344" t="s">
        <v>3193</v>
      </c>
      <c r="Z3344" t="s">
        <v>3769</v>
      </c>
      <c r="AA3344" t="s">
        <v>14145</v>
      </c>
      <c r="AB3344">
        <v>2.65</v>
      </c>
      <c r="AC3344" t="s">
        <v>685</v>
      </c>
      <c r="AD3344">
        <v>78.08</v>
      </c>
      <c r="AE3344" t="s">
        <v>538</v>
      </c>
      <c r="AF3344">
        <v>1.76</v>
      </c>
      <c r="AG3344">
        <v>0</v>
      </c>
      <c r="AH3344">
        <v>0</v>
      </c>
      <c r="AI3344" s="4">
        <v>41668</v>
      </c>
    </row>
    <row r="3345" spans="1:35">
      <c r="A3345">
        <v>3344</v>
      </c>
      <c r="B3345" t="str">
        <f>"600333"</f>
        <v>600333</v>
      </c>
      <c r="C3345" t="s">
        <v>14146</v>
      </c>
      <c r="D3345" s="4">
        <v>43190</v>
      </c>
      <c r="E3345" t="s">
        <v>1874</v>
      </c>
      <c r="F3345" t="s">
        <v>2178</v>
      </c>
      <c r="G3345">
        <v>9672</v>
      </c>
      <c r="H3345">
        <v>-0.04</v>
      </c>
      <c r="I3345">
        <v>3.54</v>
      </c>
      <c r="J3345">
        <v>-1.02</v>
      </c>
      <c r="K3345" t="s">
        <v>2792</v>
      </c>
      <c r="L3345">
        <v>25.34</v>
      </c>
      <c r="M3345" t="s">
        <v>14147</v>
      </c>
      <c r="N3345" t="s">
        <v>7667</v>
      </c>
      <c r="O3345" t="s">
        <v>14148</v>
      </c>
      <c r="P3345" t="s">
        <v>14149</v>
      </c>
      <c r="Q3345">
        <v>-219.99</v>
      </c>
      <c r="R3345" t="s">
        <v>241</v>
      </c>
      <c r="S3345">
        <v>0.66</v>
      </c>
      <c r="T3345">
        <v>26.35</v>
      </c>
      <c r="U3345" t="s">
        <v>4286</v>
      </c>
      <c r="V3345" t="s">
        <v>475</v>
      </c>
      <c r="W3345" t="s">
        <v>1175</v>
      </c>
      <c r="X3345">
        <v>-1.02</v>
      </c>
      <c r="Y3345" t="s">
        <v>733</v>
      </c>
      <c r="Z3345" t="s">
        <v>1785</v>
      </c>
      <c r="AA3345" t="s">
        <v>1438</v>
      </c>
      <c r="AB3345">
        <v>1.38</v>
      </c>
      <c r="AC3345" t="s">
        <v>114</v>
      </c>
      <c r="AD3345">
        <v>40.29</v>
      </c>
      <c r="AE3345" t="s">
        <v>1856</v>
      </c>
      <c r="AF3345">
        <v>1.63</v>
      </c>
      <c r="AG3345">
        <v>0</v>
      </c>
      <c r="AH3345">
        <v>0</v>
      </c>
      <c r="AI3345" s="4">
        <v>36871</v>
      </c>
    </row>
    <row r="3346" spans="1:35">
      <c r="A3346">
        <v>3345</v>
      </c>
      <c r="B3346" t="str">
        <f>"601226"</f>
        <v>601226</v>
      </c>
      <c r="C3346" t="s">
        <v>14150</v>
      </c>
      <c r="D3346" s="4">
        <v>43190</v>
      </c>
      <c r="E3346" t="s">
        <v>613</v>
      </c>
      <c r="F3346" t="s">
        <v>613</v>
      </c>
      <c r="G3346" t="s">
        <v>5588</v>
      </c>
      <c r="H3346">
        <v>-0.03</v>
      </c>
      <c r="I3346">
        <v>3.01</v>
      </c>
      <c r="J3346">
        <v>-1.03</v>
      </c>
      <c r="K3346" t="s">
        <v>2032</v>
      </c>
      <c r="L3346">
        <v>7.04</v>
      </c>
      <c r="M3346" t="s">
        <v>14151</v>
      </c>
      <c r="N3346" t="s">
        <v>6214</v>
      </c>
      <c r="O3346" t="s">
        <v>14152</v>
      </c>
      <c r="P3346" t="s">
        <v>14153</v>
      </c>
      <c r="Q3346">
        <v>37.18</v>
      </c>
      <c r="R3346" t="s">
        <v>2959</v>
      </c>
      <c r="S3346">
        <v>0.82</v>
      </c>
      <c r="T3346">
        <v>7.74</v>
      </c>
      <c r="U3346" t="s">
        <v>2801</v>
      </c>
      <c r="V3346" t="s">
        <v>2243</v>
      </c>
      <c r="W3346" t="s">
        <v>6052</v>
      </c>
      <c r="X3346">
        <v>-1.03</v>
      </c>
      <c r="Y3346" t="s">
        <v>2267</v>
      </c>
      <c r="Z3346" t="s">
        <v>2600</v>
      </c>
      <c r="AA3346" t="s">
        <v>804</v>
      </c>
      <c r="AB3346">
        <v>1.27</v>
      </c>
      <c r="AC3346" t="s">
        <v>312</v>
      </c>
      <c r="AD3346">
        <v>44.25</v>
      </c>
      <c r="AE3346" t="s">
        <v>982</v>
      </c>
      <c r="AF3346">
        <v>1.06</v>
      </c>
      <c r="AG3346">
        <v>0</v>
      </c>
      <c r="AH3346">
        <v>0</v>
      </c>
      <c r="AI3346" s="4">
        <v>41984</v>
      </c>
    </row>
    <row r="3347" spans="1:35">
      <c r="A3347">
        <v>3346</v>
      </c>
      <c r="B3347" t="str">
        <f>"600107"</f>
        <v>600107</v>
      </c>
      <c r="C3347" t="s">
        <v>14154</v>
      </c>
      <c r="D3347" s="4">
        <v>43190</v>
      </c>
      <c r="E3347" t="s">
        <v>204</v>
      </c>
      <c r="F3347" t="s">
        <v>204</v>
      </c>
      <c r="G3347" t="s">
        <v>210</v>
      </c>
      <c r="H3347">
        <v>-0.02</v>
      </c>
      <c r="I3347">
        <v>1.53</v>
      </c>
      <c r="J3347">
        <v>-1.03</v>
      </c>
      <c r="K3347" t="s">
        <v>45</v>
      </c>
      <c r="L3347">
        <v>-0.6</v>
      </c>
      <c r="M3347" t="s">
        <v>14155</v>
      </c>
      <c r="N3347" t="s">
        <v>2748</v>
      </c>
      <c r="O3347" t="s">
        <v>14155</v>
      </c>
      <c r="P3347" t="s">
        <v>14156</v>
      </c>
      <c r="Q3347">
        <v>-15.38</v>
      </c>
      <c r="R3347" t="s">
        <v>14157</v>
      </c>
      <c r="S3347">
        <v>-0.04</v>
      </c>
      <c r="T3347">
        <v>41.25</v>
      </c>
      <c r="U3347" t="s">
        <v>323</v>
      </c>
      <c r="V3347" t="s">
        <v>3250</v>
      </c>
      <c r="W3347" t="s">
        <v>595</v>
      </c>
      <c r="X3347">
        <v>-1.03</v>
      </c>
      <c r="Y3347" t="s">
        <v>269</v>
      </c>
      <c r="Z3347" t="s">
        <v>364</v>
      </c>
      <c r="AA3347" t="s">
        <v>5111</v>
      </c>
      <c r="AB3347">
        <v>4.46</v>
      </c>
      <c r="AC3347" t="s">
        <v>701</v>
      </c>
      <c r="AD3347">
        <v>49.58</v>
      </c>
      <c r="AE3347" t="s">
        <v>345</v>
      </c>
      <c r="AF3347">
        <v>0.5</v>
      </c>
      <c r="AG3347">
        <v>0</v>
      </c>
      <c r="AH3347">
        <v>0</v>
      </c>
      <c r="AI3347" s="4">
        <v>35740</v>
      </c>
    </row>
    <row r="3348" spans="1:35">
      <c r="A3348">
        <v>3347</v>
      </c>
      <c r="B3348" t="str">
        <f>"600657"</f>
        <v>600657</v>
      </c>
      <c r="C3348" t="s">
        <v>14158</v>
      </c>
      <c r="D3348" s="4">
        <v>43190</v>
      </c>
      <c r="E3348" t="s">
        <v>908</v>
      </c>
      <c r="F3348" t="s">
        <v>908</v>
      </c>
      <c r="G3348" t="s">
        <v>12068</v>
      </c>
      <c r="H3348">
        <v>-7.0000000000000007E-2</v>
      </c>
      <c r="I3348">
        <v>6.26</v>
      </c>
      <c r="J3348">
        <v>-1.04</v>
      </c>
      <c r="K3348" t="s">
        <v>169</v>
      </c>
      <c r="L3348">
        <v>-27.95</v>
      </c>
      <c r="M3348" t="s">
        <v>14159</v>
      </c>
      <c r="N3348" t="s">
        <v>12313</v>
      </c>
      <c r="O3348" t="s">
        <v>14160</v>
      </c>
      <c r="P3348" t="s">
        <v>14161</v>
      </c>
      <c r="Q3348">
        <v>24.06</v>
      </c>
      <c r="R3348" t="s">
        <v>2942</v>
      </c>
      <c r="S3348">
        <v>4.25</v>
      </c>
      <c r="T3348">
        <v>34.22</v>
      </c>
      <c r="U3348" t="s">
        <v>14162</v>
      </c>
      <c r="V3348" t="s">
        <v>3462</v>
      </c>
      <c r="W3348" t="s">
        <v>1320</v>
      </c>
      <c r="X3348">
        <v>-1.04</v>
      </c>
      <c r="Y3348" t="s">
        <v>9702</v>
      </c>
      <c r="Z3348" t="s">
        <v>5403</v>
      </c>
      <c r="AA3348" t="s">
        <v>1983</v>
      </c>
      <c r="AB3348">
        <v>0.67</v>
      </c>
      <c r="AC3348" t="s">
        <v>7752</v>
      </c>
      <c r="AD3348">
        <v>13.04</v>
      </c>
      <c r="AE3348" t="s">
        <v>833</v>
      </c>
      <c r="AF3348">
        <v>1.01</v>
      </c>
      <c r="AG3348">
        <v>0</v>
      </c>
      <c r="AH3348">
        <v>0</v>
      </c>
      <c r="AI3348" s="4">
        <v>34113</v>
      </c>
    </row>
    <row r="3349" spans="1:35">
      <c r="A3349">
        <v>3348</v>
      </c>
      <c r="B3349" t="str">
        <f>"002204"</f>
        <v>002204</v>
      </c>
      <c r="C3349" t="s">
        <v>14163</v>
      </c>
      <c r="D3349" s="4">
        <v>43190</v>
      </c>
      <c r="E3349" t="s">
        <v>1752</v>
      </c>
      <c r="F3349" t="s">
        <v>1752</v>
      </c>
      <c r="G3349" t="s">
        <v>14164</v>
      </c>
      <c r="H3349">
        <v>-0.04</v>
      </c>
      <c r="I3349">
        <v>3.38</v>
      </c>
      <c r="J3349">
        <v>-1.04</v>
      </c>
      <c r="K3349" t="s">
        <v>872</v>
      </c>
      <c r="L3349">
        <v>-43.93</v>
      </c>
      <c r="M3349" t="s">
        <v>14165</v>
      </c>
      <c r="N3349">
        <v>4624</v>
      </c>
      <c r="O3349" t="s">
        <v>14166</v>
      </c>
      <c r="P3349" t="s">
        <v>14167</v>
      </c>
      <c r="Q3349">
        <v>-1869.75</v>
      </c>
      <c r="R3349" t="s">
        <v>1752</v>
      </c>
      <c r="S3349">
        <v>1</v>
      </c>
      <c r="T3349">
        <v>18.25</v>
      </c>
      <c r="U3349" t="s">
        <v>1885</v>
      </c>
      <c r="V3349" t="s">
        <v>399</v>
      </c>
      <c r="W3349" t="s">
        <v>725</v>
      </c>
      <c r="X3349">
        <v>-1.04</v>
      </c>
      <c r="Y3349" t="s">
        <v>3199</v>
      </c>
      <c r="Z3349" t="s">
        <v>4089</v>
      </c>
      <c r="AA3349" t="s">
        <v>623</v>
      </c>
      <c r="AB3349">
        <v>1.1599999999999999</v>
      </c>
      <c r="AC3349" t="s">
        <v>5445</v>
      </c>
      <c r="AD3349">
        <v>41.87</v>
      </c>
      <c r="AE3349" t="s">
        <v>223</v>
      </c>
      <c r="AF3349">
        <v>1.25</v>
      </c>
      <c r="AG3349">
        <v>0</v>
      </c>
      <c r="AH3349">
        <v>0</v>
      </c>
      <c r="AI3349" s="4">
        <v>39463</v>
      </c>
    </row>
    <row r="3350" spans="1:35">
      <c r="A3350">
        <v>3349</v>
      </c>
      <c r="B3350" t="str">
        <f>"002105"</f>
        <v>002105</v>
      </c>
      <c r="C3350" t="s">
        <v>14168</v>
      </c>
      <c r="D3350" s="4">
        <v>43190</v>
      </c>
      <c r="E3350" t="s">
        <v>3726</v>
      </c>
      <c r="F3350" t="s">
        <v>3726</v>
      </c>
      <c r="G3350" t="s">
        <v>4747</v>
      </c>
      <c r="H3350">
        <v>-0.01</v>
      </c>
      <c r="I3350">
        <v>1.36</v>
      </c>
      <c r="J3350">
        <v>-1.04</v>
      </c>
      <c r="K3350" t="s">
        <v>47</v>
      </c>
      <c r="L3350">
        <v>-12.45</v>
      </c>
      <c r="M3350" t="s">
        <v>14169</v>
      </c>
      <c r="N3350">
        <v>0</v>
      </c>
      <c r="O3350" t="s">
        <v>13722</v>
      </c>
      <c r="P3350" t="s">
        <v>14170</v>
      </c>
      <c r="Q3350">
        <v>-497.72</v>
      </c>
      <c r="R3350" t="s">
        <v>10346</v>
      </c>
      <c r="S3350">
        <v>0.03</v>
      </c>
      <c r="T3350">
        <v>12.1</v>
      </c>
      <c r="U3350" t="s">
        <v>538</v>
      </c>
      <c r="V3350" t="s">
        <v>3312</v>
      </c>
      <c r="W3350" t="s">
        <v>856</v>
      </c>
      <c r="X3350">
        <v>-1.04</v>
      </c>
      <c r="Y3350" t="s">
        <v>1575</v>
      </c>
      <c r="Z3350" t="s">
        <v>3741</v>
      </c>
      <c r="AA3350" t="s">
        <v>14171</v>
      </c>
      <c r="AB3350">
        <v>3.25</v>
      </c>
      <c r="AC3350" t="s">
        <v>4427</v>
      </c>
      <c r="AD3350">
        <v>37.369999999999997</v>
      </c>
      <c r="AE3350" t="s">
        <v>14172</v>
      </c>
      <c r="AF3350">
        <v>0.17</v>
      </c>
      <c r="AG3350">
        <v>0</v>
      </c>
      <c r="AH3350">
        <v>0</v>
      </c>
      <c r="AI3350" s="4">
        <v>39094</v>
      </c>
    </row>
    <row r="3351" spans="1:35">
      <c r="A3351">
        <v>3350</v>
      </c>
      <c r="B3351" t="str">
        <f>"600470"</f>
        <v>600470</v>
      </c>
      <c r="C3351" t="s">
        <v>14173</v>
      </c>
      <c r="D3351" s="4">
        <v>43190</v>
      </c>
      <c r="E3351" t="s">
        <v>4427</v>
      </c>
      <c r="F3351" t="s">
        <v>4427</v>
      </c>
      <c r="G3351" t="s">
        <v>1862</v>
      </c>
      <c r="H3351">
        <v>-0.04</v>
      </c>
      <c r="I3351">
        <v>3.93</v>
      </c>
      <c r="J3351">
        <v>-1.05</v>
      </c>
      <c r="K3351" t="s">
        <v>475</v>
      </c>
      <c r="L3351">
        <v>-21.92</v>
      </c>
      <c r="M3351" t="s">
        <v>14174</v>
      </c>
      <c r="N3351">
        <v>0</v>
      </c>
      <c r="O3351" t="s">
        <v>14175</v>
      </c>
      <c r="P3351" t="s">
        <v>14176</v>
      </c>
      <c r="Q3351">
        <v>-4.3600000000000003</v>
      </c>
      <c r="R3351" t="s">
        <v>804</v>
      </c>
      <c r="S3351">
        <v>0.21</v>
      </c>
      <c r="T3351">
        <v>11.76</v>
      </c>
      <c r="U3351" t="s">
        <v>1600</v>
      </c>
      <c r="V3351" t="s">
        <v>712</v>
      </c>
      <c r="W3351" t="s">
        <v>158</v>
      </c>
      <c r="X3351">
        <v>-1.05</v>
      </c>
      <c r="Y3351" t="s">
        <v>1859</v>
      </c>
      <c r="Z3351" t="s">
        <v>816</v>
      </c>
      <c r="AA3351" t="s">
        <v>156</v>
      </c>
      <c r="AB3351">
        <v>0.9</v>
      </c>
      <c r="AC3351" t="s">
        <v>1920</v>
      </c>
      <c r="AD3351">
        <v>35.270000000000003</v>
      </c>
      <c r="AE3351" t="s">
        <v>164</v>
      </c>
      <c r="AF3351">
        <v>2.42</v>
      </c>
      <c r="AG3351">
        <v>0</v>
      </c>
      <c r="AH3351">
        <v>0</v>
      </c>
      <c r="AI3351" s="4">
        <v>38051</v>
      </c>
    </row>
    <row r="3352" spans="1:35">
      <c r="A3352">
        <v>3351</v>
      </c>
      <c r="B3352" t="str">
        <f>"300719"</f>
        <v>300719</v>
      </c>
      <c r="C3352" t="s">
        <v>14177</v>
      </c>
      <c r="D3352" s="4">
        <v>43190</v>
      </c>
      <c r="E3352" t="s">
        <v>998</v>
      </c>
      <c r="F3352" t="s">
        <v>3879</v>
      </c>
      <c r="G3352">
        <v>1515</v>
      </c>
      <c r="H3352">
        <v>-0.04</v>
      </c>
      <c r="I3352">
        <v>3.47</v>
      </c>
      <c r="J3352">
        <v>-1.05</v>
      </c>
      <c r="K3352" t="s">
        <v>7146</v>
      </c>
      <c r="L3352">
        <v>-6.1</v>
      </c>
      <c r="M3352" t="s">
        <v>14178</v>
      </c>
      <c r="N3352" t="s">
        <v>3078</v>
      </c>
      <c r="O3352" t="s">
        <v>11602</v>
      </c>
      <c r="P3352" t="s">
        <v>14179</v>
      </c>
      <c r="Q3352">
        <v>-126.33</v>
      </c>
      <c r="R3352" t="s">
        <v>258</v>
      </c>
      <c r="S3352">
        <v>0.67</v>
      </c>
      <c r="T3352">
        <v>43.57</v>
      </c>
      <c r="U3352" t="s">
        <v>919</v>
      </c>
      <c r="V3352" t="s">
        <v>5061</v>
      </c>
      <c r="W3352" t="s">
        <v>14180</v>
      </c>
      <c r="X3352">
        <v>-1.05</v>
      </c>
      <c r="Y3352" t="s">
        <v>14181</v>
      </c>
      <c r="Z3352" t="s">
        <v>14182</v>
      </c>
      <c r="AA3352" t="s">
        <v>4321</v>
      </c>
      <c r="AB3352">
        <v>4.1100000000000003</v>
      </c>
      <c r="AC3352" t="s">
        <v>88</v>
      </c>
      <c r="AD3352">
        <v>91.53</v>
      </c>
      <c r="AE3352" t="s">
        <v>97</v>
      </c>
      <c r="AF3352">
        <v>1.74</v>
      </c>
      <c r="AG3352">
        <v>0</v>
      </c>
      <c r="AH3352">
        <v>0</v>
      </c>
      <c r="AI3352" s="4">
        <v>43048</v>
      </c>
    </row>
    <row r="3353" spans="1:35">
      <c r="A3353">
        <v>3352</v>
      </c>
      <c r="B3353" t="str">
        <f>"300084"</f>
        <v>300084</v>
      </c>
      <c r="C3353" t="s">
        <v>14183</v>
      </c>
      <c r="D3353" s="4">
        <v>43190</v>
      </c>
      <c r="E3353" t="s">
        <v>479</v>
      </c>
      <c r="F3353" t="s">
        <v>1048</v>
      </c>
      <c r="G3353" t="s">
        <v>5706</v>
      </c>
      <c r="H3353">
        <v>-0.05</v>
      </c>
      <c r="I3353">
        <v>4.54</v>
      </c>
      <c r="J3353">
        <v>-1.05</v>
      </c>
      <c r="K3353" t="s">
        <v>3040</v>
      </c>
      <c r="L3353">
        <v>40.840000000000003</v>
      </c>
      <c r="M3353" t="s">
        <v>14184</v>
      </c>
      <c r="N3353" t="s">
        <v>596</v>
      </c>
      <c r="O3353" t="s">
        <v>14185</v>
      </c>
      <c r="P3353" t="s">
        <v>14186</v>
      </c>
      <c r="Q3353">
        <v>-541.37</v>
      </c>
      <c r="R3353" t="s">
        <v>711</v>
      </c>
      <c r="S3353">
        <v>0.36</v>
      </c>
      <c r="T3353">
        <v>34.72</v>
      </c>
      <c r="U3353" t="s">
        <v>1158</v>
      </c>
      <c r="V3353" t="s">
        <v>1384</v>
      </c>
      <c r="W3353" t="s">
        <v>1049</v>
      </c>
      <c r="X3353">
        <v>-1.05</v>
      </c>
      <c r="Y3353" t="s">
        <v>147</v>
      </c>
      <c r="Z3353" t="s">
        <v>4952</v>
      </c>
      <c r="AA3353" t="s">
        <v>4871</v>
      </c>
      <c r="AB3353">
        <v>1.04</v>
      </c>
      <c r="AC3353" t="s">
        <v>1343</v>
      </c>
      <c r="AD3353">
        <v>59.8</v>
      </c>
      <c r="AE3353" t="s">
        <v>405</v>
      </c>
      <c r="AF3353">
        <v>3.19</v>
      </c>
      <c r="AG3353">
        <v>0</v>
      </c>
      <c r="AH3353">
        <v>0</v>
      </c>
      <c r="AI3353" s="4">
        <v>40318</v>
      </c>
    </row>
    <row r="3354" spans="1:35">
      <c r="A3354">
        <v>3353</v>
      </c>
      <c r="B3354" t="str">
        <f>"600100"</f>
        <v>600100</v>
      </c>
      <c r="C3354" t="s">
        <v>14187</v>
      </c>
      <c r="D3354" s="4">
        <v>43190</v>
      </c>
      <c r="E3354" t="s">
        <v>583</v>
      </c>
      <c r="F3354" t="s">
        <v>583</v>
      </c>
      <c r="G3354" t="s">
        <v>1199</v>
      </c>
      <c r="H3354">
        <v>-0.08</v>
      </c>
      <c r="I3354">
        <v>7.14</v>
      </c>
      <c r="J3354">
        <v>-1.06</v>
      </c>
      <c r="K3354" t="s">
        <v>1574</v>
      </c>
      <c r="L3354">
        <v>11.36</v>
      </c>
      <c r="M3354" t="s">
        <v>14188</v>
      </c>
      <c r="N3354" t="s">
        <v>600</v>
      </c>
      <c r="O3354" t="s">
        <v>13362</v>
      </c>
      <c r="P3354" t="s">
        <v>14189</v>
      </c>
      <c r="Q3354">
        <v>16.77</v>
      </c>
      <c r="R3354" t="s">
        <v>400</v>
      </c>
      <c r="S3354">
        <v>2.37</v>
      </c>
      <c r="T3354">
        <v>19.12</v>
      </c>
      <c r="U3354" t="s">
        <v>3954</v>
      </c>
      <c r="V3354" t="s">
        <v>7604</v>
      </c>
      <c r="W3354" t="s">
        <v>2833</v>
      </c>
      <c r="X3354">
        <v>-1.06</v>
      </c>
      <c r="Y3354" t="s">
        <v>4454</v>
      </c>
      <c r="Z3354" t="s">
        <v>4122</v>
      </c>
      <c r="AA3354" t="s">
        <v>2629</v>
      </c>
      <c r="AB3354">
        <v>1.27</v>
      </c>
      <c r="AC3354" t="s">
        <v>2446</v>
      </c>
      <c r="AD3354">
        <v>33.61</v>
      </c>
      <c r="AE3354" t="s">
        <v>8886</v>
      </c>
      <c r="AF3354">
        <v>3.2</v>
      </c>
      <c r="AG3354">
        <v>0</v>
      </c>
      <c r="AH3354">
        <v>0</v>
      </c>
      <c r="AI3354" s="4">
        <v>35608</v>
      </c>
    </row>
    <row r="3355" spans="1:35">
      <c r="A3355">
        <v>3354</v>
      </c>
      <c r="B3355" t="str">
        <f>"002571"</f>
        <v>002571</v>
      </c>
      <c r="C3355" t="s">
        <v>14190</v>
      </c>
      <c r="D3355" s="4">
        <v>43190</v>
      </c>
      <c r="E3355" t="s">
        <v>2590</v>
      </c>
      <c r="F3355" t="s">
        <v>998</v>
      </c>
      <c r="G3355" t="s">
        <v>6699</v>
      </c>
      <c r="H3355">
        <v>-0.04</v>
      </c>
      <c r="I3355">
        <v>3.86</v>
      </c>
      <c r="J3355">
        <v>-1.06</v>
      </c>
      <c r="K3355" t="s">
        <v>290</v>
      </c>
      <c r="L3355">
        <v>-3.43</v>
      </c>
      <c r="M3355" t="s">
        <v>14191</v>
      </c>
      <c r="N3355" t="s">
        <v>212</v>
      </c>
      <c r="O3355" t="s">
        <v>14192</v>
      </c>
      <c r="P3355" t="s">
        <v>14193</v>
      </c>
      <c r="Q3355">
        <v>9.16</v>
      </c>
      <c r="R3355" t="s">
        <v>1936</v>
      </c>
      <c r="S3355">
        <v>0.39</v>
      </c>
      <c r="T3355">
        <v>17.3</v>
      </c>
      <c r="U3355" t="s">
        <v>754</v>
      </c>
      <c r="V3355" t="s">
        <v>1523</v>
      </c>
      <c r="W3355" t="s">
        <v>1502</v>
      </c>
      <c r="X3355">
        <v>-1.06</v>
      </c>
      <c r="Y3355" t="s">
        <v>1152</v>
      </c>
      <c r="Z3355" t="s">
        <v>296</v>
      </c>
      <c r="AA3355" t="s">
        <v>10065</v>
      </c>
      <c r="AB3355">
        <v>1.59</v>
      </c>
      <c r="AC3355" t="s">
        <v>547</v>
      </c>
      <c r="AD3355">
        <v>83.17</v>
      </c>
      <c r="AE3355" t="s">
        <v>460</v>
      </c>
      <c r="AF3355">
        <v>2.31</v>
      </c>
      <c r="AG3355">
        <v>0</v>
      </c>
      <c r="AH3355">
        <v>0</v>
      </c>
      <c r="AI3355" s="4">
        <v>40645</v>
      </c>
    </row>
    <row r="3356" spans="1:35">
      <c r="A3356">
        <v>3355</v>
      </c>
      <c r="B3356" t="str">
        <f>"600734"</f>
        <v>600734</v>
      </c>
      <c r="C3356" t="s">
        <v>14194</v>
      </c>
      <c r="D3356" s="4">
        <v>43190</v>
      </c>
      <c r="E3356" t="s">
        <v>857</v>
      </c>
      <c r="F3356" t="s">
        <v>139</v>
      </c>
      <c r="G3356">
        <v>8620</v>
      </c>
      <c r="H3356">
        <v>-0.05</v>
      </c>
      <c r="I3356">
        <v>4.5599999999999996</v>
      </c>
      <c r="J3356">
        <v>-1.07</v>
      </c>
      <c r="K3356" t="s">
        <v>835</v>
      </c>
      <c r="L3356">
        <v>-13.89</v>
      </c>
      <c r="M3356" t="s">
        <v>14195</v>
      </c>
      <c r="N3356" t="s">
        <v>10756</v>
      </c>
      <c r="O3356" t="s">
        <v>14195</v>
      </c>
      <c r="P3356" t="s">
        <v>14196</v>
      </c>
      <c r="Q3356">
        <v>-1950.33</v>
      </c>
      <c r="R3356" t="s">
        <v>355</v>
      </c>
      <c r="S3356">
        <v>0.18</v>
      </c>
      <c r="T3356">
        <v>7.03</v>
      </c>
      <c r="U3356" t="s">
        <v>9563</v>
      </c>
      <c r="V3356" t="s">
        <v>5646</v>
      </c>
      <c r="W3356" t="s">
        <v>696</v>
      </c>
      <c r="X3356">
        <v>-1.07</v>
      </c>
      <c r="Y3356" t="s">
        <v>2691</v>
      </c>
      <c r="Z3356" t="s">
        <v>886</v>
      </c>
      <c r="AA3356" t="s">
        <v>1649</v>
      </c>
      <c r="AB3356">
        <v>2.06</v>
      </c>
      <c r="AC3356" t="s">
        <v>1329</v>
      </c>
      <c r="AD3356">
        <v>33.840000000000003</v>
      </c>
      <c r="AE3356" t="s">
        <v>159</v>
      </c>
      <c r="AF3356">
        <v>3.35</v>
      </c>
      <c r="AG3356">
        <v>0</v>
      </c>
      <c r="AH3356">
        <v>0</v>
      </c>
      <c r="AI3356" s="4">
        <v>35285</v>
      </c>
    </row>
    <row r="3357" spans="1:35">
      <c r="A3357">
        <v>3356</v>
      </c>
      <c r="B3357" t="str">
        <f>"300711"</f>
        <v>300711</v>
      </c>
      <c r="C3357" t="s">
        <v>14197</v>
      </c>
      <c r="D3357" s="4">
        <v>43190</v>
      </c>
      <c r="E3357" t="s">
        <v>1016</v>
      </c>
      <c r="F3357" t="s">
        <v>2976</v>
      </c>
      <c r="G3357">
        <v>1458</v>
      </c>
      <c r="H3357">
        <v>-0.04</v>
      </c>
      <c r="I3357">
        <v>3.81</v>
      </c>
      <c r="J3357">
        <v>-1.07</v>
      </c>
      <c r="K3357" t="s">
        <v>14198</v>
      </c>
      <c r="L3357">
        <v>-56.23</v>
      </c>
      <c r="M3357" t="s">
        <v>14199</v>
      </c>
      <c r="N3357">
        <v>0</v>
      </c>
      <c r="O3357" t="s">
        <v>12546</v>
      </c>
      <c r="P3357" t="s">
        <v>14200</v>
      </c>
      <c r="Q3357">
        <v>-95.98</v>
      </c>
      <c r="R3357" t="s">
        <v>322</v>
      </c>
      <c r="S3357">
        <v>0.87</v>
      </c>
      <c r="T3357">
        <v>52.09</v>
      </c>
      <c r="U3357" t="s">
        <v>1869</v>
      </c>
      <c r="V3357" t="s">
        <v>2647</v>
      </c>
      <c r="W3357" t="s">
        <v>4135</v>
      </c>
      <c r="X3357">
        <v>-1.07</v>
      </c>
      <c r="Y3357" t="s">
        <v>9806</v>
      </c>
      <c r="Z3357" t="s">
        <v>14201</v>
      </c>
      <c r="AA3357" t="s">
        <v>10859</v>
      </c>
      <c r="AB3357">
        <v>5.59</v>
      </c>
      <c r="AC3357" t="s">
        <v>2413</v>
      </c>
      <c r="AD3357">
        <v>88.28</v>
      </c>
      <c r="AE3357" t="s">
        <v>134</v>
      </c>
      <c r="AF3357">
        <v>1.77</v>
      </c>
      <c r="AG3357">
        <v>0</v>
      </c>
      <c r="AH3357">
        <v>0</v>
      </c>
      <c r="AI3357" s="4">
        <v>43040</v>
      </c>
    </row>
    <row r="3358" spans="1:35">
      <c r="A3358">
        <v>3357</v>
      </c>
      <c r="B3358" t="str">
        <f>"300397"</f>
        <v>300397</v>
      </c>
      <c r="C3358" t="s">
        <v>14202</v>
      </c>
      <c r="D3358" s="4">
        <v>43190</v>
      </c>
      <c r="E3358" t="s">
        <v>94</v>
      </c>
      <c r="F3358" t="s">
        <v>863</v>
      </c>
      <c r="G3358">
        <v>6159</v>
      </c>
      <c r="H3358">
        <v>-0.05</v>
      </c>
      <c r="I3358">
        <v>5.05</v>
      </c>
      <c r="J3358">
        <v>-1.07</v>
      </c>
      <c r="K3358" t="s">
        <v>14203</v>
      </c>
      <c r="L3358">
        <v>-68.73</v>
      </c>
      <c r="M3358" t="s">
        <v>14204</v>
      </c>
      <c r="N3358" t="s">
        <v>6502</v>
      </c>
      <c r="O3358" t="s">
        <v>14204</v>
      </c>
      <c r="P3358" t="s">
        <v>14205</v>
      </c>
      <c r="Q3358">
        <v>-198.43</v>
      </c>
      <c r="R3358" t="s">
        <v>498</v>
      </c>
      <c r="S3358">
        <v>1.68</v>
      </c>
      <c r="T3358">
        <v>35.75</v>
      </c>
      <c r="U3358" t="s">
        <v>848</v>
      </c>
      <c r="V3358" t="s">
        <v>2955</v>
      </c>
      <c r="W3358" t="s">
        <v>265</v>
      </c>
      <c r="X3358">
        <v>-1.07</v>
      </c>
      <c r="Y3358" t="s">
        <v>1067</v>
      </c>
      <c r="Z3358" t="s">
        <v>2889</v>
      </c>
      <c r="AA3358" t="s">
        <v>3358</v>
      </c>
      <c r="AB3358">
        <v>2.35</v>
      </c>
      <c r="AC3358" t="s">
        <v>264</v>
      </c>
      <c r="AD3358">
        <v>77.23</v>
      </c>
      <c r="AE3358" t="s">
        <v>1382</v>
      </c>
      <c r="AF3358">
        <v>2.2000000000000002</v>
      </c>
      <c r="AG3358">
        <v>0</v>
      </c>
      <c r="AH3358">
        <v>0</v>
      </c>
      <c r="AI3358" s="4">
        <v>41892</v>
      </c>
    </row>
    <row r="3359" spans="1:35">
      <c r="A3359">
        <v>3358</v>
      </c>
      <c r="B3359" t="str">
        <f>"000807"</f>
        <v>000807</v>
      </c>
      <c r="C3359" t="s">
        <v>14206</v>
      </c>
      <c r="D3359" s="4">
        <v>43190</v>
      </c>
      <c r="E3359" t="s">
        <v>1832</v>
      </c>
      <c r="F3359" t="s">
        <v>306</v>
      </c>
      <c r="G3359" t="s">
        <v>268</v>
      </c>
      <c r="H3359">
        <v>-0.04</v>
      </c>
      <c r="I3359">
        <v>3.67</v>
      </c>
      <c r="J3359">
        <v>-1.07</v>
      </c>
      <c r="K3359" t="s">
        <v>111</v>
      </c>
      <c r="L3359">
        <v>8.32</v>
      </c>
      <c r="M3359" t="s">
        <v>14207</v>
      </c>
      <c r="N3359" t="s">
        <v>12194</v>
      </c>
      <c r="O3359" t="s">
        <v>11948</v>
      </c>
      <c r="P3359" t="s">
        <v>14208</v>
      </c>
      <c r="Q3359">
        <v>-188.8</v>
      </c>
      <c r="R3359" t="s">
        <v>338</v>
      </c>
      <c r="S3359">
        <v>0.09</v>
      </c>
      <c r="T3359">
        <v>8.0500000000000007</v>
      </c>
      <c r="U3359" t="s">
        <v>14209</v>
      </c>
      <c r="V3359" t="s">
        <v>5980</v>
      </c>
      <c r="W3359" t="s">
        <v>1114</v>
      </c>
      <c r="X3359">
        <v>-1.07</v>
      </c>
      <c r="Y3359" t="s">
        <v>434</v>
      </c>
      <c r="Z3359" t="s">
        <v>5782</v>
      </c>
      <c r="AA3359" t="s">
        <v>3120</v>
      </c>
      <c r="AB3359">
        <v>1.48</v>
      </c>
      <c r="AC3359" t="s">
        <v>12834</v>
      </c>
      <c r="AD3359">
        <v>26.98</v>
      </c>
      <c r="AE3359" t="s">
        <v>3316</v>
      </c>
      <c r="AF3359">
        <v>2.44</v>
      </c>
      <c r="AG3359">
        <v>0</v>
      </c>
      <c r="AH3359">
        <v>0</v>
      </c>
      <c r="AI3359" s="4">
        <v>35893</v>
      </c>
    </row>
    <row r="3360" spans="1:35">
      <c r="A3360">
        <v>3359</v>
      </c>
      <c r="B3360" t="str">
        <f>"600241"</f>
        <v>600241</v>
      </c>
      <c r="C3360" t="s">
        <v>14210</v>
      </c>
      <c r="D3360" s="4">
        <v>43190</v>
      </c>
      <c r="E3360" t="s">
        <v>205</v>
      </c>
      <c r="F3360" t="s">
        <v>95</v>
      </c>
      <c r="G3360" t="s">
        <v>892</v>
      </c>
      <c r="H3360">
        <v>-0.05</v>
      </c>
      <c r="I3360">
        <v>4.82</v>
      </c>
      <c r="J3360">
        <v>-1.08</v>
      </c>
      <c r="K3360" t="s">
        <v>4871</v>
      </c>
      <c r="L3360">
        <v>16.78</v>
      </c>
      <c r="M3360" t="s">
        <v>13560</v>
      </c>
      <c r="N3360" t="s">
        <v>14211</v>
      </c>
      <c r="O3360" t="s">
        <v>10430</v>
      </c>
      <c r="P3360" t="s">
        <v>14212</v>
      </c>
      <c r="Q3360">
        <v>-81.56</v>
      </c>
      <c r="R3360" t="s">
        <v>6956</v>
      </c>
      <c r="S3360">
        <v>0.01</v>
      </c>
      <c r="T3360">
        <v>17.5</v>
      </c>
      <c r="U3360" t="s">
        <v>426</v>
      </c>
      <c r="V3360" t="s">
        <v>50</v>
      </c>
      <c r="W3360" t="s">
        <v>2132</v>
      </c>
      <c r="X3360">
        <v>-1.08</v>
      </c>
      <c r="Y3360" t="s">
        <v>1082</v>
      </c>
      <c r="Z3360" t="s">
        <v>2421</v>
      </c>
      <c r="AA3360" t="s">
        <v>120</v>
      </c>
      <c r="AB3360">
        <v>1.48</v>
      </c>
      <c r="AC3360" t="s">
        <v>173</v>
      </c>
      <c r="AD3360">
        <v>52.03</v>
      </c>
      <c r="AE3360" t="s">
        <v>602</v>
      </c>
      <c r="AF3360">
        <v>3.72</v>
      </c>
      <c r="AG3360">
        <v>0</v>
      </c>
      <c r="AH3360">
        <v>0</v>
      </c>
      <c r="AI3360" s="4">
        <v>36858</v>
      </c>
    </row>
    <row r="3361" spans="1:35">
      <c r="A3361">
        <v>3360</v>
      </c>
      <c r="B3361" t="str">
        <f>"300591"</f>
        <v>300591</v>
      </c>
      <c r="C3361" t="s">
        <v>14213</v>
      </c>
      <c r="D3361" s="4">
        <v>43190</v>
      </c>
      <c r="E3361" t="s">
        <v>2551</v>
      </c>
      <c r="F3361" t="s">
        <v>600</v>
      </c>
      <c r="G3361">
        <v>4608</v>
      </c>
      <c r="H3361">
        <v>-0.02</v>
      </c>
      <c r="I3361">
        <v>1.45</v>
      </c>
      <c r="J3361">
        <v>-1.08</v>
      </c>
      <c r="K3361" t="s">
        <v>14214</v>
      </c>
      <c r="L3361">
        <v>28.74</v>
      </c>
      <c r="M3361" t="s">
        <v>14215</v>
      </c>
      <c r="N3361">
        <v>0</v>
      </c>
      <c r="O3361" t="s">
        <v>14216</v>
      </c>
      <c r="P3361" t="s">
        <v>13242</v>
      </c>
      <c r="Q3361">
        <v>-106.42</v>
      </c>
      <c r="R3361" t="s">
        <v>2368</v>
      </c>
      <c r="S3361">
        <v>0.1</v>
      </c>
      <c r="T3361">
        <v>24.58</v>
      </c>
      <c r="U3361" t="s">
        <v>1496</v>
      </c>
      <c r="V3361" t="s">
        <v>3544</v>
      </c>
      <c r="W3361" t="s">
        <v>2069</v>
      </c>
      <c r="X3361">
        <v>-1.08</v>
      </c>
      <c r="Y3361" t="s">
        <v>3471</v>
      </c>
      <c r="Z3361" t="s">
        <v>3471</v>
      </c>
      <c r="AA3361">
        <v>0</v>
      </c>
      <c r="AB3361">
        <v>4.46</v>
      </c>
      <c r="AC3361" t="s">
        <v>153</v>
      </c>
      <c r="AD3361">
        <v>44.31</v>
      </c>
      <c r="AE3361" t="s">
        <v>14217</v>
      </c>
      <c r="AF3361">
        <v>0.31</v>
      </c>
      <c r="AG3361">
        <v>0</v>
      </c>
      <c r="AH3361">
        <v>0</v>
      </c>
      <c r="AI3361" s="4">
        <v>42745</v>
      </c>
    </row>
    <row r="3362" spans="1:35">
      <c r="A3362">
        <v>3361</v>
      </c>
      <c r="B3362" t="str">
        <f>"300152"</f>
        <v>300152</v>
      </c>
      <c r="C3362" t="s">
        <v>14218</v>
      </c>
      <c r="D3362" s="4">
        <v>43190</v>
      </c>
      <c r="E3362" t="s">
        <v>2454</v>
      </c>
      <c r="F3362" t="s">
        <v>2454</v>
      </c>
      <c r="G3362" t="s">
        <v>4747</v>
      </c>
      <c r="H3362">
        <v>-0.02</v>
      </c>
      <c r="I3362">
        <v>1.94</v>
      </c>
      <c r="J3362">
        <v>-1.08</v>
      </c>
      <c r="K3362" t="s">
        <v>14219</v>
      </c>
      <c r="L3362">
        <v>-62.35</v>
      </c>
      <c r="M3362" t="s">
        <v>14220</v>
      </c>
      <c r="N3362" t="s">
        <v>11132</v>
      </c>
      <c r="O3362" t="s">
        <v>14221</v>
      </c>
      <c r="P3362" t="s">
        <v>14222</v>
      </c>
      <c r="Q3362">
        <v>-156.9</v>
      </c>
      <c r="R3362" t="s">
        <v>1626</v>
      </c>
      <c r="S3362">
        <v>0.16</v>
      </c>
      <c r="T3362">
        <v>13.45</v>
      </c>
      <c r="U3362" t="s">
        <v>733</v>
      </c>
      <c r="V3362" t="s">
        <v>115</v>
      </c>
      <c r="W3362" t="s">
        <v>203</v>
      </c>
      <c r="X3362">
        <v>-1.08</v>
      </c>
      <c r="Y3362" t="s">
        <v>646</v>
      </c>
      <c r="Z3362" t="s">
        <v>538</v>
      </c>
      <c r="AA3362" t="s">
        <v>3441</v>
      </c>
      <c r="AB3362">
        <v>1.39</v>
      </c>
      <c r="AC3362" t="s">
        <v>176</v>
      </c>
      <c r="AD3362">
        <v>43.26</v>
      </c>
      <c r="AE3362" t="s">
        <v>169</v>
      </c>
      <c r="AF3362">
        <v>0.71</v>
      </c>
      <c r="AG3362">
        <v>0</v>
      </c>
      <c r="AH3362">
        <v>0</v>
      </c>
      <c r="AI3362" s="4">
        <v>40541</v>
      </c>
    </row>
    <row r="3363" spans="1:35">
      <c r="A3363">
        <v>3362</v>
      </c>
      <c r="B3363" t="str">
        <f>"600481"</f>
        <v>600481</v>
      </c>
      <c r="C3363" t="s">
        <v>14223</v>
      </c>
      <c r="D3363" s="4">
        <v>43190</v>
      </c>
      <c r="E3363" t="s">
        <v>76</v>
      </c>
      <c r="F3363" t="s">
        <v>1062</v>
      </c>
      <c r="G3363" t="s">
        <v>1613</v>
      </c>
      <c r="H3363">
        <v>-0.01</v>
      </c>
      <c r="I3363">
        <v>1.27</v>
      </c>
      <c r="J3363">
        <v>-1.1000000000000001</v>
      </c>
      <c r="K3363" t="s">
        <v>1594</v>
      </c>
      <c r="L3363">
        <v>8.84</v>
      </c>
      <c r="M3363" t="s">
        <v>14224</v>
      </c>
      <c r="N3363" t="s">
        <v>5529</v>
      </c>
      <c r="O3363" t="s">
        <v>14225</v>
      </c>
      <c r="P3363" t="s">
        <v>14226</v>
      </c>
      <c r="Q3363">
        <v>-87.33</v>
      </c>
      <c r="R3363" t="s">
        <v>6772</v>
      </c>
      <c r="S3363">
        <v>0.05</v>
      </c>
      <c r="T3363">
        <v>25.41</v>
      </c>
      <c r="U3363" t="s">
        <v>3562</v>
      </c>
      <c r="V3363" t="s">
        <v>239</v>
      </c>
      <c r="W3363" t="s">
        <v>988</v>
      </c>
      <c r="X3363">
        <v>-1.1000000000000001</v>
      </c>
      <c r="Y3363" t="s">
        <v>747</v>
      </c>
      <c r="Z3363" t="s">
        <v>747</v>
      </c>
      <c r="AA3363" t="s">
        <v>9495</v>
      </c>
      <c r="AB3363">
        <v>2.4300000000000002</v>
      </c>
      <c r="AC3363" t="s">
        <v>1843</v>
      </c>
      <c r="AD3363">
        <v>56.46</v>
      </c>
      <c r="AE3363" t="s">
        <v>6187</v>
      </c>
      <c r="AF3363">
        <v>0.01</v>
      </c>
      <c r="AG3363">
        <v>0</v>
      </c>
      <c r="AH3363">
        <v>0</v>
      </c>
      <c r="AI3363" s="4">
        <v>37733</v>
      </c>
    </row>
    <row r="3364" spans="1:35">
      <c r="A3364">
        <v>3363</v>
      </c>
      <c r="B3364" t="str">
        <f>"002015"</f>
        <v>002015</v>
      </c>
      <c r="C3364" t="s">
        <v>14227</v>
      </c>
      <c r="D3364" s="4">
        <v>43190</v>
      </c>
      <c r="E3364" t="s">
        <v>241</v>
      </c>
      <c r="F3364" t="s">
        <v>241</v>
      </c>
      <c r="G3364" t="s">
        <v>11281</v>
      </c>
      <c r="H3364">
        <v>-0.01</v>
      </c>
      <c r="I3364">
        <v>0.73</v>
      </c>
      <c r="J3364">
        <v>-1.1000000000000001</v>
      </c>
      <c r="K3364" t="s">
        <v>5623</v>
      </c>
      <c r="L3364">
        <v>50.98</v>
      </c>
      <c r="M3364" t="s">
        <v>13950</v>
      </c>
      <c r="N3364">
        <v>0</v>
      </c>
      <c r="O3364" t="s">
        <v>13882</v>
      </c>
      <c r="P3364" t="s">
        <v>14228</v>
      </c>
      <c r="Q3364">
        <v>46.32</v>
      </c>
      <c r="R3364" t="s">
        <v>14229</v>
      </c>
      <c r="S3364">
        <v>-2.83</v>
      </c>
      <c r="T3364">
        <v>1.62</v>
      </c>
      <c r="U3364" t="s">
        <v>90</v>
      </c>
      <c r="V3364" t="s">
        <v>2733</v>
      </c>
      <c r="W3364" t="s">
        <v>11110</v>
      </c>
      <c r="X3364">
        <v>-1.1000000000000001</v>
      </c>
      <c r="Y3364" t="s">
        <v>7780</v>
      </c>
      <c r="Z3364" t="s">
        <v>7780</v>
      </c>
      <c r="AA3364">
        <v>0</v>
      </c>
      <c r="AB3364">
        <v>6.4</v>
      </c>
      <c r="AC3364" t="s">
        <v>205</v>
      </c>
      <c r="AD3364">
        <v>90.22</v>
      </c>
      <c r="AE3364" t="s">
        <v>1094</v>
      </c>
      <c r="AF3364">
        <v>2.52</v>
      </c>
      <c r="AG3364">
        <v>0</v>
      </c>
      <c r="AH3364">
        <v>0</v>
      </c>
      <c r="AI3364" s="4">
        <v>38176</v>
      </c>
    </row>
    <row r="3365" spans="1:35">
      <c r="A3365">
        <v>3364</v>
      </c>
      <c r="B3365" t="str">
        <f>"601069"</f>
        <v>601069</v>
      </c>
      <c r="C3365" t="s">
        <v>14230</v>
      </c>
      <c r="D3365" s="4">
        <v>43190</v>
      </c>
      <c r="E3365" t="s">
        <v>2295</v>
      </c>
      <c r="F3365" t="s">
        <v>2295</v>
      </c>
      <c r="G3365">
        <v>8300</v>
      </c>
      <c r="H3365">
        <v>-0.03</v>
      </c>
      <c r="I3365">
        <v>2.6</v>
      </c>
      <c r="J3365">
        <v>-1.1100000000000001</v>
      </c>
      <c r="K3365" t="s">
        <v>136</v>
      </c>
      <c r="L3365">
        <v>-50.64</v>
      </c>
      <c r="M3365" t="s">
        <v>14231</v>
      </c>
      <c r="N3365" t="s">
        <v>14232</v>
      </c>
      <c r="O3365" t="s">
        <v>2435</v>
      </c>
      <c r="P3365" t="s">
        <v>14233</v>
      </c>
      <c r="Q3365">
        <v>-134.47</v>
      </c>
      <c r="R3365" t="s">
        <v>1563</v>
      </c>
      <c r="S3365">
        <v>0.68</v>
      </c>
      <c r="T3365">
        <v>16.88</v>
      </c>
      <c r="U3365" t="s">
        <v>223</v>
      </c>
      <c r="V3365" t="s">
        <v>1518</v>
      </c>
      <c r="W3365" t="s">
        <v>602</v>
      </c>
      <c r="X3365">
        <v>-1.1100000000000001</v>
      </c>
      <c r="Y3365" t="s">
        <v>496</v>
      </c>
      <c r="Z3365" t="s">
        <v>1058</v>
      </c>
      <c r="AA3365" t="s">
        <v>505</v>
      </c>
      <c r="AB3365">
        <v>7.7</v>
      </c>
      <c r="AC3365" t="s">
        <v>298</v>
      </c>
      <c r="AD3365">
        <v>68.77</v>
      </c>
      <c r="AE3365" t="s">
        <v>1012</v>
      </c>
      <c r="AF3365">
        <v>0.8</v>
      </c>
      <c r="AG3365">
        <v>0</v>
      </c>
      <c r="AH3365">
        <v>0</v>
      </c>
      <c r="AI3365" s="4">
        <v>42026</v>
      </c>
    </row>
    <row r="3366" spans="1:35">
      <c r="A3366">
        <v>3365</v>
      </c>
      <c r="B3366" t="str">
        <f>"002096"</f>
        <v>002096</v>
      </c>
      <c r="C3366" t="s">
        <v>14234</v>
      </c>
      <c r="D3366" s="4">
        <v>43190</v>
      </c>
      <c r="E3366" t="s">
        <v>1968</v>
      </c>
      <c r="F3366" t="s">
        <v>1968</v>
      </c>
      <c r="G3366" t="s">
        <v>5615</v>
      </c>
      <c r="H3366">
        <v>-0.06</v>
      </c>
      <c r="I3366">
        <v>5.3</v>
      </c>
      <c r="J3366">
        <v>-1.1100000000000001</v>
      </c>
      <c r="K3366" t="s">
        <v>137</v>
      </c>
      <c r="L3366">
        <v>-43.78</v>
      </c>
      <c r="M3366" t="s">
        <v>14235</v>
      </c>
      <c r="N3366" t="s">
        <v>5690</v>
      </c>
      <c r="O3366" t="s">
        <v>14185</v>
      </c>
      <c r="P3366" t="s">
        <v>14236</v>
      </c>
      <c r="Q3366">
        <v>-26.45</v>
      </c>
      <c r="R3366" t="s">
        <v>5061</v>
      </c>
      <c r="S3366">
        <v>2.48</v>
      </c>
      <c r="T3366">
        <v>27.45</v>
      </c>
      <c r="U3366" t="s">
        <v>230</v>
      </c>
      <c r="V3366" t="s">
        <v>1843</v>
      </c>
      <c r="W3366" t="s">
        <v>4953</v>
      </c>
      <c r="X3366">
        <v>-1.1100000000000001</v>
      </c>
      <c r="Y3366" t="s">
        <v>702</v>
      </c>
      <c r="Z3366" t="s">
        <v>1343</v>
      </c>
      <c r="AA3366" t="s">
        <v>368</v>
      </c>
      <c r="AB3366">
        <v>1.25</v>
      </c>
      <c r="AC3366" t="s">
        <v>1284</v>
      </c>
      <c r="AD3366">
        <v>50.05</v>
      </c>
      <c r="AE3366" t="s">
        <v>506</v>
      </c>
      <c r="AF3366">
        <v>1.5</v>
      </c>
      <c r="AG3366">
        <v>0</v>
      </c>
      <c r="AH3366">
        <v>0</v>
      </c>
      <c r="AI3366" s="4">
        <v>39073</v>
      </c>
    </row>
    <row r="3367" spans="1:35">
      <c r="A3367">
        <v>3366</v>
      </c>
      <c r="B3367" t="str">
        <f>"000663"</f>
        <v>000663</v>
      </c>
      <c r="C3367" t="s">
        <v>14237</v>
      </c>
      <c r="D3367" s="4">
        <v>43190</v>
      </c>
      <c r="E3367" t="s">
        <v>1074</v>
      </c>
      <c r="F3367" t="s">
        <v>1860</v>
      </c>
      <c r="G3367">
        <v>7314</v>
      </c>
      <c r="H3367">
        <v>-7.0000000000000007E-2</v>
      </c>
      <c r="I3367">
        <v>6.32</v>
      </c>
      <c r="J3367">
        <v>-1.1100000000000001</v>
      </c>
      <c r="K3367" t="s">
        <v>2360</v>
      </c>
      <c r="L3367">
        <v>-35.770000000000003</v>
      </c>
      <c r="M3367" t="s">
        <v>14220</v>
      </c>
      <c r="N3367" t="s">
        <v>14238</v>
      </c>
      <c r="O3367" t="s">
        <v>14033</v>
      </c>
      <c r="P3367" t="s">
        <v>14239</v>
      </c>
      <c r="Q3367">
        <v>-38.81</v>
      </c>
      <c r="R3367" t="s">
        <v>1597</v>
      </c>
      <c r="S3367">
        <v>0.52</v>
      </c>
      <c r="T3367">
        <v>13.1</v>
      </c>
      <c r="U3367" t="s">
        <v>369</v>
      </c>
      <c r="V3367" t="s">
        <v>510</v>
      </c>
      <c r="W3367" t="s">
        <v>4009</v>
      </c>
      <c r="X3367">
        <v>-1.1100000000000001</v>
      </c>
      <c r="Y3367" t="s">
        <v>516</v>
      </c>
      <c r="Z3367" t="s">
        <v>983</v>
      </c>
      <c r="AA3367" t="s">
        <v>478</v>
      </c>
      <c r="AB3367">
        <v>1.1499999999999999</v>
      </c>
      <c r="AC3367" t="s">
        <v>114</v>
      </c>
      <c r="AD3367">
        <v>52.98</v>
      </c>
      <c r="AE3367" t="s">
        <v>50</v>
      </c>
      <c r="AF3367">
        <v>4.72</v>
      </c>
      <c r="AG3367">
        <v>0</v>
      </c>
      <c r="AH3367">
        <v>0</v>
      </c>
      <c r="AI3367" s="4">
        <v>35405</v>
      </c>
    </row>
    <row r="3368" spans="1:35">
      <c r="A3368">
        <v>3367</v>
      </c>
      <c r="B3368" t="str">
        <f>"002163"</f>
        <v>002163</v>
      </c>
      <c r="C3368" t="s">
        <v>14240</v>
      </c>
      <c r="D3368" s="4">
        <v>43190</v>
      </c>
      <c r="E3368" t="s">
        <v>2984</v>
      </c>
      <c r="F3368" t="s">
        <v>3157</v>
      </c>
      <c r="G3368" t="s">
        <v>974</v>
      </c>
      <c r="H3368">
        <v>-0.01</v>
      </c>
      <c r="I3368">
        <v>0.87</v>
      </c>
      <c r="J3368">
        <v>-1.1200000000000001</v>
      </c>
      <c r="K3368" t="s">
        <v>699</v>
      </c>
      <c r="L3368">
        <v>39.24</v>
      </c>
      <c r="M3368" t="s">
        <v>14241</v>
      </c>
      <c r="N3368" t="s">
        <v>14242</v>
      </c>
      <c r="O3368" t="s">
        <v>14243</v>
      </c>
      <c r="P3368" t="s">
        <v>14244</v>
      </c>
      <c r="Q3368">
        <v>60.94</v>
      </c>
      <c r="R3368" t="s">
        <v>14245</v>
      </c>
      <c r="S3368">
        <v>-0.92</v>
      </c>
      <c r="T3368">
        <v>12.75</v>
      </c>
      <c r="U3368" t="s">
        <v>1667</v>
      </c>
      <c r="V3368" t="s">
        <v>426</v>
      </c>
      <c r="W3368" t="s">
        <v>389</v>
      </c>
      <c r="X3368">
        <v>-1.1200000000000001</v>
      </c>
      <c r="Y3368" t="s">
        <v>2167</v>
      </c>
      <c r="Z3368" t="s">
        <v>1677</v>
      </c>
      <c r="AA3368" t="s">
        <v>101</v>
      </c>
      <c r="AB3368">
        <v>5.7</v>
      </c>
      <c r="AC3368" t="s">
        <v>489</v>
      </c>
      <c r="AD3368">
        <v>10.78</v>
      </c>
      <c r="AE3368" t="s">
        <v>3324</v>
      </c>
      <c r="AF3368">
        <v>0.71</v>
      </c>
      <c r="AG3368">
        <v>0</v>
      </c>
      <c r="AH3368">
        <v>0</v>
      </c>
      <c r="AI3368" s="4">
        <v>39317</v>
      </c>
    </row>
    <row r="3369" spans="1:35">
      <c r="A3369">
        <v>3368</v>
      </c>
      <c r="B3369" t="str">
        <f>"000536"</f>
        <v>000536</v>
      </c>
      <c r="C3369" t="s">
        <v>14246</v>
      </c>
      <c r="D3369" s="4">
        <v>43190</v>
      </c>
      <c r="E3369" t="s">
        <v>450</v>
      </c>
      <c r="F3369" t="s">
        <v>1000</v>
      </c>
      <c r="G3369" t="s">
        <v>6362</v>
      </c>
      <c r="H3369">
        <v>-0.05</v>
      </c>
      <c r="I3369">
        <v>4.34</v>
      </c>
      <c r="J3369">
        <v>-1.1200000000000001</v>
      </c>
      <c r="K3369" t="s">
        <v>354</v>
      </c>
      <c r="L3369">
        <v>9.1300000000000008</v>
      </c>
      <c r="M3369" t="s">
        <v>13119</v>
      </c>
      <c r="N3369">
        <v>0</v>
      </c>
      <c r="O3369" t="s">
        <v>14247</v>
      </c>
      <c r="P3369" t="s">
        <v>14248</v>
      </c>
      <c r="Q3369">
        <v>-356.51</v>
      </c>
      <c r="R3369" t="s">
        <v>1001</v>
      </c>
      <c r="S3369">
        <v>0.03</v>
      </c>
      <c r="T3369">
        <v>6.83</v>
      </c>
      <c r="U3369" t="s">
        <v>1385</v>
      </c>
      <c r="V3369" t="s">
        <v>1086</v>
      </c>
      <c r="W3369" t="s">
        <v>3824</v>
      </c>
      <c r="X3369">
        <v>-1.1200000000000001</v>
      </c>
      <c r="Y3369" t="s">
        <v>14249</v>
      </c>
      <c r="Z3369" t="s">
        <v>2014</v>
      </c>
      <c r="AA3369" t="s">
        <v>2753</v>
      </c>
      <c r="AB3369">
        <v>0.63</v>
      </c>
      <c r="AC3369" t="s">
        <v>841</v>
      </c>
      <c r="AD3369">
        <v>55.31</v>
      </c>
      <c r="AE3369" t="s">
        <v>731</v>
      </c>
      <c r="AF3369">
        <v>3.11</v>
      </c>
      <c r="AG3369">
        <v>0</v>
      </c>
      <c r="AH3369">
        <v>0</v>
      </c>
      <c r="AI3369" s="4">
        <v>34299</v>
      </c>
    </row>
    <row r="3370" spans="1:35">
      <c r="A3370">
        <v>3369</v>
      </c>
      <c r="B3370" t="str">
        <f>"002791"</f>
        <v>002791</v>
      </c>
      <c r="C3370" t="s">
        <v>14250</v>
      </c>
      <c r="D3370" s="4">
        <v>43190</v>
      </c>
      <c r="E3370" t="s">
        <v>1320</v>
      </c>
      <c r="F3370" t="s">
        <v>5743</v>
      </c>
      <c r="G3370">
        <v>3833</v>
      </c>
      <c r="H3370">
        <v>-0.09</v>
      </c>
      <c r="I3370">
        <v>7.94</v>
      </c>
      <c r="J3370">
        <v>-1.1299999999999999</v>
      </c>
      <c r="K3370" t="s">
        <v>4279</v>
      </c>
      <c r="L3370">
        <v>14.52</v>
      </c>
      <c r="M3370" t="s">
        <v>14251</v>
      </c>
      <c r="N3370" t="s">
        <v>3260</v>
      </c>
      <c r="O3370" t="s">
        <v>14252</v>
      </c>
      <c r="P3370" t="s">
        <v>14253</v>
      </c>
      <c r="Q3370">
        <v>-1147.81</v>
      </c>
      <c r="R3370" t="s">
        <v>613</v>
      </c>
      <c r="S3370">
        <v>3.51</v>
      </c>
      <c r="T3370">
        <v>37.68</v>
      </c>
      <c r="U3370" t="s">
        <v>638</v>
      </c>
      <c r="V3370" t="s">
        <v>253</v>
      </c>
      <c r="W3370" t="s">
        <v>943</v>
      </c>
      <c r="X3370">
        <v>-1.1299999999999999</v>
      </c>
      <c r="Y3370" t="s">
        <v>690</v>
      </c>
      <c r="Z3370" t="s">
        <v>4760</v>
      </c>
      <c r="AA3370" t="s">
        <v>10983</v>
      </c>
      <c r="AB3370">
        <v>1.53</v>
      </c>
      <c r="AC3370" t="s">
        <v>512</v>
      </c>
      <c r="AD3370">
        <v>78.040000000000006</v>
      </c>
      <c r="AE3370" t="s">
        <v>4514</v>
      </c>
      <c r="AF3370">
        <v>3.04</v>
      </c>
      <c r="AG3370">
        <v>0</v>
      </c>
      <c r="AH3370">
        <v>0</v>
      </c>
      <c r="AI3370" s="4">
        <v>42458</v>
      </c>
    </row>
    <row r="3371" spans="1:35">
      <c r="A3371">
        <v>3370</v>
      </c>
      <c r="B3371" t="str">
        <f>"002609"</f>
        <v>002609</v>
      </c>
      <c r="C3371" t="s">
        <v>14254</v>
      </c>
      <c r="D3371" s="4">
        <v>43190</v>
      </c>
      <c r="E3371" t="s">
        <v>1117</v>
      </c>
      <c r="F3371" t="s">
        <v>1461</v>
      </c>
      <c r="G3371" t="s">
        <v>2305</v>
      </c>
      <c r="H3371">
        <v>-0.04</v>
      </c>
      <c r="I3371">
        <v>3.35</v>
      </c>
      <c r="J3371">
        <v>-1.1299999999999999</v>
      </c>
      <c r="K3371" t="s">
        <v>14255</v>
      </c>
      <c r="L3371">
        <v>-34.17</v>
      </c>
      <c r="M3371" t="s">
        <v>14256</v>
      </c>
      <c r="N3371">
        <v>0</v>
      </c>
      <c r="O3371" t="s">
        <v>14257</v>
      </c>
      <c r="P3371" t="s">
        <v>14258</v>
      </c>
      <c r="Q3371">
        <v>-382.85</v>
      </c>
      <c r="R3371" t="s">
        <v>442</v>
      </c>
      <c r="S3371">
        <v>0.63</v>
      </c>
      <c r="T3371">
        <v>16.32</v>
      </c>
      <c r="U3371" t="s">
        <v>774</v>
      </c>
      <c r="V3371" t="s">
        <v>1284</v>
      </c>
      <c r="W3371" t="s">
        <v>198</v>
      </c>
      <c r="X3371">
        <v>-1.1299999999999999</v>
      </c>
      <c r="Y3371" t="s">
        <v>193</v>
      </c>
      <c r="Z3371" t="s">
        <v>863</v>
      </c>
      <c r="AA3371" t="s">
        <v>11214</v>
      </c>
      <c r="AB3371">
        <v>2.85</v>
      </c>
      <c r="AC3371" t="s">
        <v>1029</v>
      </c>
      <c r="AD3371">
        <v>90.63</v>
      </c>
      <c r="AE3371" t="s">
        <v>323</v>
      </c>
      <c r="AF3371">
        <v>1.67</v>
      </c>
      <c r="AG3371">
        <v>0</v>
      </c>
      <c r="AH3371">
        <v>0</v>
      </c>
      <c r="AI3371" s="4">
        <v>40770</v>
      </c>
    </row>
    <row r="3372" spans="1:35">
      <c r="A3372">
        <v>3371</v>
      </c>
      <c r="B3372" t="str">
        <f>"002134"</f>
        <v>002134</v>
      </c>
      <c r="C3372" t="s">
        <v>14259</v>
      </c>
      <c r="D3372" s="4">
        <v>43190</v>
      </c>
      <c r="E3372" t="s">
        <v>219</v>
      </c>
      <c r="F3372" t="s">
        <v>219</v>
      </c>
      <c r="G3372" t="s">
        <v>3215</v>
      </c>
      <c r="H3372">
        <v>-0.02</v>
      </c>
      <c r="I3372">
        <v>1.76</v>
      </c>
      <c r="J3372">
        <v>-1.1299999999999999</v>
      </c>
      <c r="K3372" t="s">
        <v>651</v>
      </c>
      <c r="L3372">
        <v>7.53</v>
      </c>
      <c r="M3372" t="s">
        <v>14260</v>
      </c>
      <c r="N3372" t="s">
        <v>9498</v>
      </c>
      <c r="O3372" t="s">
        <v>14261</v>
      </c>
      <c r="P3372" t="s">
        <v>14215</v>
      </c>
      <c r="Q3372">
        <v>14.06</v>
      </c>
      <c r="R3372" t="s">
        <v>11018</v>
      </c>
      <c r="S3372">
        <v>-0.55000000000000004</v>
      </c>
      <c r="T3372">
        <v>7.93</v>
      </c>
      <c r="U3372" t="s">
        <v>1491</v>
      </c>
      <c r="V3372" t="s">
        <v>1048</v>
      </c>
      <c r="W3372" t="s">
        <v>262</v>
      </c>
      <c r="X3372">
        <v>-1.1299999999999999</v>
      </c>
      <c r="Y3372" t="s">
        <v>1264</v>
      </c>
      <c r="Z3372" t="s">
        <v>748</v>
      </c>
      <c r="AA3372" t="s">
        <v>6089</v>
      </c>
      <c r="AB3372">
        <v>3.57</v>
      </c>
      <c r="AC3372" t="s">
        <v>704</v>
      </c>
      <c r="AD3372">
        <v>68.53</v>
      </c>
      <c r="AE3372" t="s">
        <v>1206</v>
      </c>
      <c r="AF3372">
        <v>1.23</v>
      </c>
      <c r="AG3372">
        <v>0</v>
      </c>
      <c r="AH3372">
        <v>0</v>
      </c>
      <c r="AI3372" s="4">
        <v>39218</v>
      </c>
    </row>
    <row r="3373" spans="1:35">
      <c r="A3373">
        <v>3372</v>
      </c>
      <c r="B3373" t="str">
        <f>"603990"</f>
        <v>603990</v>
      </c>
      <c r="C3373" t="s">
        <v>14262</v>
      </c>
      <c r="D3373" s="4">
        <v>43190</v>
      </c>
      <c r="E3373" t="s">
        <v>3941</v>
      </c>
      <c r="F3373" t="s">
        <v>684</v>
      </c>
      <c r="G3373">
        <v>9535</v>
      </c>
      <c r="H3373">
        <v>-0.06</v>
      </c>
      <c r="I3373">
        <v>5.1100000000000003</v>
      </c>
      <c r="J3373">
        <v>-1.1399999999999999</v>
      </c>
      <c r="K3373" t="s">
        <v>11518</v>
      </c>
      <c r="L3373">
        <v>9.98</v>
      </c>
      <c r="M3373" t="s">
        <v>14263</v>
      </c>
      <c r="N3373" t="s">
        <v>13574</v>
      </c>
      <c r="O3373" t="s">
        <v>14264</v>
      </c>
      <c r="P3373" t="s">
        <v>9194</v>
      </c>
      <c r="Q3373">
        <v>-55.05</v>
      </c>
      <c r="R3373" t="s">
        <v>1202</v>
      </c>
      <c r="S3373">
        <v>2.0099999999999998</v>
      </c>
      <c r="T3373">
        <v>75.400000000000006</v>
      </c>
      <c r="U3373" t="s">
        <v>3368</v>
      </c>
      <c r="V3373" t="s">
        <v>3726</v>
      </c>
      <c r="W3373" t="s">
        <v>454</v>
      </c>
      <c r="X3373">
        <v>-1.1399999999999999</v>
      </c>
      <c r="Y3373" t="s">
        <v>1457</v>
      </c>
      <c r="Z3373" t="s">
        <v>337</v>
      </c>
      <c r="AA3373" t="s">
        <v>2754</v>
      </c>
      <c r="AB3373">
        <v>6.56</v>
      </c>
      <c r="AC3373" t="s">
        <v>1706</v>
      </c>
      <c r="AD3373">
        <v>71.34</v>
      </c>
      <c r="AE3373" t="s">
        <v>1202</v>
      </c>
      <c r="AF3373">
        <v>2.2000000000000002</v>
      </c>
      <c r="AG3373">
        <v>0</v>
      </c>
      <c r="AH3373">
        <v>0</v>
      </c>
      <c r="AI3373" s="4">
        <v>42712</v>
      </c>
    </row>
    <row r="3374" spans="1:35">
      <c r="A3374">
        <v>3373</v>
      </c>
      <c r="B3374" t="str">
        <f>"000972"</f>
        <v>000972</v>
      </c>
      <c r="C3374" t="s">
        <v>14265</v>
      </c>
      <c r="D3374" s="4">
        <v>43190</v>
      </c>
      <c r="E3374" t="s">
        <v>1957</v>
      </c>
      <c r="F3374" t="s">
        <v>1957</v>
      </c>
      <c r="G3374" t="s">
        <v>3310</v>
      </c>
      <c r="H3374">
        <v>-0.01</v>
      </c>
      <c r="I3374">
        <v>1.1299999999999999</v>
      </c>
      <c r="J3374">
        <v>-1.1399999999999999</v>
      </c>
      <c r="K3374" t="s">
        <v>4024</v>
      </c>
      <c r="L3374">
        <v>-31.3</v>
      </c>
      <c r="M3374" t="s">
        <v>14266</v>
      </c>
      <c r="N3374">
        <v>0</v>
      </c>
      <c r="O3374" t="s">
        <v>14267</v>
      </c>
      <c r="P3374" t="s">
        <v>13788</v>
      </c>
      <c r="Q3374">
        <v>51.84</v>
      </c>
      <c r="R3374" t="s">
        <v>12722</v>
      </c>
      <c r="S3374">
        <v>-1.39</v>
      </c>
      <c r="T3374">
        <v>30.26</v>
      </c>
      <c r="U3374" t="s">
        <v>242</v>
      </c>
      <c r="V3374" t="s">
        <v>1033</v>
      </c>
      <c r="W3374" t="s">
        <v>561</v>
      </c>
      <c r="X3374">
        <v>-1.1399999999999999</v>
      </c>
      <c r="Y3374" t="s">
        <v>584</v>
      </c>
      <c r="Z3374" t="s">
        <v>1384</v>
      </c>
      <c r="AA3374" t="s">
        <v>8913</v>
      </c>
      <c r="AB3374">
        <v>3.23</v>
      </c>
      <c r="AC3374" t="s">
        <v>7960</v>
      </c>
      <c r="AD3374">
        <v>37.299999999999997</v>
      </c>
      <c r="AE3374" t="s">
        <v>295</v>
      </c>
      <c r="AF3374">
        <v>1.39</v>
      </c>
      <c r="AG3374">
        <v>0</v>
      </c>
      <c r="AH3374">
        <v>0</v>
      </c>
      <c r="AI3374" s="4">
        <v>36795</v>
      </c>
    </row>
    <row r="3375" spans="1:35">
      <c r="A3375">
        <v>3374</v>
      </c>
      <c r="B3375" t="str">
        <f>"300449"</f>
        <v>300449</v>
      </c>
      <c r="C3375" t="s">
        <v>14268</v>
      </c>
      <c r="D3375" s="4">
        <v>43190</v>
      </c>
      <c r="E3375" t="s">
        <v>845</v>
      </c>
      <c r="F3375" t="s">
        <v>14269</v>
      </c>
      <c r="G3375">
        <v>5379</v>
      </c>
      <c r="H3375">
        <v>-0.09</v>
      </c>
      <c r="I3375">
        <v>7.66</v>
      </c>
      <c r="J3375">
        <v>-1.1499999999999999</v>
      </c>
      <c r="K3375" t="s">
        <v>1503</v>
      </c>
      <c r="L3375">
        <v>-33.15</v>
      </c>
      <c r="M3375" t="s">
        <v>14270</v>
      </c>
      <c r="N3375">
        <v>0</v>
      </c>
      <c r="O3375" t="s">
        <v>14271</v>
      </c>
      <c r="P3375" t="s">
        <v>14271</v>
      </c>
      <c r="Q3375">
        <v>10.65</v>
      </c>
      <c r="R3375" t="s">
        <v>1511</v>
      </c>
      <c r="S3375">
        <v>1.76</v>
      </c>
      <c r="T3375">
        <v>22.43</v>
      </c>
      <c r="U3375" t="s">
        <v>646</v>
      </c>
      <c r="V3375" t="s">
        <v>521</v>
      </c>
      <c r="W3375" t="s">
        <v>4048</v>
      </c>
      <c r="X3375">
        <v>-1.1499999999999999</v>
      </c>
      <c r="Y3375" t="s">
        <v>269</v>
      </c>
      <c r="Z3375" t="s">
        <v>269</v>
      </c>
      <c r="AA3375">
        <v>0</v>
      </c>
      <c r="AB3375">
        <v>2.1800000000000002</v>
      </c>
      <c r="AC3375" t="s">
        <v>250</v>
      </c>
      <c r="AD3375">
        <v>69.34</v>
      </c>
      <c r="AE3375" t="s">
        <v>2790</v>
      </c>
      <c r="AF3375">
        <v>5.0199999999999996</v>
      </c>
      <c r="AG3375">
        <v>0</v>
      </c>
      <c r="AH3375">
        <v>0</v>
      </c>
      <c r="AI3375" s="4">
        <v>42116</v>
      </c>
    </row>
    <row r="3376" spans="1:35">
      <c r="A3376">
        <v>3375</v>
      </c>
      <c r="B3376" t="str">
        <f>"000626"</f>
        <v>000626</v>
      </c>
      <c r="C3376" t="s">
        <v>14272</v>
      </c>
      <c r="D3376" s="4">
        <v>43190</v>
      </c>
      <c r="E3376" t="s">
        <v>2580</v>
      </c>
      <c r="F3376" t="s">
        <v>338</v>
      </c>
      <c r="G3376" t="s">
        <v>4389</v>
      </c>
      <c r="H3376">
        <v>-0.05</v>
      </c>
      <c r="I3376">
        <v>4.21</v>
      </c>
      <c r="J3376">
        <v>-1.1499999999999999</v>
      </c>
      <c r="K3376" t="s">
        <v>899</v>
      </c>
      <c r="L3376">
        <v>-36.79</v>
      </c>
      <c r="M3376" t="s">
        <v>14273</v>
      </c>
      <c r="N3376" t="s">
        <v>12443</v>
      </c>
      <c r="O3376" t="s">
        <v>14274</v>
      </c>
      <c r="P3376" t="s">
        <v>14275</v>
      </c>
      <c r="Q3376">
        <v>-130.44</v>
      </c>
      <c r="R3376" t="s">
        <v>116</v>
      </c>
      <c r="S3376">
        <v>1.1499999999999999</v>
      </c>
      <c r="T3376">
        <v>0.6</v>
      </c>
      <c r="U3376" t="s">
        <v>1498</v>
      </c>
      <c r="V3376" t="s">
        <v>2797</v>
      </c>
      <c r="W3376" t="s">
        <v>1010</v>
      </c>
      <c r="X3376">
        <v>-1.1499999999999999</v>
      </c>
      <c r="Y3376" t="s">
        <v>952</v>
      </c>
      <c r="Z3376" t="s">
        <v>1819</v>
      </c>
      <c r="AA3376" t="s">
        <v>181</v>
      </c>
      <c r="AB3376">
        <v>1.56</v>
      </c>
      <c r="AC3376" t="s">
        <v>1347</v>
      </c>
      <c r="AD3376">
        <v>33.299999999999997</v>
      </c>
      <c r="AE3376" t="s">
        <v>548</v>
      </c>
      <c r="AF3376">
        <v>2.0699999999999998</v>
      </c>
      <c r="AG3376">
        <v>0</v>
      </c>
      <c r="AH3376">
        <v>0</v>
      </c>
      <c r="AI3376" s="4">
        <v>35397</v>
      </c>
    </row>
    <row r="3377" spans="1:35">
      <c r="A3377">
        <v>3376</v>
      </c>
      <c r="B3377" t="str">
        <f>"000019"</f>
        <v>000019</v>
      </c>
      <c r="C3377" t="s">
        <v>14276</v>
      </c>
      <c r="D3377" s="4">
        <v>43190</v>
      </c>
      <c r="E3377" t="s">
        <v>3374</v>
      </c>
      <c r="F3377" t="s">
        <v>104</v>
      </c>
      <c r="G3377">
        <v>0</v>
      </c>
      <c r="H3377">
        <v>-0.02</v>
      </c>
      <c r="I3377">
        <v>1.88</v>
      </c>
      <c r="J3377">
        <v>-1.1499999999999999</v>
      </c>
      <c r="K3377" t="s">
        <v>14277</v>
      </c>
      <c r="L3377">
        <v>-3.83</v>
      </c>
      <c r="M3377" t="s">
        <v>14278</v>
      </c>
      <c r="N3377" t="s">
        <v>14279</v>
      </c>
      <c r="O3377" t="s">
        <v>14280</v>
      </c>
      <c r="P3377" t="s">
        <v>14281</v>
      </c>
      <c r="Q3377">
        <v>-9.07</v>
      </c>
      <c r="R3377" t="s">
        <v>5181</v>
      </c>
      <c r="S3377">
        <v>0.05</v>
      </c>
      <c r="T3377">
        <v>25.31</v>
      </c>
      <c r="U3377" t="s">
        <v>919</v>
      </c>
      <c r="V3377" t="s">
        <v>1018</v>
      </c>
      <c r="W3377" t="s">
        <v>3441</v>
      </c>
      <c r="X3377">
        <v>-1.1499999999999999</v>
      </c>
      <c r="Y3377" t="s">
        <v>220</v>
      </c>
      <c r="Z3377" t="s">
        <v>14282</v>
      </c>
      <c r="AA3377" t="s">
        <v>8207</v>
      </c>
      <c r="AB3377">
        <v>5.66</v>
      </c>
      <c r="AC3377" t="s">
        <v>6052</v>
      </c>
      <c r="AD3377">
        <v>90.09</v>
      </c>
      <c r="AE3377" t="s">
        <v>1359</v>
      </c>
      <c r="AF3377">
        <v>0.72</v>
      </c>
      <c r="AG3377" t="s">
        <v>14283</v>
      </c>
      <c r="AH3377">
        <v>0</v>
      </c>
      <c r="AI3377" s="4">
        <v>33889</v>
      </c>
    </row>
    <row r="3378" spans="1:35">
      <c r="A3378">
        <v>3377</v>
      </c>
      <c r="B3378" t="str">
        <f>"002452"</f>
        <v>002452</v>
      </c>
      <c r="C3378" t="s">
        <v>14284</v>
      </c>
      <c r="D3378" s="4">
        <v>43190</v>
      </c>
      <c r="E3378" t="s">
        <v>5842</v>
      </c>
      <c r="F3378" t="s">
        <v>1324</v>
      </c>
      <c r="G3378">
        <v>8524</v>
      </c>
      <c r="H3378">
        <v>-0.03</v>
      </c>
      <c r="I3378">
        <v>2.5299999999999998</v>
      </c>
      <c r="J3378">
        <v>-1.1599999999999999</v>
      </c>
      <c r="K3378" t="s">
        <v>2069</v>
      </c>
      <c r="L3378">
        <v>-13.16</v>
      </c>
      <c r="M3378" t="s">
        <v>14285</v>
      </c>
      <c r="N3378" t="s">
        <v>14286</v>
      </c>
      <c r="O3378" t="s">
        <v>14287</v>
      </c>
      <c r="P3378" t="s">
        <v>14288</v>
      </c>
      <c r="Q3378">
        <v>-182.28</v>
      </c>
      <c r="R3378" t="s">
        <v>97</v>
      </c>
      <c r="S3378">
        <v>0.94</v>
      </c>
      <c r="T3378">
        <v>19.53</v>
      </c>
      <c r="U3378" t="s">
        <v>725</v>
      </c>
      <c r="V3378" t="s">
        <v>119</v>
      </c>
      <c r="W3378" t="s">
        <v>593</v>
      </c>
      <c r="X3378">
        <v>-1.1599999999999999</v>
      </c>
      <c r="Y3378" t="s">
        <v>350</v>
      </c>
      <c r="Z3378" t="s">
        <v>895</v>
      </c>
      <c r="AA3378" t="s">
        <v>1359</v>
      </c>
      <c r="AB3378">
        <v>1.53</v>
      </c>
      <c r="AC3378" t="s">
        <v>1214</v>
      </c>
      <c r="AD3378">
        <v>49.32</v>
      </c>
      <c r="AE3378" t="s">
        <v>531</v>
      </c>
      <c r="AF3378">
        <v>0.46</v>
      </c>
      <c r="AG3378">
        <v>0</v>
      </c>
      <c r="AH3378">
        <v>0</v>
      </c>
      <c r="AI3378" s="4">
        <v>40379</v>
      </c>
    </row>
    <row r="3379" spans="1:35">
      <c r="A3379">
        <v>3378</v>
      </c>
      <c r="B3379" t="str">
        <f>"600159"</f>
        <v>600159</v>
      </c>
      <c r="C3379" t="s">
        <v>14289</v>
      </c>
      <c r="D3379" s="4">
        <v>43190</v>
      </c>
      <c r="E3379" t="s">
        <v>1415</v>
      </c>
      <c r="F3379" t="s">
        <v>1415</v>
      </c>
      <c r="G3379" t="s">
        <v>5531</v>
      </c>
      <c r="H3379">
        <v>-0.03</v>
      </c>
      <c r="I3379">
        <v>2.62</v>
      </c>
      <c r="J3379">
        <v>-1.17</v>
      </c>
      <c r="K3379" t="s">
        <v>7082</v>
      </c>
      <c r="L3379">
        <v>-77.150000000000006</v>
      </c>
      <c r="M3379" t="s">
        <v>14290</v>
      </c>
      <c r="N3379">
        <v>0</v>
      </c>
      <c r="O3379" t="s">
        <v>14291</v>
      </c>
      <c r="P3379" t="s">
        <v>14292</v>
      </c>
      <c r="Q3379">
        <v>-47.78</v>
      </c>
      <c r="R3379" t="s">
        <v>1368</v>
      </c>
      <c r="S3379">
        <v>1.17</v>
      </c>
      <c r="T3379">
        <v>13.22</v>
      </c>
      <c r="U3379" t="s">
        <v>2283</v>
      </c>
      <c r="V3379" t="s">
        <v>1205</v>
      </c>
      <c r="W3379" t="s">
        <v>14293</v>
      </c>
      <c r="X3379">
        <v>-1.17</v>
      </c>
      <c r="Y3379" t="s">
        <v>1223</v>
      </c>
      <c r="Z3379" t="s">
        <v>1976</v>
      </c>
      <c r="AA3379" t="s">
        <v>802</v>
      </c>
      <c r="AB3379">
        <v>1.02</v>
      </c>
      <c r="AC3379" t="s">
        <v>2568</v>
      </c>
      <c r="AD3379">
        <v>65.53</v>
      </c>
      <c r="AE3379" t="s">
        <v>3482</v>
      </c>
      <c r="AF3379">
        <v>0.41</v>
      </c>
      <c r="AG3379">
        <v>0</v>
      </c>
      <c r="AH3379">
        <v>0</v>
      </c>
      <c r="AI3379" s="4">
        <v>35941</v>
      </c>
    </row>
    <row r="3380" spans="1:35">
      <c r="A3380">
        <v>3379</v>
      </c>
      <c r="B3380" t="str">
        <f>"300364"</f>
        <v>300364</v>
      </c>
      <c r="C3380" t="s">
        <v>14294</v>
      </c>
      <c r="D3380" s="4">
        <v>43190</v>
      </c>
      <c r="E3380" t="s">
        <v>1979</v>
      </c>
      <c r="F3380" t="s">
        <v>128</v>
      </c>
      <c r="G3380">
        <v>8530</v>
      </c>
      <c r="H3380">
        <v>-0.04</v>
      </c>
      <c r="I3380">
        <v>3.4</v>
      </c>
      <c r="J3380">
        <v>-1.17</v>
      </c>
      <c r="K3380" t="s">
        <v>1016</v>
      </c>
      <c r="L3380">
        <v>36.32</v>
      </c>
      <c r="M3380" t="s">
        <v>14295</v>
      </c>
      <c r="N3380" t="s">
        <v>8452</v>
      </c>
      <c r="O3380" t="s">
        <v>14296</v>
      </c>
      <c r="P3380" t="s">
        <v>14297</v>
      </c>
      <c r="Q3380">
        <v>-254.08</v>
      </c>
      <c r="R3380" t="s">
        <v>94</v>
      </c>
      <c r="S3380">
        <v>0.31</v>
      </c>
      <c r="T3380">
        <v>36.65</v>
      </c>
      <c r="U3380" t="s">
        <v>1546</v>
      </c>
      <c r="V3380" t="s">
        <v>1644</v>
      </c>
      <c r="W3380" t="s">
        <v>4839</v>
      </c>
      <c r="X3380">
        <v>-1.17</v>
      </c>
      <c r="Y3380" t="s">
        <v>81</v>
      </c>
      <c r="Z3380" t="s">
        <v>219</v>
      </c>
      <c r="AA3380" t="s">
        <v>5983</v>
      </c>
      <c r="AB3380">
        <v>2.0699999999999998</v>
      </c>
      <c r="AC3380" t="s">
        <v>1785</v>
      </c>
      <c r="AD3380">
        <v>90.62</v>
      </c>
      <c r="AE3380" t="s">
        <v>820</v>
      </c>
      <c r="AF3380">
        <v>2.19</v>
      </c>
      <c r="AG3380">
        <v>0</v>
      </c>
      <c r="AH3380">
        <v>0</v>
      </c>
      <c r="AI3380" s="4">
        <v>42025</v>
      </c>
    </row>
    <row r="3381" spans="1:35">
      <c r="A3381">
        <v>3380</v>
      </c>
      <c r="B3381" t="str">
        <f>"600209"</f>
        <v>600209</v>
      </c>
      <c r="C3381" t="s">
        <v>14298</v>
      </c>
      <c r="D3381" s="4">
        <v>43190</v>
      </c>
      <c r="E3381" t="s">
        <v>142</v>
      </c>
      <c r="F3381" t="s">
        <v>142</v>
      </c>
      <c r="G3381">
        <v>8990</v>
      </c>
      <c r="H3381">
        <v>-0.02</v>
      </c>
      <c r="I3381">
        <v>1.39</v>
      </c>
      <c r="J3381">
        <v>-1.18</v>
      </c>
      <c r="K3381" t="s">
        <v>12461</v>
      </c>
      <c r="L3381">
        <v>67.89</v>
      </c>
      <c r="M3381" t="s">
        <v>5204</v>
      </c>
      <c r="N3381" t="s">
        <v>14299</v>
      </c>
      <c r="O3381" t="s">
        <v>13485</v>
      </c>
      <c r="P3381" t="s">
        <v>14300</v>
      </c>
      <c r="Q3381">
        <v>-9.3800000000000008</v>
      </c>
      <c r="R3381" t="s">
        <v>10103</v>
      </c>
      <c r="S3381">
        <v>0.05</v>
      </c>
      <c r="T3381">
        <v>15.8</v>
      </c>
      <c r="U3381" t="s">
        <v>1415</v>
      </c>
      <c r="V3381" t="s">
        <v>415</v>
      </c>
      <c r="W3381" t="s">
        <v>1936</v>
      </c>
      <c r="X3381">
        <v>-1.18</v>
      </c>
      <c r="Y3381" t="s">
        <v>452</v>
      </c>
      <c r="Z3381" t="s">
        <v>452</v>
      </c>
      <c r="AA3381">
        <v>0</v>
      </c>
      <c r="AB3381">
        <v>3.84</v>
      </c>
      <c r="AC3381" t="s">
        <v>2674</v>
      </c>
      <c r="AD3381">
        <v>73.650000000000006</v>
      </c>
      <c r="AE3381" t="s">
        <v>1626</v>
      </c>
      <c r="AF3381">
        <v>0.27</v>
      </c>
      <c r="AG3381">
        <v>0</v>
      </c>
      <c r="AH3381">
        <v>0</v>
      </c>
      <c r="AI3381" s="4">
        <v>36244</v>
      </c>
    </row>
    <row r="3382" spans="1:35">
      <c r="A3382">
        <v>3381</v>
      </c>
      <c r="B3382" t="str">
        <f>"600733"</f>
        <v>600733</v>
      </c>
      <c r="C3382" t="s">
        <v>14301</v>
      </c>
      <c r="D3382" s="4">
        <v>43190</v>
      </c>
      <c r="E3382" t="s">
        <v>148</v>
      </c>
      <c r="F3382" t="s">
        <v>4190</v>
      </c>
      <c r="G3382">
        <v>5635</v>
      </c>
      <c r="H3382">
        <v>-0.01</v>
      </c>
      <c r="I3382">
        <v>0.96</v>
      </c>
      <c r="J3382">
        <v>-1.18</v>
      </c>
      <c r="K3382" t="s">
        <v>14302</v>
      </c>
      <c r="L3382">
        <v>-97.94</v>
      </c>
      <c r="M3382" t="s">
        <v>14303</v>
      </c>
      <c r="N3382" t="s">
        <v>6747</v>
      </c>
      <c r="O3382" t="s">
        <v>14304</v>
      </c>
      <c r="P3382" t="s">
        <v>11880</v>
      </c>
      <c r="Q3382">
        <v>-729.82</v>
      </c>
      <c r="R3382" t="s">
        <v>14305</v>
      </c>
      <c r="S3382">
        <v>-0.43</v>
      </c>
      <c r="T3382">
        <v>0</v>
      </c>
      <c r="U3382" t="s">
        <v>2665</v>
      </c>
      <c r="V3382" t="s">
        <v>144</v>
      </c>
      <c r="W3382" t="s">
        <v>7148</v>
      </c>
      <c r="X3382">
        <v>-1.18</v>
      </c>
      <c r="Y3382" t="s">
        <v>3111</v>
      </c>
      <c r="Z3382" t="s">
        <v>1119</v>
      </c>
      <c r="AA3382" t="s">
        <v>7514</v>
      </c>
      <c r="AB3382">
        <v>54.71</v>
      </c>
      <c r="AC3382" t="s">
        <v>2123</v>
      </c>
      <c r="AD3382">
        <v>50.18</v>
      </c>
      <c r="AE3382" t="s">
        <v>5900</v>
      </c>
      <c r="AF3382">
        <v>0.37</v>
      </c>
      <c r="AG3382">
        <v>0</v>
      </c>
      <c r="AH3382">
        <v>0</v>
      </c>
      <c r="AI3382" s="4">
        <v>35293</v>
      </c>
    </row>
    <row r="3383" spans="1:35">
      <c r="A3383">
        <v>3382</v>
      </c>
      <c r="B3383" t="str">
        <f>"300354"</f>
        <v>300354</v>
      </c>
      <c r="C3383" t="s">
        <v>14306</v>
      </c>
      <c r="D3383" s="4">
        <v>43190</v>
      </c>
      <c r="E3383" t="s">
        <v>711</v>
      </c>
      <c r="F3383" t="s">
        <v>14307</v>
      </c>
      <c r="G3383">
        <v>6476</v>
      </c>
      <c r="H3383">
        <v>-0.03</v>
      </c>
      <c r="I3383">
        <v>2.48</v>
      </c>
      <c r="J3383">
        <v>-1.19</v>
      </c>
      <c r="K3383" t="s">
        <v>12487</v>
      </c>
      <c r="L3383">
        <v>-25.41</v>
      </c>
      <c r="M3383" t="s">
        <v>14308</v>
      </c>
      <c r="N3383" t="s">
        <v>11189</v>
      </c>
      <c r="O3383" t="s">
        <v>14309</v>
      </c>
      <c r="P3383" t="s">
        <v>13108</v>
      </c>
      <c r="Q3383">
        <v>3.85</v>
      </c>
      <c r="R3383" t="s">
        <v>14310</v>
      </c>
      <c r="S3383">
        <v>0.56000000000000005</v>
      </c>
      <c r="T3383">
        <v>62.33</v>
      </c>
      <c r="U3383" t="s">
        <v>3259</v>
      </c>
      <c r="V3383" t="s">
        <v>935</v>
      </c>
      <c r="W3383" t="s">
        <v>677</v>
      </c>
      <c r="X3383">
        <v>-1.19</v>
      </c>
      <c r="Y3383" t="s">
        <v>14311</v>
      </c>
      <c r="Z3383" t="s">
        <v>4140</v>
      </c>
      <c r="AA3383" t="s">
        <v>10265</v>
      </c>
      <c r="AB3383">
        <v>3.71</v>
      </c>
      <c r="AC3383" t="s">
        <v>2041</v>
      </c>
      <c r="AD3383">
        <v>90.17</v>
      </c>
      <c r="AE3383" t="s">
        <v>804</v>
      </c>
      <c r="AF3383">
        <v>0.8</v>
      </c>
      <c r="AG3383">
        <v>0</v>
      </c>
      <c r="AH3383">
        <v>0</v>
      </c>
      <c r="AI3383" s="4">
        <v>41172</v>
      </c>
    </row>
    <row r="3384" spans="1:35">
      <c r="A3384">
        <v>3383</v>
      </c>
      <c r="B3384" t="str">
        <f>"000023"</f>
        <v>000023</v>
      </c>
      <c r="C3384" t="s">
        <v>14312</v>
      </c>
      <c r="D3384" s="4">
        <v>43190</v>
      </c>
      <c r="E3384" t="s">
        <v>657</v>
      </c>
      <c r="F3384" t="s">
        <v>657</v>
      </c>
      <c r="G3384" t="s">
        <v>779</v>
      </c>
      <c r="H3384">
        <v>-0.04</v>
      </c>
      <c r="I3384">
        <v>2.94</v>
      </c>
      <c r="J3384">
        <v>-1.19</v>
      </c>
      <c r="K3384" t="s">
        <v>492</v>
      </c>
      <c r="L3384">
        <v>13.45</v>
      </c>
      <c r="M3384" t="s">
        <v>14313</v>
      </c>
      <c r="N3384" t="s">
        <v>2023</v>
      </c>
      <c r="O3384" t="s">
        <v>14314</v>
      </c>
      <c r="P3384" t="s">
        <v>14315</v>
      </c>
      <c r="Q3384">
        <v>-146.18</v>
      </c>
      <c r="R3384" t="s">
        <v>1627</v>
      </c>
      <c r="S3384">
        <v>0.83</v>
      </c>
      <c r="T3384">
        <v>6.99</v>
      </c>
      <c r="U3384" t="s">
        <v>980</v>
      </c>
      <c r="V3384" t="s">
        <v>1244</v>
      </c>
      <c r="W3384" t="s">
        <v>1974</v>
      </c>
      <c r="X3384">
        <v>-1.19</v>
      </c>
      <c r="Y3384" t="s">
        <v>971</v>
      </c>
      <c r="Z3384" t="s">
        <v>971</v>
      </c>
      <c r="AA3384" t="s">
        <v>9387</v>
      </c>
      <c r="AB3384">
        <v>4.6500000000000004</v>
      </c>
      <c r="AC3384" t="s">
        <v>48</v>
      </c>
      <c r="AD3384">
        <v>22.11</v>
      </c>
      <c r="AE3384" t="s">
        <v>197</v>
      </c>
      <c r="AF3384">
        <v>0.74</v>
      </c>
      <c r="AG3384">
        <v>0</v>
      </c>
      <c r="AH3384">
        <v>0</v>
      </c>
      <c r="AI3384" s="4">
        <v>34088</v>
      </c>
    </row>
    <row r="3385" spans="1:35">
      <c r="A3385">
        <v>3384</v>
      </c>
      <c r="B3385" t="str">
        <f>"300197"</f>
        <v>300197</v>
      </c>
      <c r="C3385" t="s">
        <v>14316</v>
      </c>
      <c r="D3385" s="4">
        <v>43190</v>
      </c>
      <c r="E3385" t="s">
        <v>2291</v>
      </c>
      <c r="F3385" t="s">
        <v>80</v>
      </c>
      <c r="G3385" t="s">
        <v>168</v>
      </c>
      <c r="H3385">
        <v>-0.03</v>
      </c>
      <c r="I3385">
        <v>2.6</v>
      </c>
      <c r="J3385">
        <v>-1.2</v>
      </c>
      <c r="K3385" t="s">
        <v>1025</v>
      </c>
      <c r="L3385">
        <v>69.8</v>
      </c>
      <c r="M3385" t="s">
        <v>14317</v>
      </c>
      <c r="N3385" t="s">
        <v>14318</v>
      </c>
      <c r="O3385" t="s">
        <v>14319</v>
      </c>
      <c r="P3385" t="s">
        <v>49</v>
      </c>
      <c r="Q3385">
        <v>-1667.8</v>
      </c>
      <c r="R3385" t="s">
        <v>389</v>
      </c>
      <c r="S3385">
        <v>0.81</v>
      </c>
      <c r="T3385">
        <v>25.87</v>
      </c>
      <c r="U3385" t="s">
        <v>2004</v>
      </c>
      <c r="V3385" t="s">
        <v>580</v>
      </c>
      <c r="W3385" t="s">
        <v>2264</v>
      </c>
      <c r="X3385">
        <v>-1.2</v>
      </c>
      <c r="Y3385" t="s">
        <v>1453</v>
      </c>
      <c r="Z3385" t="s">
        <v>900</v>
      </c>
      <c r="AA3385" t="s">
        <v>3571</v>
      </c>
      <c r="AB3385">
        <v>2.06</v>
      </c>
      <c r="AC3385" t="s">
        <v>1160</v>
      </c>
      <c r="AD3385">
        <v>28.6</v>
      </c>
      <c r="AE3385" t="s">
        <v>826</v>
      </c>
      <c r="AF3385">
        <v>0.7</v>
      </c>
      <c r="AG3385">
        <v>0</v>
      </c>
      <c r="AH3385">
        <v>0</v>
      </c>
      <c r="AI3385" s="4">
        <v>40631</v>
      </c>
    </row>
    <row r="3386" spans="1:35">
      <c r="A3386">
        <v>3385</v>
      </c>
      <c r="B3386" t="str">
        <f>"002569"</f>
        <v>002569</v>
      </c>
      <c r="C3386" t="s">
        <v>14320</v>
      </c>
      <c r="D3386" s="4">
        <v>43190</v>
      </c>
      <c r="E3386" t="s">
        <v>1974</v>
      </c>
      <c r="F3386" t="s">
        <v>1974</v>
      </c>
      <c r="G3386">
        <v>7525</v>
      </c>
      <c r="H3386">
        <v>-0.04</v>
      </c>
      <c r="I3386">
        <v>3.47</v>
      </c>
      <c r="J3386">
        <v>-1.2</v>
      </c>
      <c r="K3386" t="s">
        <v>322</v>
      </c>
      <c r="L3386">
        <v>55.75</v>
      </c>
      <c r="M3386" t="s">
        <v>14321</v>
      </c>
      <c r="N3386">
        <v>0</v>
      </c>
      <c r="O3386" t="s">
        <v>14321</v>
      </c>
      <c r="P3386" t="s">
        <v>14322</v>
      </c>
      <c r="Q3386">
        <v>31.29</v>
      </c>
      <c r="R3386" t="s">
        <v>14215</v>
      </c>
      <c r="S3386">
        <v>-0.04</v>
      </c>
      <c r="T3386">
        <v>29.85</v>
      </c>
      <c r="U3386" t="s">
        <v>5080</v>
      </c>
      <c r="V3386" t="s">
        <v>1806</v>
      </c>
      <c r="W3386" t="s">
        <v>12531</v>
      </c>
      <c r="X3386">
        <v>-1.2</v>
      </c>
      <c r="Y3386" t="s">
        <v>698</v>
      </c>
      <c r="Z3386" t="s">
        <v>698</v>
      </c>
      <c r="AA3386">
        <v>0</v>
      </c>
      <c r="AB3386">
        <v>4.37</v>
      </c>
      <c r="AC3386" t="s">
        <v>1436</v>
      </c>
      <c r="AD3386">
        <v>72.19</v>
      </c>
      <c r="AE3386" t="s">
        <v>301</v>
      </c>
      <c r="AF3386">
        <v>2.2799999999999998</v>
      </c>
      <c r="AG3386">
        <v>0</v>
      </c>
      <c r="AH3386">
        <v>0</v>
      </c>
      <c r="AI3386" s="4">
        <v>40645</v>
      </c>
    </row>
    <row r="3387" spans="1:35">
      <c r="A3387">
        <v>3386</v>
      </c>
      <c r="B3387" t="str">
        <f>"300085"</f>
        <v>300085</v>
      </c>
      <c r="C3387" t="s">
        <v>14323</v>
      </c>
      <c r="D3387" s="4">
        <v>43190</v>
      </c>
      <c r="E3387" t="s">
        <v>1770</v>
      </c>
      <c r="F3387" t="s">
        <v>2590</v>
      </c>
      <c r="G3387">
        <v>8360</v>
      </c>
      <c r="H3387">
        <v>-0.02</v>
      </c>
      <c r="I3387">
        <v>1.85</v>
      </c>
      <c r="J3387">
        <v>-1.21</v>
      </c>
      <c r="K3387" t="s">
        <v>1664</v>
      </c>
      <c r="L3387">
        <v>30.08</v>
      </c>
      <c r="M3387" t="s">
        <v>14324</v>
      </c>
      <c r="N3387" t="s">
        <v>14325</v>
      </c>
      <c r="O3387" t="s">
        <v>14326</v>
      </c>
      <c r="P3387" t="s">
        <v>14327</v>
      </c>
      <c r="Q3387">
        <v>-332.58</v>
      </c>
      <c r="R3387" t="s">
        <v>975</v>
      </c>
      <c r="S3387">
        <v>0.28999999999999998</v>
      </c>
      <c r="T3387">
        <v>33.76</v>
      </c>
      <c r="U3387" t="s">
        <v>1875</v>
      </c>
      <c r="V3387" t="s">
        <v>164</v>
      </c>
      <c r="W3387" t="s">
        <v>12073</v>
      </c>
      <c r="X3387">
        <v>-1.21</v>
      </c>
      <c r="Y3387" t="s">
        <v>125</v>
      </c>
      <c r="Z3387" t="s">
        <v>1408</v>
      </c>
      <c r="AA3387" t="s">
        <v>193</v>
      </c>
      <c r="AB3387">
        <v>7.19</v>
      </c>
      <c r="AC3387" t="s">
        <v>840</v>
      </c>
      <c r="AD3387">
        <v>59.21</v>
      </c>
      <c r="AE3387" t="s">
        <v>156</v>
      </c>
      <c r="AF3387">
        <v>0.53</v>
      </c>
      <c r="AG3387">
        <v>0</v>
      </c>
      <c r="AH3387">
        <v>0</v>
      </c>
      <c r="AI3387" s="4">
        <v>40324</v>
      </c>
    </row>
    <row r="3388" spans="1:35">
      <c r="A3388">
        <v>3387</v>
      </c>
      <c r="B3388" t="str">
        <f>"000721"</f>
        <v>000721</v>
      </c>
      <c r="C3388" t="s">
        <v>14328</v>
      </c>
      <c r="D3388" s="4">
        <v>43190</v>
      </c>
      <c r="E3388" t="s">
        <v>2789</v>
      </c>
      <c r="F3388" t="s">
        <v>346</v>
      </c>
      <c r="G3388">
        <v>7410</v>
      </c>
      <c r="H3388">
        <v>-0.02</v>
      </c>
      <c r="I3388">
        <v>1.31</v>
      </c>
      <c r="J3388">
        <v>-1.21</v>
      </c>
      <c r="K3388" t="s">
        <v>280</v>
      </c>
      <c r="L3388">
        <v>0.12</v>
      </c>
      <c r="M3388" t="s">
        <v>14329</v>
      </c>
      <c r="N3388">
        <v>0</v>
      </c>
      <c r="O3388" t="s">
        <v>14330</v>
      </c>
      <c r="P3388" t="s">
        <v>14331</v>
      </c>
      <c r="Q3388">
        <v>6.69</v>
      </c>
      <c r="R3388" t="s">
        <v>5451</v>
      </c>
      <c r="S3388">
        <v>0.1</v>
      </c>
      <c r="T3388">
        <v>31.05</v>
      </c>
      <c r="U3388" t="s">
        <v>521</v>
      </c>
      <c r="V3388" t="s">
        <v>335</v>
      </c>
      <c r="W3388" t="s">
        <v>3441</v>
      </c>
      <c r="X3388">
        <v>-1.21</v>
      </c>
      <c r="Y3388" t="s">
        <v>2468</v>
      </c>
      <c r="Z3388" t="s">
        <v>1364</v>
      </c>
      <c r="AA3388" t="s">
        <v>1839</v>
      </c>
      <c r="AB3388">
        <v>2.86</v>
      </c>
      <c r="AC3388" t="s">
        <v>846</v>
      </c>
      <c r="AD3388">
        <v>61.93</v>
      </c>
      <c r="AE3388" t="s">
        <v>14332</v>
      </c>
      <c r="AF3388">
        <v>0.11</v>
      </c>
      <c r="AG3388">
        <v>0</v>
      </c>
      <c r="AH3388">
        <v>0</v>
      </c>
      <c r="AI3388" s="4">
        <v>35550</v>
      </c>
    </row>
    <row r="3389" spans="1:35">
      <c r="A3389">
        <v>3388</v>
      </c>
      <c r="B3389" t="str">
        <f>"300201"</f>
        <v>300201</v>
      </c>
      <c r="C3389" t="s">
        <v>14333</v>
      </c>
      <c r="D3389" s="4">
        <v>43190</v>
      </c>
      <c r="E3389" t="s">
        <v>919</v>
      </c>
      <c r="F3389" t="s">
        <v>1589</v>
      </c>
      <c r="G3389" t="s">
        <v>1422</v>
      </c>
      <c r="H3389">
        <v>-0.02</v>
      </c>
      <c r="I3389">
        <v>1.43</v>
      </c>
      <c r="J3389">
        <v>-1.22</v>
      </c>
      <c r="K3389" t="s">
        <v>2123</v>
      </c>
      <c r="L3389">
        <v>-29.66</v>
      </c>
      <c r="M3389" t="s">
        <v>13784</v>
      </c>
      <c r="N3389" t="s">
        <v>14334</v>
      </c>
      <c r="O3389" t="s">
        <v>14335</v>
      </c>
      <c r="P3389" t="s">
        <v>14336</v>
      </c>
      <c r="Q3389">
        <v>-1263.81</v>
      </c>
      <c r="R3389" t="s">
        <v>678</v>
      </c>
      <c r="S3389">
        <v>0.3</v>
      </c>
      <c r="T3389">
        <v>23.55</v>
      </c>
      <c r="U3389" t="s">
        <v>1386</v>
      </c>
      <c r="V3389" t="s">
        <v>646</v>
      </c>
      <c r="W3389" t="s">
        <v>3119</v>
      </c>
      <c r="X3389">
        <v>-1.22</v>
      </c>
      <c r="Y3389" t="s">
        <v>1033</v>
      </c>
      <c r="Z3389" t="s">
        <v>1084</v>
      </c>
      <c r="AA3389" t="s">
        <v>1435</v>
      </c>
      <c r="AB3389">
        <v>3.43</v>
      </c>
      <c r="AC3389" t="s">
        <v>547</v>
      </c>
      <c r="AD3389">
        <v>55.76</v>
      </c>
      <c r="AE3389" t="s">
        <v>86</v>
      </c>
      <c r="AF3389">
        <v>0.12</v>
      </c>
      <c r="AG3389">
        <v>0</v>
      </c>
      <c r="AH3389">
        <v>0</v>
      </c>
      <c r="AI3389" s="4">
        <v>40640</v>
      </c>
    </row>
    <row r="3390" spans="1:35">
      <c r="A3390">
        <v>3389</v>
      </c>
      <c r="B3390" t="str">
        <f>"002227"</f>
        <v>002227</v>
      </c>
      <c r="C3390" t="s">
        <v>14337</v>
      </c>
      <c r="D3390" s="4">
        <v>43190</v>
      </c>
      <c r="E3390" t="s">
        <v>682</v>
      </c>
      <c r="F3390" t="s">
        <v>1004</v>
      </c>
      <c r="G3390">
        <v>6580</v>
      </c>
      <c r="H3390">
        <v>-0.04</v>
      </c>
      <c r="I3390">
        <v>3.59</v>
      </c>
      <c r="J3390">
        <v>-1.23</v>
      </c>
      <c r="K3390" t="s">
        <v>11472</v>
      </c>
      <c r="L3390">
        <v>-9.89</v>
      </c>
      <c r="M3390" t="s">
        <v>14338</v>
      </c>
      <c r="N3390">
        <v>0</v>
      </c>
      <c r="O3390" t="s">
        <v>14339</v>
      </c>
      <c r="P3390" t="s">
        <v>13361</v>
      </c>
      <c r="Q3390">
        <v>-31.66</v>
      </c>
      <c r="R3390" t="s">
        <v>3768</v>
      </c>
      <c r="S3390">
        <v>0.89</v>
      </c>
      <c r="T3390">
        <v>34.51</v>
      </c>
      <c r="U3390" t="s">
        <v>919</v>
      </c>
      <c r="V3390" t="s">
        <v>1849</v>
      </c>
      <c r="W3390" t="s">
        <v>45</v>
      </c>
      <c r="X3390">
        <v>-1.23</v>
      </c>
      <c r="Y3390" t="s">
        <v>474</v>
      </c>
      <c r="Z3390" t="s">
        <v>1287</v>
      </c>
      <c r="AA3390" t="s">
        <v>14340</v>
      </c>
      <c r="AB3390">
        <v>3.7</v>
      </c>
      <c r="AC3390" t="s">
        <v>2380</v>
      </c>
      <c r="AD3390">
        <v>76.44</v>
      </c>
      <c r="AE3390" t="s">
        <v>121</v>
      </c>
      <c r="AF3390">
        <v>1.42</v>
      </c>
      <c r="AG3390">
        <v>0</v>
      </c>
      <c r="AH3390">
        <v>0</v>
      </c>
      <c r="AI3390" s="4">
        <v>39574</v>
      </c>
    </row>
    <row r="3391" spans="1:35">
      <c r="A3391">
        <v>3390</v>
      </c>
      <c r="B3391" t="str">
        <f>"002858"</f>
        <v>002858</v>
      </c>
      <c r="C3391" t="s">
        <v>14341</v>
      </c>
      <c r="D3391" s="4">
        <v>43190</v>
      </c>
      <c r="E3391" t="s">
        <v>322</v>
      </c>
      <c r="F3391" t="s">
        <v>6305</v>
      </c>
      <c r="G3391">
        <v>3101</v>
      </c>
      <c r="H3391">
        <v>-0.04</v>
      </c>
      <c r="I3391">
        <v>3.05</v>
      </c>
      <c r="J3391">
        <v>-1.24</v>
      </c>
      <c r="K3391" t="s">
        <v>11883</v>
      </c>
      <c r="L3391">
        <v>200.95</v>
      </c>
      <c r="M3391" t="s">
        <v>14342</v>
      </c>
      <c r="N3391" t="s">
        <v>12628</v>
      </c>
      <c r="O3391" t="s">
        <v>14343</v>
      </c>
      <c r="P3391" t="s">
        <v>14344</v>
      </c>
      <c r="Q3391">
        <v>15.81</v>
      </c>
      <c r="R3391" t="s">
        <v>1016</v>
      </c>
      <c r="S3391">
        <v>1.04</v>
      </c>
      <c r="T3391">
        <v>9.1300000000000008</v>
      </c>
      <c r="U3391" t="s">
        <v>2112</v>
      </c>
      <c r="V3391" t="s">
        <v>1074</v>
      </c>
      <c r="W3391" t="s">
        <v>14345</v>
      </c>
      <c r="X3391">
        <v>-1.24</v>
      </c>
      <c r="Y3391" t="s">
        <v>6126</v>
      </c>
      <c r="Z3391" t="s">
        <v>6126</v>
      </c>
      <c r="AA3391">
        <v>0</v>
      </c>
      <c r="AB3391">
        <v>5.0999999999999996</v>
      </c>
      <c r="AC3391" t="s">
        <v>133</v>
      </c>
      <c r="AD3391">
        <v>86.04</v>
      </c>
      <c r="AE3391" t="s">
        <v>603</v>
      </c>
      <c r="AF3391">
        <v>0.89</v>
      </c>
      <c r="AG3391">
        <v>0</v>
      </c>
      <c r="AH3391">
        <v>0</v>
      </c>
      <c r="AI3391" s="4">
        <v>42818</v>
      </c>
    </row>
    <row r="3392" spans="1:35">
      <c r="A3392">
        <v>3391</v>
      </c>
      <c r="B3392" t="str">
        <f>"000777"</f>
        <v>000777</v>
      </c>
      <c r="C3392" t="s">
        <v>14346</v>
      </c>
      <c r="D3392" s="4">
        <v>43190</v>
      </c>
      <c r="E3392" t="s">
        <v>1229</v>
      </c>
      <c r="F3392" t="s">
        <v>1229</v>
      </c>
      <c r="G3392">
        <v>4625</v>
      </c>
      <c r="H3392">
        <v>-0.04</v>
      </c>
      <c r="I3392">
        <v>3.29</v>
      </c>
      <c r="J3392">
        <v>-1.24</v>
      </c>
      <c r="K3392" t="s">
        <v>136</v>
      </c>
      <c r="L3392">
        <v>50.27</v>
      </c>
      <c r="M3392" t="s">
        <v>14347</v>
      </c>
      <c r="N3392" t="s">
        <v>7133</v>
      </c>
      <c r="O3392" t="s">
        <v>14348</v>
      </c>
      <c r="P3392" t="s">
        <v>14349</v>
      </c>
      <c r="Q3392">
        <v>-17.47</v>
      </c>
      <c r="R3392" t="s">
        <v>735</v>
      </c>
      <c r="S3392">
        <v>1.22</v>
      </c>
      <c r="T3392">
        <v>16.07</v>
      </c>
      <c r="U3392" t="s">
        <v>251</v>
      </c>
      <c r="V3392" t="s">
        <v>624</v>
      </c>
      <c r="W3392" t="s">
        <v>1511</v>
      </c>
      <c r="X3392">
        <v>-1.24</v>
      </c>
      <c r="Y3392" t="s">
        <v>285</v>
      </c>
      <c r="Z3392" t="s">
        <v>5203</v>
      </c>
      <c r="AA3392" t="s">
        <v>651</v>
      </c>
      <c r="AB3392">
        <v>2.89</v>
      </c>
      <c r="AC3392" t="s">
        <v>164</v>
      </c>
      <c r="AD3392">
        <v>61.21</v>
      </c>
      <c r="AE3392" t="s">
        <v>3535</v>
      </c>
      <c r="AF3392">
        <v>0.65</v>
      </c>
      <c r="AG3392">
        <v>0</v>
      </c>
      <c r="AH3392">
        <v>0</v>
      </c>
      <c r="AI3392" s="4">
        <v>35621</v>
      </c>
    </row>
    <row r="3393" spans="1:35">
      <c r="A3393">
        <v>3392</v>
      </c>
      <c r="B3393" t="str">
        <f>"300542"</f>
        <v>300542</v>
      </c>
      <c r="C3393" t="s">
        <v>14350</v>
      </c>
      <c r="D3393" s="4">
        <v>43190</v>
      </c>
      <c r="E3393" t="s">
        <v>863</v>
      </c>
      <c r="F3393" t="s">
        <v>14351</v>
      </c>
      <c r="G3393">
        <v>1875</v>
      </c>
      <c r="H3393">
        <v>-0.05</v>
      </c>
      <c r="I3393">
        <v>3.75</v>
      </c>
      <c r="J3393">
        <v>-1.25</v>
      </c>
      <c r="K3393" t="s">
        <v>14352</v>
      </c>
      <c r="L3393">
        <v>4.59</v>
      </c>
      <c r="M3393" t="s">
        <v>14353</v>
      </c>
      <c r="N3393">
        <v>0</v>
      </c>
      <c r="O3393" t="s">
        <v>14353</v>
      </c>
      <c r="P3393" t="s">
        <v>14354</v>
      </c>
      <c r="Q3393">
        <v>-151.08000000000001</v>
      </c>
      <c r="R3393" t="s">
        <v>134</v>
      </c>
      <c r="S3393">
        <v>1.61</v>
      </c>
      <c r="T3393">
        <v>20.34</v>
      </c>
      <c r="U3393" t="s">
        <v>632</v>
      </c>
      <c r="V3393" t="s">
        <v>1567</v>
      </c>
      <c r="W3393" t="s">
        <v>6091</v>
      </c>
      <c r="X3393">
        <v>-1.25</v>
      </c>
      <c r="Y3393" t="s">
        <v>2031</v>
      </c>
      <c r="Z3393" t="s">
        <v>2031</v>
      </c>
      <c r="AA3393" t="s">
        <v>14355</v>
      </c>
      <c r="AB3393">
        <v>4.45</v>
      </c>
      <c r="AC3393" t="s">
        <v>107</v>
      </c>
      <c r="AD3393">
        <v>78.16</v>
      </c>
      <c r="AE3393" t="s">
        <v>1484</v>
      </c>
      <c r="AF3393">
        <v>1.04</v>
      </c>
      <c r="AG3393">
        <v>0</v>
      </c>
      <c r="AH3393">
        <v>0</v>
      </c>
      <c r="AI3393" s="4">
        <v>42633</v>
      </c>
    </row>
    <row r="3394" spans="1:35">
      <c r="A3394">
        <v>3393</v>
      </c>
      <c r="B3394" t="str">
        <f>"002337"</f>
        <v>002337</v>
      </c>
      <c r="C3394" t="s">
        <v>14356</v>
      </c>
      <c r="D3394" s="4">
        <v>43190</v>
      </c>
      <c r="E3394" t="s">
        <v>107</v>
      </c>
      <c r="F3394" t="s">
        <v>105</v>
      </c>
      <c r="G3394">
        <v>7942</v>
      </c>
      <c r="H3394">
        <v>-0.03</v>
      </c>
      <c r="I3394">
        <v>2.0299999999999998</v>
      </c>
      <c r="J3394">
        <v>-1.25</v>
      </c>
      <c r="K3394" t="s">
        <v>8314</v>
      </c>
      <c r="L3394">
        <v>163.41</v>
      </c>
      <c r="M3394" t="s">
        <v>14357</v>
      </c>
      <c r="N3394" t="s">
        <v>14358</v>
      </c>
      <c r="O3394" t="s">
        <v>14359</v>
      </c>
      <c r="P3394" t="s">
        <v>14360</v>
      </c>
      <c r="Q3394">
        <v>-222.11</v>
      </c>
      <c r="R3394" t="s">
        <v>280</v>
      </c>
      <c r="S3394">
        <v>0.19</v>
      </c>
      <c r="T3394">
        <v>31.56</v>
      </c>
      <c r="U3394" t="s">
        <v>1062</v>
      </c>
      <c r="V3394" t="s">
        <v>405</v>
      </c>
      <c r="W3394" t="s">
        <v>1435</v>
      </c>
      <c r="X3394">
        <v>-1.25</v>
      </c>
      <c r="Y3394" t="s">
        <v>1206</v>
      </c>
      <c r="Z3394" t="s">
        <v>958</v>
      </c>
      <c r="AA3394" t="s">
        <v>12536</v>
      </c>
      <c r="AB3394">
        <v>1.52</v>
      </c>
      <c r="AC3394" t="s">
        <v>625</v>
      </c>
      <c r="AD3394">
        <v>73.959999999999994</v>
      </c>
      <c r="AE3394" t="s">
        <v>599</v>
      </c>
      <c r="AF3394">
        <v>0.72</v>
      </c>
      <c r="AG3394">
        <v>0</v>
      </c>
      <c r="AH3394">
        <v>0</v>
      </c>
      <c r="AI3394" s="4">
        <v>40193</v>
      </c>
    </row>
    <row r="3395" spans="1:35">
      <c r="A3395">
        <v>3394</v>
      </c>
      <c r="B3395" t="str">
        <f>"000863"</f>
        <v>000863</v>
      </c>
      <c r="C3395" t="s">
        <v>14361</v>
      </c>
      <c r="D3395" s="4">
        <v>43190</v>
      </c>
      <c r="E3395" t="s">
        <v>176</v>
      </c>
      <c r="F3395" t="s">
        <v>3745</v>
      </c>
      <c r="G3395" t="s">
        <v>387</v>
      </c>
      <c r="H3395">
        <v>-0.06</v>
      </c>
      <c r="I3395">
        <v>4.57</v>
      </c>
      <c r="J3395">
        <v>-1.25</v>
      </c>
      <c r="K3395" t="s">
        <v>1200</v>
      </c>
      <c r="L3395">
        <v>-72.349999999999994</v>
      </c>
      <c r="M3395" t="s">
        <v>14362</v>
      </c>
      <c r="N3395" t="s">
        <v>6696</v>
      </c>
      <c r="O3395" t="s">
        <v>14363</v>
      </c>
      <c r="P3395" t="s">
        <v>14364</v>
      </c>
      <c r="Q3395">
        <v>-193.18</v>
      </c>
      <c r="R3395" t="s">
        <v>1843</v>
      </c>
      <c r="S3395">
        <v>1.48</v>
      </c>
      <c r="T3395">
        <v>22.92</v>
      </c>
      <c r="U3395" t="s">
        <v>719</v>
      </c>
      <c r="V3395" t="s">
        <v>716</v>
      </c>
      <c r="W3395" t="s">
        <v>4520</v>
      </c>
      <c r="X3395">
        <v>-1.25</v>
      </c>
      <c r="Y3395" t="s">
        <v>1195</v>
      </c>
      <c r="Z3395" t="s">
        <v>1390</v>
      </c>
      <c r="AA3395" t="s">
        <v>1660</v>
      </c>
      <c r="AB3395">
        <v>0.94</v>
      </c>
      <c r="AC3395" t="s">
        <v>1442</v>
      </c>
      <c r="AD3395">
        <v>48.4</v>
      </c>
      <c r="AE3395" t="s">
        <v>249</v>
      </c>
      <c r="AF3395">
        <v>2.35</v>
      </c>
      <c r="AG3395">
        <v>0</v>
      </c>
      <c r="AH3395">
        <v>0</v>
      </c>
      <c r="AI3395" s="4">
        <v>35698</v>
      </c>
    </row>
    <row r="3396" spans="1:35">
      <c r="A3396">
        <v>3395</v>
      </c>
      <c r="B3396" t="str">
        <f>"300126"</f>
        <v>300126</v>
      </c>
      <c r="C3396" t="s">
        <v>14365</v>
      </c>
      <c r="D3396" s="4">
        <v>43190</v>
      </c>
      <c r="E3396" t="s">
        <v>342</v>
      </c>
      <c r="F3396" t="s">
        <v>862</v>
      </c>
      <c r="G3396" t="s">
        <v>4245</v>
      </c>
      <c r="H3396">
        <v>-0.04</v>
      </c>
      <c r="I3396">
        <v>3.36</v>
      </c>
      <c r="J3396">
        <v>-1.26</v>
      </c>
      <c r="K3396" t="s">
        <v>745</v>
      </c>
      <c r="L3396">
        <v>22.11</v>
      </c>
      <c r="M3396" t="s">
        <v>14366</v>
      </c>
      <c r="N3396" t="s">
        <v>2874</v>
      </c>
      <c r="O3396" t="s">
        <v>14367</v>
      </c>
      <c r="P3396" t="s">
        <v>14368</v>
      </c>
      <c r="Q3396">
        <v>-436.38</v>
      </c>
      <c r="R3396" t="s">
        <v>255</v>
      </c>
      <c r="S3396">
        <v>0.63</v>
      </c>
      <c r="T3396">
        <v>11.88</v>
      </c>
      <c r="U3396" t="s">
        <v>101</v>
      </c>
      <c r="V3396" t="s">
        <v>8311</v>
      </c>
      <c r="W3396" t="s">
        <v>1855</v>
      </c>
      <c r="X3396">
        <v>-1.26</v>
      </c>
      <c r="Y3396" t="s">
        <v>492</v>
      </c>
      <c r="Z3396" t="s">
        <v>641</v>
      </c>
      <c r="AA3396" t="s">
        <v>3479</v>
      </c>
      <c r="AB3396">
        <v>1.42</v>
      </c>
      <c r="AC3396" t="s">
        <v>978</v>
      </c>
      <c r="AD3396">
        <v>79.84</v>
      </c>
      <c r="AE3396" t="s">
        <v>611</v>
      </c>
      <c r="AF3396">
        <v>1.56</v>
      </c>
      <c r="AG3396">
        <v>0</v>
      </c>
      <c r="AH3396">
        <v>0</v>
      </c>
      <c r="AI3396" s="4">
        <v>40464</v>
      </c>
    </row>
    <row r="3397" spans="1:35">
      <c r="A3397">
        <v>3396</v>
      </c>
      <c r="B3397" t="str">
        <f>"002021"</f>
        <v>002021</v>
      </c>
      <c r="C3397" t="s">
        <v>14369</v>
      </c>
      <c r="D3397" s="4">
        <v>43190</v>
      </c>
      <c r="E3397" t="s">
        <v>1319</v>
      </c>
      <c r="F3397" t="s">
        <v>1319</v>
      </c>
      <c r="G3397" t="s">
        <v>2511</v>
      </c>
      <c r="H3397">
        <v>-0.02</v>
      </c>
      <c r="I3397">
        <v>1.35</v>
      </c>
      <c r="J3397">
        <v>-1.26</v>
      </c>
      <c r="K3397" t="s">
        <v>3297</v>
      </c>
      <c r="L3397">
        <v>25.61</v>
      </c>
      <c r="M3397" t="s">
        <v>14370</v>
      </c>
      <c r="N3397">
        <v>0</v>
      </c>
      <c r="O3397" t="s">
        <v>14371</v>
      </c>
      <c r="P3397" t="s">
        <v>14372</v>
      </c>
      <c r="Q3397">
        <v>37.06</v>
      </c>
      <c r="R3397" t="s">
        <v>14373</v>
      </c>
      <c r="S3397">
        <v>-0.44</v>
      </c>
      <c r="T3397">
        <v>17</v>
      </c>
      <c r="U3397" t="s">
        <v>1678</v>
      </c>
      <c r="V3397" t="s">
        <v>973</v>
      </c>
      <c r="W3397" t="s">
        <v>682</v>
      </c>
      <c r="X3397">
        <v>-1.26</v>
      </c>
      <c r="Y3397" t="s">
        <v>4952</v>
      </c>
      <c r="Z3397" t="s">
        <v>782</v>
      </c>
      <c r="AA3397" t="s">
        <v>10964</v>
      </c>
      <c r="AB3397">
        <v>2.58</v>
      </c>
      <c r="AC3397" t="s">
        <v>5598</v>
      </c>
      <c r="AD3397">
        <v>51.95</v>
      </c>
      <c r="AE3397" t="s">
        <v>999</v>
      </c>
      <c r="AF3397">
        <v>0.73</v>
      </c>
      <c r="AG3397">
        <v>0</v>
      </c>
      <c r="AH3397">
        <v>0</v>
      </c>
      <c r="AI3397" s="4">
        <v>38183</v>
      </c>
    </row>
    <row r="3398" spans="1:35">
      <c r="A3398">
        <v>3397</v>
      </c>
      <c r="B3398" t="str">
        <f>"300616"</f>
        <v>300616</v>
      </c>
      <c r="C3398" t="s">
        <v>14374</v>
      </c>
      <c r="D3398" s="4">
        <v>43190</v>
      </c>
      <c r="E3398" t="s">
        <v>1264</v>
      </c>
      <c r="F3398" t="s">
        <v>7321</v>
      </c>
      <c r="G3398">
        <v>4571</v>
      </c>
      <c r="H3398">
        <v>-0.17</v>
      </c>
      <c r="I3398">
        <v>12.48</v>
      </c>
      <c r="J3398">
        <v>-1.27</v>
      </c>
      <c r="K3398" t="s">
        <v>602</v>
      </c>
      <c r="L3398">
        <v>38.76</v>
      </c>
      <c r="M3398" t="s">
        <v>14375</v>
      </c>
      <c r="N3398" t="s">
        <v>14376</v>
      </c>
      <c r="O3398" t="s">
        <v>14377</v>
      </c>
      <c r="P3398" t="s">
        <v>14378</v>
      </c>
      <c r="Q3398">
        <v>29.19</v>
      </c>
      <c r="R3398" t="s">
        <v>1094</v>
      </c>
      <c r="S3398">
        <v>4.55</v>
      </c>
      <c r="T3398">
        <v>42.14</v>
      </c>
      <c r="U3398" t="s">
        <v>2694</v>
      </c>
      <c r="V3398" t="s">
        <v>1546</v>
      </c>
      <c r="W3398" t="s">
        <v>1852</v>
      </c>
      <c r="X3398">
        <v>-1.27</v>
      </c>
      <c r="Y3398" t="s">
        <v>1244</v>
      </c>
      <c r="Z3398" t="s">
        <v>1244</v>
      </c>
      <c r="AA3398" t="s">
        <v>12117</v>
      </c>
      <c r="AB3398">
        <v>8.86</v>
      </c>
      <c r="AC3398" t="s">
        <v>512</v>
      </c>
      <c r="AD3398">
        <v>61.34</v>
      </c>
      <c r="AE3398" t="s">
        <v>1367</v>
      </c>
      <c r="AF3398">
        <v>7.49</v>
      </c>
      <c r="AG3398">
        <v>0</v>
      </c>
      <c r="AH3398">
        <v>0</v>
      </c>
      <c r="AI3398" s="4">
        <v>42801</v>
      </c>
    </row>
    <row r="3399" spans="1:35">
      <c r="A3399">
        <v>3398</v>
      </c>
      <c r="B3399" t="str">
        <f>"002476"</f>
        <v>002476</v>
      </c>
      <c r="C3399" t="s">
        <v>14379</v>
      </c>
      <c r="D3399" s="4">
        <v>43190</v>
      </c>
      <c r="E3399" t="s">
        <v>2431</v>
      </c>
      <c r="F3399" t="s">
        <v>1965</v>
      </c>
      <c r="G3399" t="s">
        <v>3219</v>
      </c>
      <c r="H3399">
        <v>-0.02</v>
      </c>
      <c r="I3399">
        <v>1.59</v>
      </c>
      <c r="J3399">
        <v>-1.29</v>
      </c>
      <c r="K3399" t="s">
        <v>7194</v>
      </c>
      <c r="L3399">
        <v>-17.46</v>
      </c>
      <c r="M3399" t="s">
        <v>14380</v>
      </c>
      <c r="N3399" t="s">
        <v>14381</v>
      </c>
      <c r="O3399" t="s">
        <v>14382</v>
      </c>
      <c r="P3399" t="s">
        <v>14382</v>
      </c>
      <c r="Q3399">
        <v>59.03</v>
      </c>
      <c r="R3399" t="s">
        <v>993</v>
      </c>
      <c r="S3399">
        <v>0.22</v>
      </c>
      <c r="T3399">
        <v>14.66</v>
      </c>
      <c r="U3399" t="s">
        <v>405</v>
      </c>
      <c r="V3399" t="s">
        <v>504</v>
      </c>
      <c r="W3399" t="s">
        <v>4044</v>
      </c>
      <c r="X3399">
        <v>-1.29</v>
      </c>
      <c r="Y3399" t="s">
        <v>1180</v>
      </c>
      <c r="Z3399" t="s">
        <v>603</v>
      </c>
      <c r="AA3399" t="s">
        <v>4395</v>
      </c>
      <c r="AB3399">
        <v>2.5499999999999998</v>
      </c>
      <c r="AC3399" t="s">
        <v>4514</v>
      </c>
      <c r="AD3399">
        <v>79.319999999999993</v>
      </c>
      <c r="AE3399" t="s">
        <v>284</v>
      </c>
      <c r="AF3399">
        <v>0.28999999999999998</v>
      </c>
      <c r="AG3399">
        <v>0</v>
      </c>
      <c r="AH3399">
        <v>0</v>
      </c>
      <c r="AI3399" s="4">
        <v>40436</v>
      </c>
    </row>
    <row r="3400" spans="1:35">
      <c r="A3400">
        <v>3399</v>
      </c>
      <c r="B3400" t="str">
        <f>"600084"</f>
        <v>600084</v>
      </c>
      <c r="C3400" t="s">
        <v>14383</v>
      </c>
      <c r="D3400" s="4">
        <v>43190</v>
      </c>
      <c r="E3400" t="s">
        <v>147</v>
      </c>
      <c r="F3400" t="s">
        <v>147</v>
      </c>
      <c r="G3400" t="s">
        <v>4245</v>
      </c>
      <c r="H3400">
        <v>-0.03</v>
      </c>
      <c r="I3400">
        <v>2.06</v>
      </c>
      <c r="J3400">
        <v>-1.3</v>
      </c>
      <c r="K3400" t="s">
        <v>651</v>
      </c>
      <c r="L3400">
        <v>59.63</v>
      </c>
      <c r="M3400" t="s">
        <v>14384</v>
      </c>
      <c r="N3400">
        <v>0</v>
      </c>
      <c r="O3400" t="s">
        <v>14385</v>
      </c>
      <c r="P3400" t="s">
        <v>14386</v>
      </c>
      <c r="Q3400">
        <v>-34.5</v>
      </c>
      <c r="R3400" t="s">
        <v>14387</v>
      </c>
      <c r="S3400">
        <v>-1.4</v>
      </c>
      <c r="T3400">
        <v>33.200000000000003</v>
      </c>
      <c r="U3400" t="s">
        <v>238</v>
      </c>
      <c r="V3400" t="s">
        <v>1029</v>
      </c>
      <c r="W3400" t="s">
        <v>292</v>
      </c>
      <c r="X3400">
        <v>-1.3</v>
      </c>
      <c r="Y3400" t="s">
        <v>2063</v>
      </c>
      <c r="Z3400" t="s">
        <v>3368</v>
      </c>
      <c r="AA3400" t="s">
        <v>13572</v>
      </c>
      <c r="AB3400">
        <v>2.39</v>
      </c>
      <c r="AC3400" t="s">
        <v>1029</v>
      </c>
      <c r="AD3400">
        <v>78.930000000000007</v>
      </c>
      <c r="AE3400" t="s">
        <v>2100</v>
      </c>
      <c r="AF3400">
        <v>2.38</v>
      </c>
      <c r="AG3400">
        <v>0</v>
      </c>
      <c r="AH3400">
        <v>0</v>
      </c>
      <c r="AI3400" s="4">
        <v>35622</v>
      </c>
    </row>
    <row r="3401" spans="1:35">
      <c r="A3401">
        <v>3400</v>
      </c>
      <c r="B3401" t="str">
        <f>"300603"</f>
        <v>300603</v>
      </c>
      <c r="C3401" t="s">
        <v>14388</v>
      </c>
      <c r="D3401" s="4">
        <v>43190</v>
      </c>
      <c r="E3401" t="s">
        <v>533</v>
      </c>
      <c r="F3401" t="s">
        <v>5392</v>
      </c>
      <c r="G3401">
        <v>4760</v>
      </c>
      <c r="H3401">
        <v>-0.05</v>
      </c>
      <c r="I3401">
        <v>4.1100000000000003</v>
      </c>
      <c r="J3401">
        <v>-1.31</v>
      </c>
      <c r="K3401" t="s">
        <v>14389</v>
      </c>
      <c r="L3401">
        <v>-28.32</v>
      </c>
      <c r="M3401" t="s">
        <v>13688</v>
      </c>
      <c r="N3401">
        <v>0</v>
      </c>
      <c r="O3401" t="s">
        <v>14390</v>
      </c>
      <c r="P3401" t="s">
        <v>14390</v>
      </c>
      <c r="Q3401">
        <v>-246.56</v>
      </c>
      <c r="R3401" t="s">
        <v>1200</v>
      </c>
      <c r="S3401">
        <v>1.7</v>
      </c>
      <c r="T3401">
        <v>14.12</v>
      </c>
      <c r="U3401" t="s">
        <v>924</v>
      </c>
      <c r="V3401" t="s">
        <v>1496</v>
      </c>
      <c r="W3401" t="s">
        <v>3111</v>
      </c>
      <c r="X3401">
        <v>-1.31</v>
      </c>
      <c r="Y3401" t="s">
        <v>821</v>
      </c>
      <c r="Z3401" t="s">
        <v>226</v>
      </c>
      <c r="AA3401" t="s">
        <v>13999</v>
      </c>
      <c r="AB3401">
        <v>8.69</v>
      </c>
      <c r="AC3401" t="s">
        <v>662</v>
      </c>
      <c r="AD3401">
        <v>31.34</v>
      </c>
      <c r="AE3401" t="s">
        <v>1525</v>
      </c>
      <c r="AF3401">
        <v>1.18</v>
      </c>
      <c r="AG3401">
        <v>0</v>
      </c>
      <c r="AH3401">
        <v>0</v>
      </c>
      <c r="AI3401" s="4">
        <v>42761</v>
      </c>
    </row>
    <row r="3402" spans="1:35">
      <c r="A3402">
        <v>3401</v>
      </c>
      <c r="B3402" t="str">
        <f>"603789"</f>
        <v>603789</v>
      </c>
      <c r="C3402" t="s">
        <v>14391</v>
      </c>
      <c r="D3402" s="4">
        <v>43190</v>
      </c>
      <c r="E3402" t="s">
        <v>1049</v>
      </c>
      <c r="F3402" t="s">
        <v>1049</v>
      </c>
      <c r="G3402">
        <v>4315</v>
      </c>
      <c r="H3402">
        <v>-0.05</v>
      </c>
      <c r="I3402">
        <v>4.1100000000000003</v>
      </c>
      <c r="J3402">
        <v>-1.32</v>
      </c>
      <c r="K3402" t="s">
        <v>1108</v>
      </c>
      <c r="L3402">
        <v>-70.319999999999993</v>
      </c>
      <c r="M3402" t="s">
        <v>14392</v>
      </c>
      <c r="N3402" t="s">
        <v>14393</v>
      </c>
      <c r="O3402" t="s">
        <v>14394</v>
      </c>
      <c r="P3402" t="s">
        <v>14395</v>
      </c>
      <c r="Q3402">
        <v>-198.19</v>
      </c>
      <c r="R3402" t="s">
        <v>262</v>
      </c>
      <c r="S3402">
        <v>0.85</v>
      </c>
      <c r="T3402">
        <v>2.93</v>
      </c>
      <c r="U3402" t="s">
        <v>173</v>
      </c>
      <c r="V3402" t="s">
        <v>4863</v>
      </c>
      <c r="W3402" t="s">
        <v>1074</v>
      </c>
      <c r="X3402">
        <v>-1.32</v>
      </c>
      <c r="Y3402" t="s">
        <v>145</v>
      </c>
      <c r="Z3402" t="s">
        <v>4871</v>
      </c>
      <c r="AA3402" t="s">
        <v>12005</v>
      </c>
      <c r="AB3402">
        <v>2.93</v>
      </c>
      <c r="AC3402" t="s">
        <v>295</v>
      </c>
      <c r="AD3402">
        <v>75.11</v>
      </c>
      <c r="AE3402" t="s">
        <v>734</v>
      </c>
      <c r="AF3402">
        <v>2.09</v>
      </c>
      <c r="AG3402">
        <v>0</v>
      </c>
      <c r="AH3402">
        <v>0</v>
      </c>
      <c r="AI3402" s="4">
        <v>42121</v>
      </c>
    </row>
    <row r="3403" spans="1:35">
      <c r="A3403">
        <v>3402</v>
      </c>
      <c r="B3403" t="str">
        <f>"300499"</f>
        <v>300499</v>
      </c>
      <c r="C3403" t="s">
        <v>14396</v>
      </c>
      <c r="D3403" s="4">
        <v>43190</v>
      </c>
      <c r="E3403" t="s">
        <v>280</v>
      </c>
      <c r="F3403" t="s">
        <v>14397</v>
      </c>
      <c r="G3403">
        <v>6145</v>
      </c>
      <c r="H3403">
        <v>-7.0000000000000007E-2</v>
      </c>
      <c r="I3403">
        <v>5.13</v>
      </c>
      <c r="J3403">
        <v>-1.33</v>
      </c>
      <c r="K3403" t="s">
        <v>1349</v>
      </c>
      <c r="L3403">
        <v>6.12</v>
      </c>
      <c r="M3403" t="s">
        <v>13918</v>
      </c>
      <c r="N3403" t="s">
        <v>14398</v>
      </c>
      <c r="O3403" t="s">
        <v>13485</v>
      </c>
      <c r="P3403" t="s">
        <v>13723</v>
      </c>
      <c r="Q3403">
        <v>-54.87</v>
      </c>
      <c r="R3403" t="s">
        <v>1905</v>
      </c>
      <c r="S3403">
        <v>2.09</v>
      </c>
      <c r="T3403">
        <v>28.72</v>
      </c>
      <c r="U3403" t="s">
        <v>895</v>
      </c>
      <c r="V3403" t="s">
        <v>5203</v>
      </c>
      <c r="W3403" t="s">
        <v>657</v>
      </c>
      <c r="X3403">
        <v>-1.33</v>
      </c>
      <c r="Y3403" t="s">
        <v>1934</v>
      </c>
      <c r="Z3403" t="s">
        <v>678</v>
      </c>
      <c r="AA3403" t="s">
        <v>14399</v>
      </c>
      <c r="AB3403">
        <v>2.63</v>
      </c>
      <c r="AC3403" t="s">
        <v>1330</v>
      </c>
      <c r="AD3403">
        <v>61.25</v>
      </c>
      <c r="AE3403" t="s">
        <v>1364</v>
      </c>
      <c r="AF3403">
        <v>1.79</v>
      </c>
      <c r="AG3403">
        <v>0</v>
      </c>
      <c r="AH3403">
        <v>0</v>
      </c>
      <c r="AI3403" s="4">
        <v>42402</v>
      </c>
    </row>
    <row r="3404" spans="1:35">
      <c r="A3404">
        <v>3403</v>
      </c>
      <c r="B3404" t="str">
        <f>"002190"</f>
        <v>002190</v>
      </c>
      <c r="C3404" t="s">
        <v>14400</v>
      </c>
      <c r="D3404" s="4">
        <v>43190</v>
      </c>
      <c r="E3404" t="s">
        <v>1359</v>
      </c>
      <c r="F3404" t="s">
        <v>1594</v>
      </c>
      <c r="G3404">
        <v>6770</v>
      </c>
      <c r="H3404">
        <v>-7.0000000000000007E-2</v>
      </c>
      <c r="I3404">
        <v>5.69</v>
      </c>
      <c r="J3404">
        <v>-1.33</v>
      </c>
      <c r="K3404" t="s">
        <v>1712</v>
      </c>
      <c r="L3404">
        <v>51.88</v>
      </c>
      <c r="M3404" t="s">
        <v>14401</v>
      </c>
      <c r="N3404" t="s">
        <v>5106</v>
      </c>
      <c r="O3404" t="s">
        <v>14402</v>
      </c>
      <c r="P3404" t="s">
        <v>14403</v>
      </c>
      <c r="Q3404">
        <v>-4238.45</v>
      </c>
      <c r="R3404" t="s">
        <v>1364</v>
      </c>
      <c r="S3404">
        <v>0.6</v>
      </c>
      <c r="T3404">
        <v>13.69</v>
      </c>
      <c r="U3404" t="s">
        <v>716</v>
      </c>
      <c r="V3404" t="s">
        <v>1735</v>
      </c>
      <c r="W3404" t="s">
        <v>1164</v>
      </c>
      <c r="X3404">
        <v>-1.33</v>
      </c>
      <c r="Y3404" t="s">
        <v>2106</v>
      </c>
      <c r="Z3404" t="s">
        <v>356</v>
      </c>
      <c r="AA3404" t="s">
        <v>1752</v>
      </c>
      <c r="AB3404">
        <v>2.91</v>
      </c>
      <c r="AC3404" t="s">
        <v>1843</v>
      </c>
      <c r="AD3404">
        <v>20.010000000000002</v>
      </c>
      <c r="AE3404" t="s">
        <v>350</v>
      </c>
      <c r="AF3404">
        <v>3.78</v>
      </c>
      <c r="AG3404">
        <v>0</v>
      </c>
      <c r="AH3404">
        <v>0</v>
      </c>
      <c r="AI3404" s="4">
        <v>39419</v>
      </c>
    </row>
    <row r="3405" spans="1:35">
      <c r="A3405">
        <v>3404</v>
      </c>
      <c r="B3405" t="str">
        <f>"000572"</f>
        <v>000572</v>
      </c>
      <c r="C3405" t="s">
        <v>14404</v>
      </c>
      <c r="D3405" s="4">
        <v>43190</v>
      </c>
      <c r="E3405" t="s">
        <v>76</v>
      </c>
      <c r="F3405" t="s">
        <v>76</v>
      </c>
      <c r="G3405" t="s">
        <v>2323</v>
      </c>
      <c r="H3405">
        <v>-0.05</v>
      </c>
      <c r="I3405">
        <v>3.92</v>
      </c>
      <c r="J3405">
        <v>-1.33</v>
      </c>
      <c r="K3405" t="s">
        <v>820</v>
      </c>
      <c r="L3405">
        <v>-49.83</v>
      </c>
      <c r="M3405" t="s">
        <v>9224</v>
      </c>
      <c r="N3405" t="s">
        <v>4048</v>
      </c>
      <c r="O3405" t="s">
        <v>14405</v>
      </c>
      <c r="P3405" t="s">
        <v>14406</v>
      </c>
      <c r="Q3405">
        <v>-271.14</v>
      </c>
      <c r="R3405" t="s">
        <v>2955</v>
      </c>
      <c r="S3405">
        <v>0.54</v>
      </c>
      <c r="T3405">
        <v>9.24</v>
      </c>
      <c r="U3405" t="s">
        <v>1222</v>
      </c>
      <c r="V3405" t="s">
        <v>8225</v>
      </c>
      <c r="W3405" t="s">
        <v>1294</v>
      </c>
      <c r="X3405">
        <v>-1.33</v>
      </c>
      <c r="Y3405" t="s">
        <v>367</v>
      </c>
      <c r="Z3405" t="s">
        <v>1735</v>
      </c>
      <c r="AA3405" t="s">
        <v>2035</v>
      </c>
      <c r="AB3405">
        <v>0.85</v>
      </c>
      <c r="AC3405" t="s">
        <v>5786</v>
      </c>
      <c r="AD3405">
        <v>44.62</v>
      </c>
      <c r="AE3405" t="s">
        <v>1698</v>
      </c>
      <c r="AF3405">
        <v>2.29</v>
      </c>
      <c r="AG3405">
        <v>0</v>
      </c>
      <c r="AH3405">
        <v>0</v>
      </c>
      <c r="AI3405" s="4">
        <v>34554</v>
      </c>
    </row>
    <row r="3406" spans="1:35">
      <c r="A3406">
        <v>3405</v>
      </c>
      <c r="B3406" t="str">
        <f>"603378"</f>
        <v>603378</v>
      </c>
      <c r="C3406" t="s">
        <v>14407</v>
      </c>
      <c r="D3406" s="4">
        <v>43190</v>
      </c>
      <c r="E3406" t="s">
        <v>200</v>
      </c>
      <c r="F3406" t="s">
        <v>3955</v>
      </c>
      <c r="G3406">
        <v>2153</v>
      </c>
      <c r="H3406">
        <v>-0.09</v>
      </c>
      <c r="I3406">
        <v>6.53</v>
      </c>
      <c r="J3406">
        <v>-1.34</v>
      </c>
      <c r="K3406" t="s">
        <v>603</v>
      </c>
      <c r="L3406">
        <v>9.84</v>
      </c>
      <c r="M3406" t="s">
        <v>14408</v>
      </c>
      <c r="N3406">
        <v>-6507</v>
      </c>
      <c r="O3406" t="s">
        <v>14409</v>
      </c>
      <c r="P3406" t="s">
        <v>14410</v>
      </c>
      <c r="Q3406">
        <v>-433.78</v>
      </c>
      <c r="R3406" t="s">
        <v>1703</v>
      </c>
      <c r="S3406">
        <v>2.5</v>
      </c>
      <c r="T3406">
        <v>27.05</v>
      </c>
      <c r="U3406" t="s">
        <v>418</v>
      </c>
      <c r="V3406" t="s">
        <v>840</v>
      </c>
      <c r="W3406" t="s">
        <v>985</v>
      </c>
      <c r="X3406">
        <v>-1.34</v>
      </c>
      <c r="Y3406" t="s">
        <v>566</v>
      </c>
      <c r="Z3406" t="s">
        <v>456</v>
      </c>
      <c r="AA3406" t="s">
        <v>1936</v>
      </c>
      <c r="AB3406">
        <v>2.1</v>
      </c>
      <c r="AC3406" t="s">
        <v>1082</v>
      </c>
      <c r="AD3406">
        <v>63.05</v>
      </c>
      <c r="AE3406" t="s">
        <v>2056</v>
      </c>
      <c r="AF3406">
        <v>2.97</v>
      </c>
      <c r="AG3406">
        <v>0</v>
      </c>
      <c r="AH3406">
        <v>0</v>
      </c>
      <c r="AI3406" s="4">
        <v>43006</v>
      </c>
    </row>
    <row r="3407" spans="1:35">
      <c r="A3407">
        <v>3406</v>
      </c>
      <c r="B3407" t="str">
        <f>"000955"</f>
        <v>000955</v>
      </c>
      <c r="C3407" t="s">
        <v>14411</v>
      </c>
      <c r="D3407" s="4">
        <v>43190</v>
      </c>
      <c r="E3407" t="s">
        <v>2587</v>
      </c>
      <c r="F3407" t="s">
        <v>2587</v>
      </c>
      <c r="G3407" t="s">
        <v>4294</v>
      </c>
      <c r="H3407">
        <v>-0.02</v>
      </c>
      <c r="I3407">
        <v>1.33</v>
      </c>
      <c r="J3407">
        <v>-1.34</v>
      </c>
      <c r="K3407" t="s">
        <v>552</v>
      </c>
      <c r="L3407">
        <v>18.88</v>
      </c>
      <c r="M3407" t="s">
        <v>14412</v>
      </c>
      <c r="N3407" t="s">
        <v>14393</v>
      </c>
      <c r="O3407" t="s">
        <v>6469</v>
      </c>
      <c r="P3407" t="s">
        <v>14413</v>
      </c>
      <c r="Q3407">
        <v>-595.88</v>
      </c>
      <c r="R3407" t="s">
        <v>14414</v>
      </c>
      <c r="S3407">
        <v>-0.59</v>
      </c>
      <c r="T3407">
        <v>12.1</v>
      </c>
      <c r="U3407" t="s">
        <v>1025</v>
      </c>
      <c r="V3407" t="s">
        <v>1898</v>
      </c>
      <c r="W3407" t="s">
        <v>4962</v>
      </c>
      <c r="X3407">
        <v>-1.34</v>
      </c>
      <c r="Y3407" t="s">
        <v>506</v>
      </c>
      <c r="Z3407" t="s">
        <v>1048</v>
      </c>
      <c r="AA3407" t="s">
        <v>203</v>
      </c>
      <c r="AB3407">
        <v>3.2</v>
      </c>
      <c r="AC3407" t="s">
        <v>2569</v>
      </c>
      <c r="AD3407">
        <v>54.93</v>
      </c>
      <c r="AE3407" t="s">
        <v>1596</v>
      </c>
      <c r="AF3407">
        <v>0.92</v>
      </c>
      <c r="AG3407">
        <v>0</v>
      </c>
      <c r="AH3407">
        <v>0</v>
      </c>
      <c r="AI3407" s="4">
        <v>36503</v>
      </c>
    </row>
    <row r="3408" spans="1:35">
      <c r="A3408">
        <v>3407</v>
      </c>
      <c r="B3408" t="str">
        <f>"000616"</f>
        <v>000616</v>
      </c>
      <c r="C3408" t="s">
        <v>14415</v>
      </c>
      <c r="D3408" s="4">
        <v>43190</v>
      </c>
      <c r="E3408" t="s">
        <v>162</v>
      </c>
      <c r="F3408" t="s">
        <v>162</v>
      </c>
      <c r="G3408" t="s">
        <v>1448</v>
      </c>
      <c r="H3408">
        <v>-0.04</v>
      </c>
      <c r="I3408">
        <v>2.74</v>
      </c>
      <c r="J3408">
        <v>-1.34</v>
      </c>
      <c r="K3408" t="s">
        <v>12642</v>
      </c>
      <c r="L3408">
        <v>40.770000000000003</v>
      </c>
      <c r="M3408" t="s">
        <v>1758</v>
      </c>
      <c r="N3408" t="s">
        <v>14416</v>
      </c>
      <c r="O3408" t="s">
        <v>14417</v>
      </c>
      <c r="P3408" t="s">
        <v>14418</v>
      </c>
      <c r="Q3408">
        <v>-211.83</v>
      </c>
      <c r="R3408" t="s">
        <v>1284</v>
      </c>
      <c r="S3408">
        <v>1.38</v>
      </c>
      <c r="T3408">
        <v>44.5</v>
      </c>
      <c r="U3408" t="s">
        <v>716</v>
      </c>
      <c r="V3408" t="s">
        <v>2492</v>
      </c>
      <c r="W3408" t="s">
        <v>4791</v>
      </c>
      <c r="X3408">
        <v>-1.34</v>
      </c>
      <c r="Y3408" t="s">
        <v>1783</v>
      </c>
      <c r="Z3408" t="s">
        <v>789</v>
      </c>
      <c r="AA3408" t="s">
        <v>2866</v>
      </c>
      <c r="AB3408">
        <v>1.25</v>
      </c>
      <c r="AC3408" t="s">
        <v>1859</v>
      </c>
      <c r="AD3408">
        <v>38.450000000000003</v>
      </c>
      <c r="AE3408" t="s">
        <v>1853</v>
      </c>
      <c r="AF3408">
        <v>0.14000000000000001</v>
      </c>
      <c r="AG3408">
        <v>0</v>
      </c>
      <c r="AH3408">
        <v>0</v>
      </c>
      <c r="AI3408" s="4">
        <v>35377</v>
      </c>
    </row>
    <row r="3409" spans="1:35">
      <c r="A3409">
        <v>3408</v>
      </c>
      <c r="B3409" t="str">
        <f>"002835"</f>
        <v>002835</v>
      </c>
      <c r="C3409" t="s">
        <v>14419</v>
      </c>
      <c r="D3409" s="4">
        <v>43190</v>
      </c>
      <c r="E3409" t="s">
        <v>1287</v>
      </c>
      <c r="F3409" t="s">
        <v>3444</v>
      </c>
      <c r="G3409">
        <v>4885</v>
      </c>
      <c r="H3409">
        <v>-0.04</v>
      </c>
      <c r="I3409">
        <v>2.97</v>
      </c>
      <c r="J3409">
        <v>-1.35</v>
      </c>
      <c r="K3409" t="s">
        <v>2360</v>
      </c>
      <c r="L3409">
        <v>18.64</v>
      </c>
      <c r="M3409" t="s">
        <v>14420</v>
      </c>
      <c r="N3409" t="s">
        <v>14421</v>
      </c>
      <c r="O3409" t="s">
        <v>13797</v>
      </c>
      <c r="P3409" t="s">
        <v>13797</v>
      </c>
      <c r="Q3409">
        <v>-193.95</v>
      </c>
      <c r="R3409" t="s">
        <v>696</v>
      </c>
      <c r="S3409">
        <v>1.01</v>
      </c>
      <c r="T3409">
        <v>24.01</v>
      </c>
      <c r="U3409" t="s">
        <v>2149</v>
      </c>
      <c r="V3409" t="s">
        <v>1436</v>
      </c>
      <c r="W3409" t="s">
        <v>696</v>
      </c>
      <c r="X3409">
        <v>-1.35</v>
      </c>
      <c r="Y3409" t="s">
        <v>3843</v>
      </c>
      <c r="Z3409" t="s">
        <v>4178</v>
      </c>
      <c r="AA3409" t="s">
        <v>10371</v>
      </c>
      <c r="AB3409">
        <v>2.66</v>
      </c>
      <c r="AC3409" t="s">
        <v>424</v>
      </c>
      <c r="AD3409">
        <v>87.65</v>
      </c>
      <c r="AE3409" t="s">
        <v>1202</v>
      </c>
      <c r="AF3409">
        <v>0.82</v>
      </c>
      <c r="AG3409">
        <v>0</v>
      </c>
      <c r="AH3409">
        <v>0</v>
      </c>
      <c r="AI3409" s="4">
        <v>42732</v>
      </c>
    </row>
    <row r="3410" spans="1:35">
      <c r="A3410">
        <v>3409</v>
      </c>
      <c r="B3410" t="str">
        <f>"600446"</f>
        <v>600446</v>
      </c>
      <c r="C3410" t="s">
        <v>14422</v>
      </c>
      <c r="D3410" s="4">
        <v>43190</v>
      </c>
      <c r="E3410" t="s">
        <v>1774</v>
      </c>
      <c r="F3410" t="s">
        <v>4000</v>
      </c>
      <c r="G3410">
        <v>9486</v>
      </c>
      <c r="H3410">
        <v>-0.03</v>
      </c>
      <c r="I3410">
        <v>2</v>
      </c>
      <c r="J3410">
        <v>-1.36</v>
      </c>
      <c r="K3410" t="s">
        <v>699</v>
      </c>
      <c r="L3410">
        <v>28.15</v>
      </c>
      <c r="M3410" t="s">
        <v>14423</v>
      </c>
      <c r="N3410" t="s">
        <v>14179</v>
      </c>
      <c r="O3410" t="s">
        <v>14424</v>
      </c>
      <c r="P3410" t="s">
        <v>14425</v>
      </c>
      <c r="Q3410">
        <v>3.37</v>
      </c>
      <c r="R3410" t="s">
        <v>1212</v>
      </c>
      <c r="S3410">
        <v>0.6</v>
      </c>
      <c r="T3410">
        <v>19.079999999999998</v>
      </c>
      <c r="U3410" t="s">
        <v>3770</v>
      </c>
      <c r="V3410" t="s">
        <v>1546</v>
      </c>
      <c r="W3410" t="s">
        <v>14426</v>
      </c>
      <c r="X3410">
        <v>-1.36</v>
      </c>
      <c r="Y3410" t="s">
        <v>306</v>
      </c>
      <c r="Z3410" t="s">
        <v>251</v>
      </c>
      <c r="AA3410" t="s">
        <v>2029</v>
      </c>
      <c r="AB3410">
        <v>5.52</v>
      </c>
      <c r="AC3410" t="s">
        <v>867</v>
      </c>
      <c r="AD3410">
        <v>39.72</v>
      </c>
      <c r="AE3410" t="s">
        <v>262</v>
      </c>
      <c r="AF3410">
        <v>0.26</v>
      </c>
      <c r="AG3410">
        <v>0</v>
      </c>
      <c r="AH3410">
        <v>0</v>
      </c>
      <c r="AI3410" s="4">
        <v>37979</v>
      </c>
    </row>
    <row r="3411" spans="1:35">
      <c r="A3411">
        <v>3410</v>
      </c>
      <c r="B3411" t="str">
        <f>"002059"</f>
        <v>002059</v>
      </c>
      <c r="C3411" t="s">
        <v>14427</v>
      </c>
      <c r="D3411" s="4">
        <v>43190</v>
      </c>
      <c r="E3411" t="s">
        <v>3716</v>
      </c>
      <c r="F3411" t="s">
        <v>3716</v>
      </c>
      <c r="G3411" t="s">
        <v>3240</v>
      </c>
      <c r="H3411">
        <v>-0.03</v>
      </c>
      <c r="I3411">
        <v>2.08</v>
      </c>
      <c r="J3411">
        <v>-1.36</v>
      </c>
      <c r="K3411" t="s">
        <v>1624</v>
      </c>
      <c r="L3411">
        <v>-10.39</v>
      </c>
      <c r="M3411" t="s">
        <v>14428</v>
      </c>
      <c r="N3411">
        <v>7015</v>
      </c>
      <c r="O3411" t="s">
        <v>14429</v>
      </c>
      <c r="P3411" t="s">
        <v>13545</v>
      </c>
      <c r="Q3411">
        <v>-3396.14</v>
      </c>
      <c r="R3411" t="s">
        <v>160</v>
      </c>
      <c r="S3411">
        <v>0.49</v>
      </c>
      <c r="T3411">
        <v>25.8</v>
      </c>
      <c r="U3411" t="s">
        <v>1925</v>
      </c>
      <c r="V3411" t="s">
        <v>236</v>
      </c>
      <c r="W3411" t="s">
        <v>2479</v>
      </c>
      <c r="X3411">
        <v>-1.36</v>
      </c>
      <c r="Y3411" t="s">
        <v>589</v>
      </c>
      <c r="Z3411" t="s">
        <v>356</v>
      </c>
      <c r="AA3411" t="s">
        <v>14430</v>
      </c>
      <c r="AB3411">
        <v>3.5</v>
      </c>
      <c r="AC3411" t="s">
        <v>391</v>
      </c>
      <c r="AD3411">
        <v>31.8</v>
      </c>
      <c r="AE3411" t="s">
        <v>52</v>
      </c>
      <c r="AF3411">
        <v>0.46</v>
      </c>
      <c r="AG3411">
        <v>0</v>
      </c>
      <c r="AH3411">
        <v>0</v>
      </c>
      <c r="AI3411" s="4">
        <v>38939</v>
      </c>
    </row>
    <row r="3412" spans="1:35">
      <c r="A3412">
        <v>3411</v>
      </c>
      <c r="B3412" t="str">
        <f>"000985"</f>
        <v>000985</v>
      </c>
      <c r="C3412" t="s">
        <v>14431</v>
      </c>
      <c r="D3412" s="4">
        <v>43190</v>
      </c>
      <c r="E3412" t="s">
        <v>802</v>
      </c>
      <c r="F3412" t="s">
        <v>802</v>
      </c>
      <c r="G3412">
        <v>9968</v>
      </c>
      <c r="H3412">
        <v>-0.06</v>
      </c>
      <c r="I3412">
        <v>4.04</v>
      </c>
      <c r="J3412">
        <v>-1.36</v>
      </c>
      <c r="K3412" t="s">
        <v>157</v>
      </c>
      <c r="L3412">
        <v>35.840000000000003</v>
      </c>
      <c r="M3412" t="s">
        <v>14432</v>
      </c>
      <c r="N3412">
        <v>0</v>
      </c>
      <c r="O3412" t="s">
        <v>14433</v>
      </c>
      <c r="P3412" t="s">
        <v>14433</v>
      </c>
      <c r="Q3412">
        <v>-143.52000000000001</v>
      </c>
      <c r="R3412" t="s">
        <v>8134</v>
      </c>
      <c r="S3412">
        <v>0.48</v>
      </c>
      <c r="T3412">
        <v>4.5199999999999996</v>
      </c>
      <c r="U3412" t="s">
        <v>5415</v>
      </c>
      <c r="V3412" t="s">
        <v>2507</v>
      </c>
      <c r="W3412" t="s">
        <v>139</v>
      </c>
      <c r="X3412">
        <v>-1.36</v>
      </c>
      <c r="Y3412" t="s">
        <v>845</v>
      </c>
      <c r="Z3412" t="s">
        <v>1475</v>
      </c>
      <c r="AA3412" t="s">
        <v>14434</v>
      </c>
      <c r="AB3412">
        <v>3.39</v>
      </c>
      <c r="AC3412" t="s">
        <v>1438</v>
      </c>
      <c r="AD3412">
        <v>78.06</v>
      </c>
      <c r="AE3412" t="s">
        <v>507</v>
      </c>
      <c r="AF3412">
        <v>2</v>
      </c>
      <c r="AG3412">
        <v>0</v>
      </c>
      <c r="AH3412">
        <v>0</v>
      </c>
      <c r="AI3412" s="4">
        <v>36733</v>
      </c>
    </row>
    <row r="3413" spans="1:35">
      <c r="A3413">
        <v>3412</v>
      </c>
      <c r="B3413" t="str">
        <f>"000792"</f>
        <v>000792</v>
      </c>
      <c r="C3413" t="s">
        <v>14435</v>
      </c>
      <c r="D3413" s="4">
        <v>43190</v>
      </c>
      <c r="E3413" t="s">
        <v>502</v>
      </c>
      <c r="F3413" t="s">
        <v>239</v>
      </c>
      <c r="G3413" t="s">
        <v>9012</v>
      </c>
      <c r="H3413">
        <v>-0.1</v>
      </c>
      <c r="I3413">
        <v>6.63</v>
      </c>
      <c r="J3413">
        <v>-1.36</v>
      </c>
      <c r="K3413" t="s">
        <v>158</v>
      </c>
      <c r="L3413">
        <v>27.71</v>
      </c>
      <c r="M3413" t="s">
        <v>14436</v>
      </c>
      <c r="N3413" t="s">
        <v>14437</v>
      </c>
      <c r="O3413" t="s">
        <v>14436</v>
      </c>
      <c r="P3413" t="s">
        <v>14438</v>
      </c>
      <c r="Q3413">
        <v>-3.35</v>
      </c>
      <c r="R3413" t="s">
        <v>763</v>
      </c>
      <c r="S3413">
        <v>1.47</v>
      </c>
      <c r="T3413">
        <v>25.02</v>
      </c>
      <c r="U3413" t="s">
        <v>9632</v>
      </c>
      <c r="V3413" t="s">
        <v>229</v>
      </c>
      <c r="W3413" t="s">
        <v>3572</v>
      </c>
      <c r="X3413">
        <v>-1.36</v>
      </c>
      <c r="Y3413" t="s">
        <v>4459</v>
      </c>
      <c r="Z3413" t="s">
        <v>3463</v>
      </c>
      <c r="AA3413" t="s">
        <v>7604</v>
      </c>
      <c r="AB3413">
        <v>1.63</v>
      </c>
      <c r="AC3413" t="s">
        <v>388</v>
      </c>
      <c r="AD3413">
        <v>24.92</v>
      </c>
      <c r="AE3413" t="s">
        <v>1262</v>
      </c>
      <c r="AF3413">
        <v>3.4</v>
      </c>
      <c r="AG3413">
        <v>0</v>
      </c>
      <c r="AH3413">
        <v>0</v>
      </c>
      <c r="AI3413" s="4">
        <v>35677</v>
      </c>
    </row>
    <row r="3414" spans="1:35">
      <c r="A3414">
        <v>3413</v>
      </c>
      <c r="B3414" t="str">
        <f>"000622"</f>
        <v>000622</v>
      </c>
      <c r="C3414" t="s">
        <v>14439</v>
      </c>
      <c r="D3414" s="4">
        <v>43190</v>
      </c>
      <c r="E3414" t="s">
        <v>599</v>
      </c>
      <c r="F3414" t="s">
        <v>599</v>
      </c>
      <c r="G3414" t="s">
        <v>3240</v>
      </c>
      <c r="H3414">
        <v>-0.01</v>
      </c>
      <c r="I3414">
        <v>0.44</v>
      </c>
      <c r="J3414">
        <v>-1.36</v>
      </c>
      <c r="K3414" t="s">
        <v>13143</v>
      </c>
      <c r="L3414">
        <v>60.93</v>
      </c>
      <c r="M3414" t="s">
        <v>6009</v>
      </c>
      <c r="N3414" t="s">
        <v>4212</v>
      </c>
      <c r="O3414" t="s">
        <v>14440</v>
      </c>
      <c r="P3414" t="s">
        <v>14441</v>
      </c>
      <c r="Q3414">
        <v>13.49</v>
      </c>
      <c r="R3414" t="s">
        <v>14442</v>
      </c>
      <c r="S3414">
        <v>-1.03</v>
      </c>
      <c r="T3414">
        <v>26.99</v>
      </c>
      <c r="U3414" t="s">
        <v>375</v>
      </c>
      <c r="V3414" t="s">
        <v>265</v>
      </c>
      <c r="W3414" t="s">
        <v>14443</v>
      </c>
      <c r="X3414">
        <v>-1.36</v>
      </c>
      <c r="Y3414" t="s">
        <v>383</v>
      </c>
      <c r="Z3414" t="s">
        <v>1936</v>
      </c>
      <c r="AA3414" t="s">
        <v>1607</v>
      </c>
      <c r="AB3414">
        <v>7.03</v>
      </c>
      <c r="AC3414" t="s">
        <v>748</v>
      </c>
      <c r="AD3414">
        <v>48.47</v>
      </c>
      <c r="AE3414" t="s">
        <v>1624</v>
      </c>
      <c r="AF3414">
        <v>0.46</v>
      </c>
      <c r="AG3414">
        <v>0</v>
      </c>
      <c r="AH3414">
        <v>0</v>
      </c>
      <c r="AI3414" s="4">
        <v>35376</v>
      </c>
    </row>
    <row r="3415" spans="1:35">
      <c r="A3415">
        <v>3414</v>
      </c>
      <c r="B3415" t="str">
        <f>"603177"</f>
        <v>603177</v>
      </c>
      <c r="C3415" t="s">
        <v>14444</v>
      </c>
      <c r="D3415" s="4">
        <v>43190</v>
      </c>
      <c r="E3415" t="s">
        <v>1853</v>
      </c>
      <c r="F3415" t="s">
        <v>14445</v>
      </c>
      <c r="G3415">
        <v>2337</v>
      </c>
      <c r="H3415">
        <v>-0.04</v>
      </c>
      <c r="I3415">
        <v>2.62</v>
      </c>
      <c r="J3415">
        <v>-1.37</v>
      </c>
      <c r="K3415" t="s">
        <v>355</v>
      </c>
      <c r="L3415">
        <v>-16.420000000000002</v>
      </c>
      <c r="M3415" t="s">
        <v>14446</v>
      </c>
      <c r="N3415" t="s">
        <v>11709</v>
      </c>
      <c r="O3415" t="s">
        <v>14446</v>
      </c>
      <c r="P3415" t="s">
        <v>13954</v>
      </c>
      <c r="Q3415">
        <v>-1.68</v>
      </c>
      <c r="R3415" t="s">
        <v>1457</v>
      </c>
      <c r="S3415">
        <v>0.85</v>
      </c>
      <c r="T3415">
        <v>22.87</v>
      </c>
      <c r="U3415" t="s">
        <v>354</v>
      </c>
      <c r="V3415" t="s">
        <v>2032</v>
      </c>
      <c r="W3415" t="s">
        <v>1365</v>
      </c>
      <c r="X3415">
        <v>-1.37</v>
      </c>
      <c r="Y3415" t="s">
        <v>2445</v>
      </c>
      <c r="Z3415" t="s">
        <v>2063</v>
      </c>
      <c r="AA3415" t="s">
        <v>9979</v>
      </c>
      <c r="AB3415">
        <v>5.3</v>
      </c>
      <c r="AC3415" t="s">
        <v>5842</v>
      </c>
      <c r="AD3415">
        <v>46.54</v>
      </c>
      <c r="AE3415" t="s">
        <v>282</v>
      </c>
      <c r="AF3415">
        <v>0.56999999999999995</v>
      </c>
      <c r="AG3415">
        <v>0</v>
      </c>
      <c r="AH3415">
        <v>0</v>
      </c>
      <c r="AI3415" s="4">
        <v>42773</v>
      </c>
    </row>
    <row r="3416" spans="1:35">
      <c r="A3416">
        <v>3415</v>
      </c>
      <c r="B3416" t="str">
        <f>"002161"</f>
        <v>002161</v>
      </c>
      <c r="C3416" t="s">
        <v>14447</v>
      </c>
      <c r="D3416" s="4">
        <v>43190</v>
      </c>
      <c r="E3416" t="s">
        <v>175</v>
      </c>
      <c r="F3416" t="s">
        <v>1394</v>
      </c>
      <c r="G3416">
        <v>7151</v>
      </c>
      <c r="H3416">
        <v>-0.03</v>
      </c>
      <c r="I3416">
        <v>2.2000000000000002</v>
      </c>
      <c r="J3416">
        <v>-1.37</v>
      </c>
      <c r="K3416" t="s">
        <v>8921</v>
      </c>
      <c r="L3416">
        <v>-7</v>
      </c>
      <c r="M3416" t="s">
        <v>14448</v>
      </c>
      <c r="N3416" t="s">
        <v>11515</v>
      </c>
      <c r="O3416" t="s">
        <v>14449</v>
      </c>
      <c r="P3416" t="s">
        <v>14450</v>
      </c>
      <c r="Q3416">
        <v>-45.86</v>
      </c>
      <c r="R3416" t="s">
        <v>186</v>
      </c>
      <c r="S3416">
        <v>0.43</v>
      </c>
      <c r="T3416">
        <v>34.58</v>
      </c>
      <c r="U3416" t="s">
        <v>1029</v>
      </c>
      <c r="V3416" t="s">
        <v>746</v>
      </c>
      <c r="W3416" t="s">
        <v>3111</v>
      </c>
      <c r="X3416">
        <v>-1.37</v>
      </c>
      <c r="Y3416" t="s">
        <v>43</v>
      </c>
      <c r="Z3416" t="s">
        <v>1157</v>
      </c>
      <c r="AA3416" t="s">
        <v>14451</v>
      </c>
      <c r="AB3416">
        <v>4.51</v>
      </c>
      <c r="AC3416" t="s">
        <v>1244</v>
      </c>
      <c r="AD3416">
        <v>70.33</v>
      </c>
      <c r="AE3416" t="s">
        <v>2789</v>
      </c>
      <c r="AF3416">
        <v>0.67</v>
      </c>
      <c r="AG3416">
        <v>0</v>
      </c>
      <c r="AH3416">
        <v>0</v>
      </c>
      <c r="AI3416" s="4">
        <v>39315</v>
      </c>
    </row>
    <row r="3417" spans="1:35">
      <c r="A3417">
        <v>3416</v>
      </c>
      <c r="B3417" t="str">
        <f>"600128"</f>
        <v>600128</v>
      </c>
      <c r="C3417" t="s">
        <v>14452</v>
      </c>
      <c r="D3417" s="4">
        <v>43190</v>
      </c>
      <c r="E3417" t="s">
        <v>2142</v>
      </c>
      <c r="F3417" t="s">
        <v>2142</v>
      </c>
      <c r="G3417">
        <v>9457</v>
      </c>
      <c r="H3417">
        <v>-0.08</v>
      </c>
      <c r="I3417">
        <v>5.44</v>
      </c>
      <c r="J3417">
        <v>-1.38</v>
      </c>
      <c r="K3417" t="s">
        <v>405</v>
      </c>
      <c r="L3417">
        <v>50.1</v>
      </c>
      <c r="M3417" t="s">
        <v>13747</v>
      </c>
      <c r="N3417" t="s">
        <v>6797</v>
      </c>
      <c r="O3417" t="s">
        <v>14453</v>
      </c>
      <c r="P3417" t="s">
        <v>3747</v>
      </c>
      <c r="Q3417">
        <v>-532.82000000000005</v>
      </c>
      <c r="R3417" t="s">
        <v>545</v>
      </c>
      <c r="S3417">
        <v>1.76</v>
      </c>
      <c r="T3417">
        <v>5.19</v>
      </c>
      <c r="U3417" t="s">
        <v>2499</v>
      </c>
      <c r="V3417" t="s">
        <v>646</v>
      </c>
      <c r="W3417" t="s">
        <v>1320</v>
      </c>
      <c r="X3417">
        <v>-1.38</v>
      </c>
      <c r="Y3417" t="s">
        <v>176</v>
      </c>
      <c r="Z3417" t="s">
        <v>264</v>
      </c>
      <c r="AA3417" t="s">
        <v>2069</v>
      </c>
      <c r="AB3417">
        <v>1.18</v>
      </c>
      <c r="AC3417" t="s">
        <v>1214</v>
      </c>
      <c r="AD3417">
        <v>46.88</v>
      </c>
      <c r="AE3417" t="s">
        <v>1243</v>
      </c>
      <c r="AF3417">
        <v>2.1</v>
      </c>
      <c r="AG3417">
        <v>0</v>
      </c>
      <c r="AH3417">
        <v>0</v>
      </c>
      <c r="AI3417" s="4">
        <v>35674</v>
      </c>
    </row>
    <row r="3418" spans="1:35">
      <c r="A3418">
        <v>3417</v>
      </c>
      <c r="B3418" t="str">
        <f>"600355"</f>
        <v>600355</v>
      </c>
      <c r="C3418" t="s">
        <v>14454</v>
      </c>
      <c r="D3418" s="4">
        <v>43190</v>
      </c>
      <c r="E3418" t="s">
        <v>1615</v>
      </c>
      <c r="F3418" t="s">
        <v>1615</v>
      </c>
      <c r="G3418" t="s">
        <v>723</v>
      </c>
      <c r="H3418">
        <v>-0.01</v>
      </c>
      <c r="I3418">
        <v>0.7</v>
      </c>
      <c r="J3418">
        <v>-1.38</v>
      </c>
      <c r="K3418" t="s">
        <v>14455</v>
      </c>
      <c r="L3418">
        <v>16.66</v>
      </c>
      <c r="M3418" t="s">
        <v>14303</v>
      </c>
      <c r="N3418" t="s">
        <v>11830</v>
      </c>
      <c r="O3418" t="s">
        <v>14456</v>
      </c>
      <c r="P3418" t="s">
        <v>12521</v>
      </c>
      <c r="Q3418">
        <v>23.99</v>
      </c>
      <c r="R3418" t="s">
        <v>6325</v>
      </c>
      <c r="S3418">
        <v>-0.69</v>
      </c>
      <c r="T3418">
        <v>25.89</v>
      </c>
      <c r="U3418" t="s">
        <v>1002</v>
      </c>
      <c r="V3418" t="s">
        <v>2224</v>
      </c>
      <c r="W3418" t="s">
        <v>1376</v>
      </c>
      <c r="X3418">
        <v>-1.38</v>
      </c>
      <c r="Y3418" t="s">
        <v>1287</v>
      </c>
      <c r="Z3418" t="s">
        <v>454</v>
      </c>
      <c r="AA3418" t="s">
        <v>4735</v>
      </c>
      <c r="AB3418">
        <v>5.21</v>
      </c>
      <c r="AC3418" t="s">
        <v>1789</v>
      </c>
      <c r="AD3418">
        <v>61.73</v>
      </c>
      <c r="AE3418" t="s">
        <v>2034</v>
      </c>
      <c r="AF3418">
        <v>0.31</v>
      </c>
      <c r="AG3418">
        <v>0</v>
      </c>
      <c r="AH3418">
        <v>0</v>
      </c>
      <c r="AI3418" s="4">
        <v>37420</v>
      </c>
    </row>
    <row r="3419" spans="1:35">
      <c r="A3419">
        <v>3418</v>
      </c>
      <c r="B3419" t="str">
        <f>"002659"</f>
        <v>002659</v>
      </c>
      <c r="C3419" t="s">
        <v>14457</v>
      </c>
      <c r="D3419" s="4">
        <v>43190</v>
      </c>
      <c r="E3419" t="s">
        <v>2789</v>
      </c>
      <c r="F3419" t="s">
        <v>1048</v>
      </c>
      <c r="G3419" t="s">
        <v>2854</v>
      </c>
      <c r="H3419">
        <v>-0.06</v>
      </c>
      <c r="I3419">
        <v>4.3600000000000003</v>
      </c>
      <c r="J3419">
        <v>-1.38</v>
      </c>
      <c r="K3419" t="s">
        <v>2951</v>
      </c>
      <c r="L3419">
        <v>-54.46</v>
      </c>
      <c r="M3419" t="s">
        <v>14458</v>
      </c>
      <c r="N3419" t="s">
        <v>14459</v>
      </c>
      <c r="O3419" t="s">
        <v>14460</v>
      </c>
      <c r="P3419" t="s">
        <v>14461</v>
      </c>
      <c r="Q3419">
        <v>-2637.69</v>
      </c>
      <c r="R3419" t="s">
        <v>14462</v>
      </c>
      <c r="S3419">
        <v>-0.04</v>
      </c>
      <c r="T3419">
        <v>-43.64</v>
      </c>
      <c r="U3419" t="s">
        <v>946</v>
      </c>
      <c r="V3419" t="s">
        <v>203</v>
      </c>
      <c r="W3419" t="s">
        <v>176</v>
      </c>
      <c r="X3419">
        <v>-1.38</v>
      </c>
      <c r="Y3419" t="s">
        <v>1769</v>
      </c>
      <c r="Z3419" t="s">
        <v>1769</v>
      </c>
      <c r="AA3419">
        <v>0</v>
      </c>
      <c r="AB3419">
        <v>3</v>
      </c>
      <c r="AC3419" t="s">
        <v>2753</v>
      </c>
      <c r="AD3419">
        <v>70.53</v>
      </c>
      <c r="AE3419" t="s">
        <v>1190</v>
      </c>
      <c r="AF3419">
        <v>3.35</v>
      </c>
      <c r="AG3419">
        <v>0</v>
      </c>
      <c r="AH3419">
        <v>0</v>
      </c>
      <c r="AI3419" s="4">
        <v>40977</v>
      </c>
    </row>
    <row r="3420" spans="1:35">
      <c r="A3420">
        <v>3419</v>
      </c>
      <c r="B3420" t="str">
        <f>"603322"</f>
        <v>603322</v>
      </c>
      <c r="C3420" t="s">
        <v>14463</v>
      </c>
      <c r="D3420" s="4">
        <v>43190</v>
      </c>
      <c r="E3420" t="s">
        <v>355</v>
      </c>
      <c r="F3420" t="s">
        <v>14464</v>
      </c>
      <c r="G3420">
        <v>2535</v>
      </c>
      <c r="H3420">
        <v>-0.06</v>
      </c>
      <c r="I3420">
        <v>4.2300000000000004</v>
      </c>
      <c r="J3420">
        <v>-1.39</v>
      </c>
      <c r="K3420" t="s">
        <v>1287</v>
      </c>
      <c r="L3420">
        <v>32.28</v>
      </c>
      <c r="M3420" t="s">
        <v>14465</v>
      </c>
      <c r="N3420">
        <v>0</v>
      </c>
      <c r="O3420" t="s">
        <v>14466</v>
      </c>
      <c r="P3420" t="s">
        <v>11225</v>
      </c>
      <c r="Q3420">
        <v>12.23</v>
      </c>
      <c r="R3420" t="s">
        <v>711</v>
      </c>
      <c r="S3420">
        <v>1.1499999999999999</v>
      </c>
      <c r="T3420">
        <v>16.93</v>
      </c>
      <c r="U3420" t="s">
        <v>1569</v>
      </c>
      <c r="V3420" t="s">
        <v>161</v>
      </c>
      <c r="W3420" t="s">
        <v>3660</v>
      </c>
      <c r="X3420">
        <v>-1.39</v>
      </c>
      <c r="Y3420" t="s">
        <v>295</v>
      </c>
      <c r="Z3420" t="s">
        <v>1769</v>
      </c>
      <c r="AA3420" t="s">
        <v>64</v>
      </c>
      <c r="AB3420">
        <v>6.8</v>
      </c>
      <c r="AC3420" t="s">
        <v>616</v>
      </c>
      <c r="AD3420">
        <v>28.85</v>
      </c>
      <c r="AE3420" t="s">
        <v>1180</v>
      </c>
      <c r="AF3420">
        <v>1.98</v>
      </c>
      <c r="AG3420">
        <v>0</v>
      </c>
      <c r="AH3420">
        <v>0</v>
      </c>
      <c r="AI3420" s="4">
        <v>42579</v>
      </c>
    </row>
    <row r="3421" spans="1:35">
      <c r="A3421">
        <v>3420</v>
      </c>
      <c r="B3421" t="str">
        <f>"300161"</f>
        <v>300161</v>
      </c>
      <c r="C3421" t="s">
        <v>14467</v>
      </c>
      <c r="D3421" s="4">
        <v>43190</v>
      </c>
      <c r="E3421" t="s">
        <v>1855</v>
      </c>
      <c r="F3421" t="s">
        <v>64</v>
      </c>
      <c r="G3421">
        <v>6854</v>
      </c>
      <c r="H3421">
        <v>-0.09</v>
      </c>
      <c r="I3421">
        <v>6.54</v>
      </c>
      <c r="J3421">
        <v>-1.39</v>
      </c>
      <c r="K3421" t="s">
        <v>1627</v>
      </c>
      <c r="L3421">
        <v>-36.76</v>
      </c>
      <c r="M3421" t="s">
        <v>14468</v>
      </c>
      <c r="N3421">
        <v>0</v>
      </c>
      <c r="O3421" t="s">
        <v>14469</v>
      </c>
      <c r="P3421" t="s">
        <v>14470</v>
      </c>
      <c r="Q3421">
        <v>-81.069999999999993</v>
      </c>
      <c r="R3421" t="s">
        <v>319</v>
      </c>
      <c r="S3421">
        <v>0.94</v>
      </c>
      <c r="T3421">
        <v>31.92</v>
      </c>
      <c r="U3421" t="s">
        <v>728</v>
      </c>
      <c r="V3421" t="s">
        <v>1792</v>
      </c>
      <c r="W3421" t="s">
        <v>1152</v>
      </c>
      <c r="X3421">
        <v>-1.39</v>
      </c>
      <c r="Y3421" t="s">
        <v>421</v>
      </c>
      <c r="Z3421" t="s">
        <v>496</v>
      </c>
      <c r="AA3421" t="s">
        <v>1525</v>
      </c>
      <c r="AB3421">
        <v>1.88</v>
      </c>
      <c r="AC3421" t="s">
        <v>835</v>
      </c>
      <c r="AD3421">
        <v>50.89</v>
      </c>
      <c r="AE3421" t="s">
        <v>3712</v>
      </c>
      <c r="AF3421">
        <v>4.43</v>
      </c>
      <c r="AG3421">
        <v>0</v>
      </c>
      <c r="AH3421">
        <v>0</v>
      </c>
      <c r="AI3421" s="4">
        <v>40556</v>
      </c>
    </row>
    <row r="3422" spans="1:35">
      <c r="A3422">
        <v>3421</v>
      </c>
      <c r="B3422" t="str">
        <f>"002162"</f>
        <v>002162</v>
      </c>
      <c r="C3422" t="s">
        <v>14471</v>
      </c>
      <c r="D3422" s="4">
        <v>43190</v>
      </c>
      <c r="E3422" t="s">
        <v>297</v>
      </c>
      <c r="F3422" t="s">
        <v>1722</v>
      </c>
      <c r="G3422" t="s">
        <v>1105</v>
      </c>
      <c r="H3422">
        <v>-0.01</v>
      </c>
      <c r="I3422">
        <v>1.01</v>
      </c>
      <c r="J3422">
        <v>-1.39</v>
      </c>
      <c r="K3422" t="s">
        <v>93</v>
      </c>
      <c r="L3422">
        <v>-0.55000000000000004</v>
      </c>
      <c r="M3422" t="s">
        <v>14472</v>
      </c>
      <c r="N3422" t="s">
        <v>14473</v>
      </c>
      <c r="O3422" t="s">
        <v>14368</v>
      </c>
      <c r="P3422" t="s">
        <v>14474</v>
      </c>
      <c r="Q3422">
        <v>-11.31</v>
      </c>
      <c r="R3422" t="s">
        <v>11787</v>
      </c>
      <c r="S3422">
        <v>-0.25</v>
      </c>
      <c r="T3422">
        <v>34.36</v>
      </c>
      <c r="U3422" t="s">
        <v>1693</v>
      </c>
      <c r="V3422" t="s">
        <v>1993</v>
      </c>
      <c r="W3422" t="s">
        <v>1731</v>
      </c>
      <c r="X3422">
        <v>-1.39</v>
      </c>
      <c r="Y3422" t="s">
        <v>548</v>
      </c>
      <c r="Z3422" t="s">
        <v>978</v>
      </c>
      <c r="AA3422" t="s">
        <v>193</v>
      </c>
      <c r="AB3422">
        <v>2.83</v>
      </c>
      <c r="AC3422" t="s">
        <v>5703</v>
      </c>
      <c r="AD3422">
        <v>40.81</v>
      </c>
      <c r="AE3422" t="s">
        <v>14475</v>
      </c>
      <c r="AF3422">
        <v>0.09</v>
      </c>
      <c r="AG3422">
        <v>0</v>
      </c>
      <c r="AH3422">
        <v>0</v>
      </c>
      <c r="AI3422" s="4">
        <v>39317</v>
      </c>
    </row>
    <row r="3423" spans="1:35">
      <c r="A3423">
        <v>3422</v>
      </c>
      <c r="B3423" t="str">
        <f>"300370"</f>
        <v>300370</v>
      </c>
      <c r="C3423" t="s">
        <v>14476</v>
      </c>
      <c r="D3423" s="4">
        <v>43190</v>
      </c>
      <c r="E3423" t="s">
        <v>5494</v>
      </c>
      <c r="F3423" t="s">
        <v>1521</v>
      </c>
      <c r="G3423" t="s">
        <v>2775</v>
      </c>
      <c r="H3423">
        <v>-0.02</v>
      </c>
      <c r="I3423">
        <v>1.44</v>
      </c>
      <c r="J3423">
        <v>-1.4</v>
      </c>
      <c r="K3423" t="s">
        <v>677</v>
      </c>
      <c r="L3423">
        <v>15.85</v>
      </c>
      <c r="M3423" t="s">
        <v>14477</v>
      </c>
      <c r="N3423" t="s">
        <v>9692</v>
      </c>
      <c r="O3423" t="s">
        <v>14478</v>
      </c>
      <c r="P3423" t="s">
        <v>14479</v>
      </c>
      <c r="Q3423">
        <v>-6.19</v>
      </c>
      <c r="R3423" t="s">
        <v>1964</v>
      </c>
      <c r="S3423">
        <v>0.33</v>
      </c>
      <c r="T3423">
        <v>40.56</v>
      </c>
      <c r="U3423" t="s">
        <v>1032</v>
      </c>
      <c r="V3423" t="s">
        <v>706</v>
      </c>
      <c r="W3423" t="s">
        <v>144</v>
      </c>
      <c r="X3423">
        <v>-1.4</v>
      </c>
      <c r="Y3423" t="s">
        <v>426</v>
      </c>
      <c r="Z3423" t="s">
        <v>775</v>
      </c>
      <c r="AA3423" t="s">
        <v>59</v>
      </c>
      <c r="AB3423">
        <v>2.25</v>
      </c>
      <c r="AC3423" t="s">
        <v>176</v>
      </c>
      <c r="AD3423">
        <v>32.21</v>
      </c>
      <c r="AE3423" t="s">
        <v>2424</v>
      </c>
      <c r="AF3423">
        <v>0.16</v>
      </c>
      <c r="AG3423">
        <v>0</v>
      </c>
      <c r="AH3423">
        <v>0</v>
      </c>
      <c r="AI3423" s="4">
        <v>41662</v>
      </c>
    </row>
    <row r="3424" spans="1:35">
      <c r="A3424">
        <v>3423</v>
      </c>
      <c r="B3424" t="str">
        <f>"002205"</f>
        <v>002205</v>
      </c>
      <c r="C3424" t="s">
        <v>14480</v>
      </c>
      <c r="D3424" s="4">
        <v>43190</v>
      </c>
      <c r="E3424" t="s">
        <v>282</v>
      </c>
      <c r="F3424" t="s">
        <v>282</v>
      </c>
      <c r="G3424">
        <v>6966</v>
      </c>
      <c r="H3424">
        <v>-0.11</v>
      </c>
      <c r="I3424">
        <v>7.91</v>
      </c>
      <c r="J3424">
        <v>-1.4</v>
      </c>
      <c r="K3424" t="s">
        <v>14481</v>
      </c>
      <c r="L3424">
        <v>-5.81</v>
      </c>
      <c r="M3424" t="s">
        <v>14482</v>
      </c>
      <c r="N3424">
        <v>0</v>
      </c>
      <c r="O3424" t="s">
        <v>14483</v>
      </c>
      <c r="P3424" t="s">
        <v>14484</v>
      </c>
      <c r="Q3424">
        <v>-9.92</v>
      </c>
      <c r="R3424" t="s">
        <v>203</v>
      </c>
      <c r="S3424">
        <v>2.11</v>
      </c>
      <c r="T3424">
        <v>24.97</v>
      </c>
      <c r="U3424" t="s">
        <v>253</v>
      </c>
      <c r="V3424" t="s">
        <v>6611</v>
      </c>
      <c r="W3424" t="s">
        <v>128</v>
      </c>
      <c r="X3424">
        <v>-1.4</v>
      </c>
      <c r="Y3424" t="s">
        <v>971</v>
      </c>
      <c r="Z3424" t="s">
        <v>405</v>
      </c>
      <c r="AA3424" t="s">
        <v>2306</v>
      </c>
      <c r="AB3424">
        <v>1.42</v>
      </c>
      <c r="AC3424" t="s">
        <v>2073</v>
      </c>
      <c r="AD3424">
        <v>37.049999999999997</v>
      </c>
      <c r="AE3424" t="s">
        <v>4427</v>
      </c>
      <c r="AF3424">
        <v>4.5</v>
      </c>
      <c r="AG3424">
        <v>0</v>
      </c>
      <c r="AH3424">
        <v>0</v>
      </c>
      <c r="AI3424" s="4">
        <v>39470</v>
      </c>
    </row>
    <row r="3425" spans="1:35">
      <c r="A3425">
        <v>3424</v>
      </c>
      <c r="B3425" t="str">
        <f>"002199"</f>
        <v>002199</v>
      </c>
      <c r="C3425" t="s">
        <v>14485</v>
      </c>
      <c r="D3425" s="4">
        <v>43190</v>
      </c>
      <c r="E3425" t="s">
        <v>3674</v>
      </c>
      <c r="F3425" t="s">
        <v>1287</v>
      </c>
      <c r="G3425" t="s">
        <v>6572</v>
      </c>
      <c r="H3425">
        <v>-0.03</v>
      </c>
      <c r="I3425">
        <v>1.86</v>
      </c>
      <c r="J3425">
        <v>-1.41</v>
      </c>
      <c r="K3425" t="s">
        <v>14486</v>
      </c>
      <c r="L3425">
        <v>-0.33</v>
      </c>
      <c r="M3425" t="s">
        <v>14487</v>
      </c>
      <c r="N3425" t="s">
        <v>11529</v>
      </c>
      <c r="O3425" t="s">
        <v>13590</v>
      </c>
      <c r="P3425" t="s">
        <v>13590</v>
      </c>
      <c r="Q3425">
        <v>-742.1</v>
      </c>
      <c r="R3425" t="s">
        <v>13033</v>
      </c>
      <c r="S3425">
        <v>-1.33</v>
      </c>
      <c r="T3425">
        <v>11.78</v>
      </c>
      <c r="U3425" t="s">
        <v>2156</v>
      </c>
      <c r="V3425" t="s">
        <v>2769</v>
      </c>
      <c r="W3425" t="s">
        <v>1995</v>
      </c>
      <c r="X3425">
        <v>-1.41</v>
      </c>
      <c r="Y3425" t="s">
        <v>13941</v>
      </c>
      <c r="Z3425" t="s">
        <v>14488</v>
      </c>
      <c r="AA3425" t="s">
        <v>5001</v>
      </c>
      <c r="AB3425">
        <v>4.66</v>
      </c>
      <c r="AC3425" t="s">
        <v>3067</v>
      </c>
      <c r="AD3425">
        <v>82.07</v>
      </c>
      <c r="AE3425" t="s">
        <v>1731</v>
      </c>
      <c r="AF3425">
        <v>2.12</v>
      </c>
      <c r="AG3425">
        <v>0</v>
      </c>
      <c r="AH3425">
        <v>0</v>
      </c>
      <c r="AI3425" s="4">
        <v>39437</v>
      </c>
    </row>
    <row r="3426" spans="1:35">
      <c r="A3426">
        <v>3425</v>
      </c>
      <c r="B3426" t="str">
        <f>"600149"</f>
        <v>600149</v>
      </c>
      <c r="C3426" t="s">
        <v>14489</v>
      </c>
      <c r="D3426" s="4">
        <v>43190</v>
      </c>
      <c r="E3426" t="s">
        <v>1682</v>
      </c>
      <c r="F3426" t="s">
        <v>1682</v>
      </c>
      <c r="G3426">
        <v>7679</v>
      </c>
      <c r="H3426">
        <v>-0.01</v>
      </c>
      <c r="I3426">
        <v>0.53</v>
      </c>
      <c r="J3426">
        <v>-1.42</v>
      </c>
      <c r="K3426" t="s">
        <v>6250</v>
      </c>
      <c r="L3426">
        <v>0</v>
      </c>
      <c r="M3426" t="s">
        <v>14490</v>
      </c>
      <c r="N3426">
        <v>0</v>
      </c>
      <c r="O3426" t="s">
        <v>14490</v>
      </c>
      <c r="P3426" t="s">
        <v>14490</v>
      </c>
      <c r="Q3426">
        <v>-23.96</v>
      </c>
      <c r="R3426" t="s">
        <v>14491</v>
      </c>
      <c r="S3426">
        <v>-0.87</v>
      </c>
      <c r="T3426">
        <v>10.48</v>
      </c>
      <c r="U3426" t="s">
        <v>90</v>
      </c>
      <c r="V3426" t="s">
        <v>383</v>
      </c>
      <c r="W3426" t="s">
        <v>7114</v>
      </c>
      <c r="X3426">
        <v>-1.42</v>
      </c>
      <c r="Y3426" t="s">
        <v>2603</v>
      </c>
      <c r="Z3426" t="s">
        <v>2603</v>
      </c>
      <c r="AA3426" t="s">
        <v>1247</v>
      </c>
      <c r="AB3426">
        <v>10.89</v>
      </c>
      <c r="AC3426" t="s">
        <v>3768</v>
      </c>
      <c r="AD3426">
        <v>61.74</v>
      </c>
      <c r="AE3426" t="s">
        <v>1475</v>
      </c>
      <c r="AF3426">
        <v>0.28000000000000003</v>
      </c>
      <c r="AG3426">
        <v>0</v>
      </c>
      <c r="AH3426">
        <v>0</v>
      </c>
      <c r="AI3426" s="4">
        <v>36447</v>
      </c>
    </row>
    <row r="3427" spans="1:35">
      <c r="A3427">
        <v>3426</v>
      </c>
      <c r="B3427" t="str">
        <f>"002170"</f>
        <v>002170</v>
      </c>
      <c r="C3427" t="s">
        <v>14492</v>
      </c>
      <c r="D3427" s="4">
        <v>43190</v>
      </c>
      <c r="E3427" t="s">
        <v>1589</v>
      </c>
      <c r="F3427" t="s">
        <v>563</v>
      </c>
      <c r="G3427" t="s">
        <v>2589</v>
      </c>
      <c r="H3427">
        <v>-0.03</v>
      </c>
      <c r="I3427">
        <v>2.13</v>
      </c>
      <c r="J3427">
        <v>-1.43</v>
      </c>
      <c r="K3427" t="s">
        <v>137</v>
      </c>
      <c r="L3427">
        <v>-5.69</v>
      </c>
      <c r="M3427" t="s">
        <v>14493</v>
      </c>
      <c r="N3427" t="s">
        <v>14494</v>
      </c>
      <c r="O3427" t="s">
        <v>14495</v>
      </c>
      <c r="P3427" t="s">
        <v>14496</v>
      </c>
      <c r="Q3427">
        <v>-597.07000000000005</v>
      </c>
      <c r="R3427" t="s">
        <v>3027</v>
      </c>
      <c r="S3427">
        <v>0.46</v>
      </c>
      <c r="T3427">
        <v>12.1</v>
      </c>
      <c r="U3427" t="s">
        <v>113</v>
      </c>
      <c r="V3427" t="s">
        <v>1223</v>
      </c>
      <c r="W3427" t="s">
        <v>971</v>
      </c>
      <c r="X3427">
        <v>-1.43</v>
      </c>
      <c r="Y3427" t="s">
        <v>1752</v>
      </c>
      <c r="Z3427" t="s">
        <v>76</v>
      </c>
      <c r="AA3427" t="s">
        <v>286</v>
      </c>
      <c r="AB3427">
        <v>1.74</v>
      </c>
      <c r="AC3427" t="s">
        <v>308</v>
      </c>
      <c r="AD3427">
        <v>49.09</v>
      </c>
      <c r="AE3427" t="s">
        <v>1615</v>
      </c>
      <c r="AF3427">
        <v>0.55000000000000004</v>
      </c>
      <c r="AG3427">
        <v>0</v>
      </c>
      <c r="AH3427">
        <v>0</v>
      </c>
      <c r="AI3427" s="4">
        <v>39344</v>
      </c>
    </row>
    <row r="3428" spans="1:35">
      <c r="A3428">
        <v>3427</v>
      </c>
      <c r="B3428" t="str">
        <f>"600716"</f>
        <v>600716</v>
      </c>
      <c r="C3428" t="s">
        <v>14497</v>
      </c>
      <c r="D3428" s="4">
        <v>43190</v>
      </c>
      <c r="E3428" t="s">
        <v>6052</v>
      </c>
      <c r="F3428" t="s">
        <v>277</v>
      </c>
      <c r="G3428" t="s">
        <v>7750</v>
      </c>
      <c r="H3428">
        <v>-0.05</v>
      </c>
      <c r="I3428">
        <v>3.43</v>
      </c>
      <c r="J3428">
        <v>-1.43</v>
      </c>
      <c r="K3428" t="s">
        <v>1967</v>
      </c>
      <c r="L3428">
        <v>78.75</v>
      </c>
      <c r="M3428" t="s">
        <v>14498</v>
      </c>
      <c r="N3428">
        <v>0</v>
      </c>
      <c r="O3428" t="s">
        <v>14499</v>
      </c>
      <c r="P3428" t="s">
        <v>14500</v>
      </c>
      <c r="Q3428">
        <v>-330.81</v>
      </c>
      <c r="R3428" t="s">
        <v>2921</v>
      </c>
      <c r="S3428">
        <v>0.7</v>
      </c>
      <c r="T3428">
        <v>6.49</v>
      </c>
      <c r="U3428" t="s">
        <v>3167</v>
      </c>
      <c r="V3428" t="s">
        <v>1857</v>
      </c>
      <c r="W3428" t="s">
        <v>14501</v>
      </c>
      <c r="X3428">
        <v>-1.43</v>
      </c>
      <c r="Y3428" t="s">
        <v>1032</v>
      </c>
      <c r="Z3428" t="s">
        <v>584</v>
      </c>
      <c r="AA3428" t="s">
        <v>1329</v>
      </c>
      <c r="AB3428">
        <v>1.06</v>
      </c>
      <c r="AC3428" t="s">
        <v>2535</v>
      </c>
      <c r="AD3428">
        <v>42.18</v>
      </c>
      <c r="AE3428" t="s">
        <v>141</v>
      </c>
      <c r="AF3428">
        <v>1.58</v>
      </c>
      <c r="AG3428">
        <v>0</v>
      </c>
      <c r="AH3428">
        <v>0</v>
      </c>
      <c r="AI3428" s="4">
        <v>35248</v>
      </c>
    </row>
    <row r="3429" spans="1:35">
      <c r="A3429">
        <v>3428</v>
      </c>
      <c r="B3429" t="str">
        <f>"300598"</f>
        <v>300598</v>
      </c>
      <c r="C3429" t="s">
        <v>14502</v>
      </c>
      <c r="D3429" s="4">
        <v>43190</v>
      </c>
      <c r="E3429" t="s">
        <v>2575</v>
      </c>
      <c r="F3429" t="s">
        <v>2660</v>
      </c>
      <c r="G3429">
        <v>5268</v>
      </c>
      <c r="H3429">
        <v>-0.08</v>
      </c>
      <c r="I3429">
        <v>5.49</v>
      </c>
      <c r="J3429">
        <v>-1.45</v>
      </c>
      <c r="K3429" t="s">
        <v>355</v>
      </c>
      <c r="L3429">
        <v>-0.85</v>
      </c>
      <c r="M3429" t="s">
        <v>14503</v>
      </c>
      <c r="N3429" t="s">
        <v>2969</v>
      </c>
      <c r="O3429" t="s">
        <v>14504</v>
      </c>
      <c r="P3429" t="s">
        <v>14505</v>
      </c>
      <c r="Q3429">
        <v>-413.2</v>
      </c>
      <c r="R3429" t="s">
        <v>290</v>
      </c>
      <c r="S3429">
        <v>2.0499999999999998</v>
      </c>
      <c r="T3429">
        <v>25.41</v>
      </c>
      <c r="U3429" t="s">
        <v>943</v>
      </c>
      <c r="V3429" t="s">
        <v>1295</v>
      </c>
      <c r="W3429" t="s">
        <v>12126</v>
      </c>
      <c r="X3429">
        <v>-1.45</v>
      </c>
      <c r="Y3429" t="s">
        <v>14506</v>
      </c>
      <c r="Z3429" t="s">
        <v>12542</v>
      </c>
      <c r="AA3429" t="s">
        <v>4193</v>
      </c>
      <c r="AB3429">
        <v>4.9800000000000004</v>
      </c>
      <c r="AC3429" t="s">
        <v>1563</v>
      </c>
      <c r="AD3429">
        <v>83.21</v>
      </c>
      <c r="AE3429" t="s">
        <v>284</v>
      </c>
      <c r="AF3429">
        <v>2.19</v>
      </c>
      <c r="AG3429">
        <v>0</v>
      </c>
      <c r="AH3429">
        <v>0</v>
      </c>
      <c r="AI3429" s="4">
        <v>42755</v>
      </c>
    </row>
    <row r="3430" spans="1:35">
      <c r="A3430">
        <v>3429</v>
      </c>
      <c r="B3430" t="str">
        <f>"300742"</f>
        <v>300742</v>
      </c>
      <c r="C3430" t="s">
        <v>14507</v>
      </c>
      <c r="D3430" s="4">
        <v>43190</v>
      </c>
      <c r="E3430" t="s">
        <v>14508</v>
      </c>
      <c r="F3430" t="s">
        <v>14443</v>
      </c>
      <c r="G3430">
        <v>0</v>
      </c>
      <c r="H3430">
        <v>-0.13</v>
      </c>
      <c r="I3430">
        <v>14.01</v>
      </c>
      <c r="J3430">
        <v>-1.46</v>
      </c>
      <c r="K3430" t="s">
        <v>3949</v>
      </c>
      <c r="L3430">
        <v>-23.58</v>
      </c>
      <c r="M3430" t="s">
        <v>14509</v>
      </c>
      <c r="N3430">
        <v>0</v>
      </c>
      <c r="O3430" t="s">
        <v>14510</v>
      </c>
      <c r="P3430" t="s">
        <v>14510</v>
      </c>
      <c r="Q3430">
        <v>-24.78</v>
      </c>
      <c r="R3430" t="s">
        <v>1855</v>
      </c>
      <c r="S3430">
        <v>2.21</v>
      </c>
      <c r="T3430">
        <v>41.85</v>
      </c>
      <c r="U3430" t="s">
        <v>304</v>
      </c>
      <c r="V3430" t="s">
        <v>1384</v>
      </c>
      <c r="W3430" t="s">
        <v>452</v>
      </c>
      <c r="X3430">
        <v>-1.46</v>
      </c>
      <c r="Y3430" t="s">
        <v>919</v>
      </c>
      <c r="Z3430" t="s">
        <v>2414</v>
      </c>
      <c r="AA3430" t="s">
        <v>13665</v>
      </c>
      <c r="AB3430">
        <v>4.93</v>
      </c>
      <c r="AC3430" t="s">
        <v>491</v>
      </c>
      <c r="AD3430">
        <v>39.43</v>
      </c>
      <c r="AE3430" t="s">
        <v>599</v>
      </c>
      <c r="AF3430">
        <v>10.53</v>
      </c>
      <c r="AG3430">
        <v>0</v>
      </c>
      <c r="AH3430">
        <v>0</v>
      </c>
      <c r="AI3430" s="4">
        <v>43228</v>
      </c>
    </row>
    <row r="3431" spans="1:35">
      <c r="A3431">
        <v>3430</v>
      </c>
      <c r="B3431" t="str">
        <f>"600301"</f>
        <v>600301</v>
      </c>
      <c r="C3431" t="s">
        <v>14511</v>
      </c>
      <c r="D3431" s="4">
        <v>43190</v>
      </c>
      <c r="E3431" t="s">
        <v>1999</v>
      </c>
      <c r="F3431" t="s">
        <v>1999</v>
      </c>
      <c r="G3431" t="s">
        <v>1144</v>
      </c>
      <c r="H3431">
        <v>-0.02</v>
      </c>
      <c r="I3431">
        <v>1.01</v>
      </c>
      <c r="J3431">
        <v>-1.49</v>
      </c>
      <c r="K3431" t="s">
        <v>10750</v>
      </c>
      <c r="L3431">
        <v>83.06</v>
      </c>
      <c r="M3431" t="s">
        <v>14512</v>
      </c>
      <c r="N3431">
        <v>0</v>
      </c>
      <c r="O3431" t="s">
        <v>13548</v>
      </c>
      <c r="P3431" t="s">
        <v>13883</v>
      </c>
      <c r="Q3431">
        <v>-54.95</v>
      </c>
      <c r="R3431" t="s">
        <v>172</v>
      </c>
      <c r="S3431">
        <v>-4.96</v>
      </c>
      <c r="T3431">
        <v>2.5099999999999998</v>
      </c>
      <c r="U3431" t="s">
        <v>3632</v>
      </c>
      <c r="V3431" t="s">
        <v>184</v>
      </c>
      <c r="W3431" t="s">
        <v>14513</v>
      </c>
      <c r="X3431">
        <v>-1.49</v>
      </c>
      <c r="Y3431" t="s">
        <v>2304</v>
      </c>
      <c r="Z3431" t="s">
        <v>944</v>
      </c>
      <c r="AA3431" t="s">
        <v>13753</v>
      </c>
      <c r="AB3431">
        <v>5.22</v>
      </c>
      <c r="AC3431" t="s">
        <v>676</v>
      </c>
      <c r="AD3431">
        <v>31.89</v>
      </c>
      <c r="AE3431" t="s">
        <v>323</v>
      </c>
      <c r="AF3431">
        <v>4.7300000000000004</v>
      </c>
      <c r="AG3431">
        <v>0</v>
      </c>
      <c r="AH3431">
        <v>0</v>
      </c>
      <c r="AI3431" s="4">
        <v>36719</v>
      </c>
    </row>
    <row r="3432" spans="1:35">
      <c r="A3432">
        <v>3431</v>
      </c>
      <c r="B3432" t="str">
        <f>"000561"</f>
        <v>000561</v>
      </c>
      <c r="C3432" t="s">
        <v>14514</v>
      </c>
      <c r="D3432" s="4">
        <v>43190</v>
      </c>
      <c r="E3432" t="s">
        <v>607</v>
      </c>
      <c r="F3432" t="s">
        <v>1652</v>
      </c>
      <c r="G3432" t="s">
        <v>2349</v>
      </c>
      <c r="H3432">
        <v>-0.03</v>
      </c>
      <c r="I3432">
        <v>2.09</v>
      </c>
      <c r="J3432">
        <v>-1.5</v>
      </c>
      <c r="K3432" t="s">
        <v>1597</v>
      </c>
      <c r="L3432">
        <v>34.33</v>
      </c>
      <c r="M3432" t="s">
        <v>13859</v>
      </c>
      <c r="N3432" t="s">
        <v>5442</v>
      </c>
      <c r="O3432" t="s">
        <v>14515</v>
      </c>
      <c r="P3432" t="s">
        <v>14516</v>
      </c>
      <c r="Q3432">
        <v>1.98</v>
      </c>
      <c r="R3432" t="s">
        <v>1076</v>
      </c>
      <c r="S3432">
        <v>0.84</v>
      </c>
      <c r="T3432">
        <v>35.78</v>
      </c>
      <c r="U3432" t="s">
        <v>450</v>
      </c>
      <c r="V3432" t="s">
        <v>114</v>
      </c>
      <c r="W3432" t="s">
        <v>145</v>
      </c>
      <c r="X3432">
        <v>-1.5</v>
      </c>
      <c r="Y3432" t="s">
        <v>624</v>
      </c>
      <c r="Z3432" t="s">
        <v>300</v>
      </c>
      <c r="AA3432" t="s">
        <v>372</v>
      </c>
      <c r="AB3432">
        <v>2.7</v>
      </c>
      <c r="AC3432" t="s">
        <v>164</v>
      </c>
      <c r="AD3432">
        <v>45.47</v>
      </c>
      <c r="AE3432" t="s">
        <v>975</v>
      </c>
      <c r="AF3432">
        <v>0.34</v>
      </c>
      <c r="AG3432">
        <v>0</v>
      </c>
      <c r="AH3432">
        <v>0</v>
      </c>
      <c r="AI3432" s="4">
        <v>34463</v>
      </c>
    </row>
    <row r="3433" spans="1:35">
      <c r="A3433">
        <v>3432</v>
      </c>
      <c r="B3433" t="str">
        <f>"002786"</f>
        <v>002786</v>
      </c>
      <c r="C3433" t="s">
        <v>14517</v>
      </c>
      <c r="D3433" s="4">
        <v>43190</v>
      </c>
      <c r="E3433" t="s">
        <v>3259</v>
      </c>
      <c r="F3433" t="s">
        <v>993</v>
      </c>
      <c r="G3433">
        <v>3874</v>
      </c>
      <c r="H3433">
        <v>-0.04</v>
      </c>
      <c r="I3433">
        <v>2.85</v>
      </c>
      <c r="J3433">
        <v>-1.51</v>
      </c>
      <c r="K3433" t="s">
        <v>1567</v>
      </c>
      <c r="L3433">
        <v>7.81</v>
      </c>
      <c r="M3433" t="s">
        <v>14518</v>
      </c>
      <c r="N3433" t="s">
        <v>3136</v>
      </c>
      <c r="O3433" t="s">
        <v>14519</v>
      </c>
      <c r="P3433" t="s">
        <v>14520</v>
      </c>
      <c r="Q3433">
        <v>-306.02</v>
      </c>
      <c r="R3433" t="s">
        <v>2685</v>
      </c>
      <c r="S3433">
        <v>1.25</v>
      </c>
      <c r="T3433">
        <v>14.04</v>
      </c>
      <c r="U3433" t="s">
        <v>3160</v>
      </c>
      <c r="V3433" t="s">
        <v>774</v>
      </c>
      <c r="W3433" t="s">
        <v>8311</v>
      </c>
      <c r="X3433">
        <v>-1.51</v>
      </c>
      <c r="Y3433" t="s">
        <v>2100</v>
      </c>
      <c r="Z3433" t="s">
        <v>1704</v>
      </c>
      <c r="AA3433" t="s">
        <v>1810</v>
      </c>
      <c r="AB3433">
        <v>2.16</v>
      </c>
      <c r="AC3433" t="s">
        <v>1223</v>
      </c>
      <c r="AD3433">
        <v>28.41</v>
      </c>
      <c r="AE3433" t="s">
        <v>1200</v>
      </c>
      <c r="AF3433">
        <v>0.46</v>
      </c>
      <c r="AG3433">
        <v>0</v>
      </c>
      <c r="AH3433">
        <v>0</v>
      </c>
      <c r="AI3433" s="4">
        <v>42361</v>
      </c>
    </row>
    <row r="3434" spans="1:35">
      <c r="A3434">
        <v>3433</v>
      </c>
      <c r="B3434" t="str">
        <f>"002524"</f>
        <v>002524</v>
      </c>
      <c r="C3434" t="s">
        <v>14521</v>
      </c>
      <c r="D3434" s="4">
        <v>43190</v>
      </c>
      <c r="E3434" t="s">
        <v>442</v>
      </c>
      <c r="F3434" t="s">
        <v>2563</v>
      </c>
      <c r="G3434" t="s">
        <v>2589</v>
      </c>
      <c r="H3434">
        <v>-0.02</v>
      </c>
      <c r="I3434">
        <v>1.58</v>
      </c>
      <c r="J3434">
        <v>-1.52</v>
      </c>
      <c r="K3434" t="s">
        <v>209</v>
      </c>
      <c r="L3434">
        <v>29.05</v>
      </c>
      <c r="M3434" t="s">
        <v>14522</v>
      </c>
      <c r="N3434" t="s">
        <v>14523</v>
      </c>
      <c r="O3434" t="s">
        <v>14524</v>
      </c>
      <c r="P3434" t="s">
        <v>14525</v>
      </c>
      <c r="Q3434">
        <v>12.12</v>
      </c>
      <c r="R3434" t="s">
        <v>14526</v>
      </c>
      <c r="S3434">
        <v>-0.11</v>
      </c>
      <c r="T3434">
        <v>17.38</v>
      </c>
      <c r="U3434" t="s">
        <v>848</v>
      </c>
      <c r="V3434" t="s">
        <v>2581</v>
      </c>
      <c r="W3434" t="s">
        <v>475</v>
      </c>
      <c r="X3434">
        <v>-1.52</v>
      </c>
      <c r="Y3434" t="s">
        <v>2264</v>
      </c>
      <c r="Z3434" t="s">
        <v>852</v>
      </c>
      <c r="AA3434" t="s">
        <v>1626</v>
      </c>
      <c r="AB3434">
        <v>3.08</v>
      </c>
      <c r="AC3434" t="s">
        <v>2192</v>
      </c>
      <c r="AD3434">
        <v>50.76</v>
      </c>
      <c r="AE3434" t="s">
        <v>1797</v>
      </c>
      <c r="AF3434">
        <v>0.64</v>
      </c>
      <c r="AG3434">
        <v>0</v>
      </c>
      <c r="AH3434">
        <v>0</v>
      </c>
      <c r="AI3434" s="4">
        <v>40529</v>
      </c>
    </row>
    <row r="3435" spans="1:35">
      <c r="A3435">
        <v>3434</v>
      </c>
      <c r="B3435" t="str">
        <f>"002044"</f>
        <v>002044</v>
      </c>
      <c r="C3435" t="s">
        <v>14527</v>
      </c>
      <c r="D3435" s="4">
        <v>43190</v>
      </c>
      <c r="E3435" t="s">
        <v>313</v>
      </c>
      <c r="F3435" t="s">
        <v>1307</v>
      </c>
      <c r="G3435" t="s">
        <v>14528</v>
      </c>
      <c r="H3435">
        <v>-0.03</v>
      </c>
      <c r="I3435">
        <v>2.0099999999999998</v>
      </c>
      <c r="J3435">
        <v>-1.53</v>
      </c>
      <c r="K3435" t="s">
        <v>982</v>
      </c>
      <c r="L3435">
        <v>65</v>
      </c>
      <c r="M3435" t="s">
        <v>13280</v>
      </c>
      <c r="N3435" t="s">
        <v>3003</v>
      </c>
      <c r="O3435" t="s">
        <v>13281</v>
      </c>
      <c r="P3435" t="s">
        <v>14529</v>
      </c>
      <c r="Q3435">
        <v>30.54</v>
      </c>
      <c r="R3435" t="s">
        <v>538</v>
      </c>
      <c r="S3435">
        <v>0.41</v>
      </c>
      <c r="T3435">
        <v>32.700000000000003</v>
      </c>
      <c r="U3435" t="s">
        <v>311</v>
      </c>
      <c r="V3435" t="s">
        <v>3926</v>
      </c>
      <c r="W3435" t="s">
        <v>980</v>
      </c>
      <c r="X3435">
        <v>-1.53</v>
      </c>
      <c r="Y3435" t="s">
        <v>530</v>
      </c>
      <c r="Z3435" t="s">
        <v>369</v>
      </c>
      <c r="AA3435" t="s">
        <v>516</v>
      </c>
      <c r="AB3435">
        <v>10.74</v>
      </c>
      <c r="AC3435" t="s">
        <v>2935</v>
      </c>
      <c r="AD3435">
        <v>50.16</v>
      </c>
      <c r="AE3435" t="s">
        <v>826</v>
      </c>
      <c r="AF3435">
        <v>0.59</v>
      </c>
      <c r="AG3435">
        <v>0</v>
      </c>
      <c r="AH3435">
        <v>0</v>
      </c>
      <c r="AI3435" s="4">
        <v>38490</v>
      </c>
    </row>
    <row r="3436" spans="1:35">
      <c r="A3436">
        <v>3435</v>
      </c>
      <c r="B3436" t="str">
        <f>"000711"</f>
        <v>000711</v>
      </c>
      <c r="C3436" t="s">
        <v>14530</v>
      </c>
      <c r="D3436" s="4">
        <v>43190</v>
      </c>
      <c r="E3436" t="s">
        <v>648</v>
      </c>
      <c r="F3436" t="s">
        <v>338</v>
      </c>
      <c r="G3436" t="s">
        <v>5462</v>
      </c>
      <c r="H3436">
        <v>-0.09</v>
      </c>
      <c r="I3436">
        <v>4.75</v>
      </c>
      <c r="J3436">
        <v>-1.55</v>
      </c>
      <c r="K3436" t="s">
        <v>282</v>
      </c>
      <c r="L3436">
        <v>894.48</v>
      </c>
      <c r="M3436" t="s">
        <v>14531</v>
      </c>
      <c r="N3436" t="s">
        <v>11885</v>
      </c>
      <c r="O3436" t="s">
        <v>14532</v>
      </c>
      <c r="P3436" t="s">
        <v>14533</v>
      </c>
      <c r="Q3436">
        <v>-156.55000000000001</v>
      </c>
      <c r="R3436" t="s">
        <v>1511</v>
      </c>
      <c r="S3436">
        <v>0.31</v>
      </c>
      <c r="T3436">
        <v>26.59</v>
      </c>
      <c r="U3436" t="s">
        <v>4996</v>
      </c>
      <c r="V3436" t="s">
        <v>3377</v>
      </c>
      <c r="W3436" t="s">
        <v>167</v>
      </c>
      <c r="X3436">
        <v>-1.55</v>
      </c>
      <c r="Y3436" t="s">
        <v>2567</v>
      </c>
      <c r="Z3436" t="s">
        <v>1170</v>
      </c>
      <c r="AA3436" t="s">
        <v>647</v>
      </c>
      <c r="AB3436">
        <v>2.11</v>
      </c>
      <c r="AC3436" t="s">
        <v>2642</v>
      </c>
      <c r="AD3436">
        <v>45.68</v>
      </c>
      <c r="AE3436" t="s">
        <v>1285</v>
      </c>
      <c r="AF3436">
        <v>3.4</v>
      </c>
      <c r="AG3436">
        <v>0</v>
      </c>
      <c r="AH3436">
        <v>0</v>
      </c>
      <c r="AI3436" s="4">
        <v>35531</v>
      </c>
    </row>
    <row r="3437" spans="1:35">
      <c r="A3437">
        <v>3436</v>
      </c>
      <c r="B3437" t="str">
        <f>"000691"</f>
        <v>000691</v>
      </c>
      <c r="C3437" t="s">
        <v>14534</v>
      </c>
      <c r="D3437" s="4">
        <v>43190</v>
      </c>
      <c r="E3437" t="s">
        <v>1797</v>
      </c>
      <c r="F3437" t="s">
        <v>286</v>
      </c>
      <c r="G3437" t="s">
        <v>168</v>
      </c>
      <c r="H3437">
        <v>0</v>
      </c>
      <c r="I3437">
        <v>0.23</v>
      </c>
      <c r="J3437">
        <v>-1.56</v>
      </c>
      <c r="K3437" t="s">
        <v>11685</v>
      </c>
      <c r="L3437">
        <v>0</v>
      </c>
      <c r="M3437" t="s">
        <v>11176</v>
      </c>
      <c r="N3437">
        <v>0</v>
      </c>
      <c r="O3437" t="s">
        <v>11176</v>
      </c>
      <c r="P3437" t="s">
        <v>8163</v>
      </c>
      <c r="Q3437">
        <v>25.74</v>
      </c>
      <c r="R3437" t="s">
        <v>14535</v>
      </c>
      <c r="S3437">
        <v>-1.29</v>
      </c>
      <c r="T3437">
        <v>15.47</v>
      </c>
      <c r="U3437" t="s">
        <v>474</v>
      </c>
      <c r="V3437" t="s">
        <v>1853</v>
      </c>
      <c r="W3437" t="s">
        <v>10187</v>
      </c>
      <c r="X3437">
        <v>-1.56</v>
      </c>
      <c r="Y3437" t="s">
        <v>505</v>
      </c>
      <c r="Z3437" t="s">
        <v>600</v>
      </c>
      <c r="AA3437" t="s">
        <v>4934</v>
      </c>
      <c r="AB3437">
        <v>23.01</v>
      </c>
      <c r="AC3437" t="s">
        <v>14536</v>
      </c>
      <c r="AD3437">
        <v>29.88</v>
      </c>
      <c r="AE3437" t="s">
        <v>452</v>
      </c>
      <c r="AF3437">
        <v>0.47</v>
      </c>
      <c r="AG3437">
        <v>0</v>
      </c>
      <c r="AH3437">
        <v>0</v>
      </c>
      <c r="AI3437" s="4">
        <v>35489</v>
      </c>
    </row>
    <row r="3438" spans="1:35">
      <c r="A3438">
        <v>3437</v>
      </c>
      <c r="B3438" t="str">
        <f>"600583"</f>
        <v>600583</v>
      </c>
      <c r="C3438" t="s">
        <v>14537</v>
      </c>
      <c r="D3438" s="4">
        <v>43190</v>
      </c>
      <c r="E3438" t="s">
        <v>3016</v>
      </c>
      <c r="F3438" t="s">
        <v>3016</v>
      </c>
      <c r="G3438" t="s">
        <v>377</v>
      </c>
      <c r="H3438">
        <v>-0.08</v>
      </c>
      <c r="I3438">
        <v>5.09</v>
      </c>
      <c r="J3438">
        <v>-1.57</v>
      </c>
      <c r="K3438" t="s">
        <v>164</v>
      </c>
      <c r="L3438">
        <v>-10.17</v>
      </c>
      <c r="M3438" t="s">
        <v>14538</v>
      </c>
      <c r="N3438" t="s">
        <v>14539</v>
      </c>
      <c r="O3438" t="s">
        <v>14540</v>
      </c>
      <c r="P3438" t="s">
        <v>14541</v>
      </c>
      <c r="Q3438">
        <v>-111.59</v>
      </c>
      <c r="R3438" t="s">
        <v>1089</v>
      </c>
      <c r="S3438">
        <v>2.67</v>
      </c>
      <c r="T3438">
        <v>-12.14</v>
      </c>
      <c r="U3438" t="s">
        <v>2707</v>
      </c>
      <c r="V3438" t="s">
        <v>1159</v>
      </c>
      <c r="W3438" t="s">
        <v>399</v>
      </c>
      <c r="X3438">
        <v>-1.57</v>
      </c>
      <c r="Y3438" t="s">
        <v>1305</v>
      </c>
      <c r="Z3438" t="s">
        <v>1174</v>
      </c>
      <c r="AA3438" t="s">
        <v>858</v>
      </c>
      <c r="AB3438">
        <v>1.01</v>
      </c>
      <c r="AC3438" t="s">
        <v>1931</v>
      </c>
      <c r="AD3438">
        <v>84.88</v>
      </c>
      <c r="AE3438" t="s">
        <v>2600</v>
      </c>
      <c r="AF3438">
        <v>0.96</v>
      </c>
      <c r="AG3438">
        <v>0</v>
      </c>
      <c r="AH3438">
        <v>0</v>
      </c>
      <c r="AI3438" s="4">
        <v>37292</v>
      </c>
    </row>
    <row r="3439" spans="1:35">
      <c r="A3439">
        <v>3438</v>
      </c>
      <c r="B3439" t="str">
        <f>"300464"</f>
        <v>300464</v>
      </c>
      <c r="C3439" t="s">
        <v>14542</v>
      </c>
      <c r="D3439" s="4">
        <v>43190</v>
      </c>
      <c r="E3439" t="s">
        <v>415</v>
      </c>
      <c r="F3439" t="s">
        <v>14543</v>
      </c>
      <c r="G3439">
        <v>6842</v>
      </c>
      <c r="H3439">
        <v>-0.04</v>
      </c>
      <c r="I3439">
        <v>2.41</v>
      </c>
      <c r="J3439">
        <v>-1.62</v>
      </c>
      <c r="K3439" t="s">
        <v>533</v>
      </c>
      <c r="L3439">
        <v>9.3000000000000007</v>
      </c>
      <c r="M3439" t="s">
        <v>14544</v>
      </c>
      <c r="N3439">
        <v>8795</v>
      </c>
      <c r="O3439" t="s">
        <v>14545</v>
      </c>
      <c r="P3439" t="s">
        <v>14546</v>
      </c>
      <c r="Q3439">
        <v>-281.83999999999997</v>
      </c>
      <c r="R3439" t="s">
        <v>2031</v>
      </c>
      <c r="S3439">
        <v>0.79</v>
      </c>
      <c r="T3439">
        <v>1.1200000000000001</v>
      </c>
      <c r="U3439" t="s">
        <v>978</v>
      </c>
      <c r="V3439" t="s">
        <v>3376</v>
      </c>
      <c r="W3439" t="s">
        <v>749</v>
      </c>
      <c r="X3439">
        <v>-1.62</v>
      </c>
      <c r="Y3439" t="s">
        <v>666</v>
      </c>
      <c r="Z3439" t="s">
        <v>806</v>
      </c>
      <c r="AA3439" t="s">
        <v>651</v>
      </c>
      <c r="AB3439">
        <v>3.47</v>
      </c>
      <c r="AC3439" t="s">
        <v>2563</v>
      </c>
      <c r="AD3439">
        <v>48.78</v>
      </c>
      <c r="AE3439" t="s">
        <v>355</v>
      </c>
      <c r="AF3439">
        <v>0.54</v>
      </c>
      <c r="AG3439">
        <v>0</v>
      </c>
      <c r="AH3439">
        <v>0</v>
      </c>
      <c r="AI3439" s="4">
        <v>42165</v>
      </c>
    </row>
    <row r="3440" spans="1:35">
      <c r="A3440">
        <v>3439</v>
      </c>
      <c r="B3440" t="str">
        <f>"603227"</f>
        <v>603227</v>
      </c>
      <c r="C3440" t="s">
        <v>14547</v>
      </c>
      <c r="D3440" s="4">
        <v>43190</v>
      </c>
      <c r="E3440" t="s">
        <v>1276</v>
      </c>
      <c r="F3440" t="s">
        <v>1276</v>
      </c>
      <c r="G3440">
        <v>9912</v>
      </c>
      <c r="H3440">
        <v>-0.03</v>
      </c>
      <c r="I3440">
        <v>1.71</v>
      </c>
      <c r="J3440">
        <v>-1.63</v>
      </c>
      <c r="K3440" t="s">
        <v>535</v>
      </c>
      <c r="L3440">
        <v>115.78</v>
      </c>
      <c r="M3440" t="s">
        <v>14548</v>
      </c>
      <c r="N3440" t="s">
        <v>14549</v>
      </c>
      <c r="O3440" t="s">
        <v>14550</v>
      </c>
      <c r="P3440" t="s">
        <v>14551</v>
      </c>
      <c r="Q3440">
        <v>26.52</v>
      </c>
      <c r="R3440" t="s">
        <v>14552</v>
      </c>
      <c r="S3440">
        <v>0.13</v>
      </c>
      <c r="T3440">
        <v>8.59</v>
      </c>
      <c r="U3440" t="s">
        <v>1504</v>
      </c>
      <c r="V3440" t="s">
        <v>982</v>
      </c>
      <c r="W3440" t="s">
        <v>1705</v>
      </c>
      <c r="X3440">
        <v>-1.63</v>
      </c>
      <c r="Y3440" t="s">
        <v>625</v>
      </c>
      <c r="Z3440" t="s">
        <v>871</v>
      </c>
      <c r="AA3440" t="s">
        <v>1209</v>
      </c>
      <c r="AB3440">
        <v>2.0499999999999998</v>
      </c>
      <c r="AC3440" t="s">
        <v>147</v>
      </c>
      <c r="AD3440">
        <v>43.47</v>
      </c>
      <c r="AE3440" t="s">
        <v>144</v>
      </c>
      <c r="AF3440">
        <v>0.49</v>
      </c>
      <c r="AG3440">
        <v>0</v>
      </c>
      <c r="AH3440">
        <v>0</v>
      </c>
      <c r="AI3440" s="4">
        <v>42139</v>
      </c>
    </row>
    <row r="3441" spans="1:35">
      <c r="A3441">
        <v>3440</v>
      </c>
      <c r="B3441" t="str">
        <f>"603169"</f>
        <v>603169</v>
      </c>
      <c r="C3441" t="s">
        <v>14553</v>
      </c>
      <c r="D3441" s="4">
        <v>43190</v>
      </c>
      <c r="E3441" t="s">
        <v>407</v>
      </c>
      <c r="F3441" t="s">
        <v>978</v>
      </c>
      <c r="G3441" t="s">
        <v>522</v>
      </c>
      <c r="H3441">
        <v>-0.05</v>
      </c>
      <c r="I3441">
        <v>3.07</v>
      </c>
      <c r="J3441">
        <v>-1.63</v>
      </c>
      <c r="K3441" t="s">
        <v>1491</v>
      </c>
      <c r="L3441">
        <v>282.23</v>
      </c>
      <c r="M3441" t="s">
        <v>14554</v>
      </c>
      <c r="N3441" t="s">
        <v>13260</v>
      </c>
      <c r="O3441" t="s">
        <v>14555</v>
      </c>
      <c r="P3441" t="s">
        <v>14556</v>
      </c>
      <c r="Q3441">
        <v>3.29</v>
      </c>
      <c r="R3441" t="s">
        <v>1652</v>
      </c>
      <c r="S3441">
        <v>0.56999999999999995</v>
      </c>
      <c r="T3441">
        <v>8.42</v>
      </c>
      <c r="U3441" t="s">
        <v>689</v>
      </c>
      <c r="V3441" t="s">
        <v>5350</v>
      </c>
      <c r="W3441" t="s">
        <v>239</v>
      </c>
      <c r="X3441">
        <v>-1.63</v>
      </c>
      <c r="Y3441" t="s">
        <v>760</v>
      </c>
      <c r="Z3441" t="s">
        <v>931</v>
      </c>
      <c r="AA3441" t="s">
        <v>2697</v>
      </c>
      <c r="AB3441">
        <v>1.57</v>
      </c>
      <c r="AC3441" t="s">
        <v>236</v>
      </c>
      <c r="AD3441">
        <v>28.04</v>
      </c>
      <c r="AE3441" t="s">
        <v>80</v>
      </c>
      <c r="AF3441">
        <v>1.4</v>
      </c>
      <c r="AG3441">
        <v>0</v>
      </c>
      <c r="AH3441">
        <v>0</v>
      </c>
      <c r="AI3441" s="4">
        <v>41921</v>
      </c>
    </row>
    <row r="3442" spans="1:35">
      <c r="A3442">
        <v>3441</v>
      </c>
      <c r="B3442" t="str">
        <f>"600745"</f>
        <v>600745</v>
      </c>
      <c r="C3442" t="s">
        <v>14557</v>
      </c>
      <c r="D3442" s="4">
        <v>43190</v>
      </c>
      <c r="E3442" t="s">
        <v>1909</v>
      </c>
      <c r="F3442" t="s">
        <v>5374</v>
      </c>
      <c r="G3442" t="s">
        <v>3980</v>
      </c>
      <c r="H3442">
        <v>-0.09</v>
      </c>
      <c r="I3442">
        <v>5.46</v>
      </c>
      <c r="J3442">
        <v>-1.63</v>
      </c>
      <c r="K3442" t="s">
        <v>304</v>
      </c>
      <c r="L3442">
        <v>-60.73</v>
      </c>
      <c r="M3442" t="s">
        <v>14558</v>
      </c>
      <c r="N3442" t="s">
        <v>14559</v>
      </c>
      <c r="O3442" t="s">
        <v>14560</v>
      </c>
      <c r="P3442" t="s">
        <v>14561</v>
      </c>
      <c r="Q3442">
        <v>-141.47999999999999</v>
      </c>
      <c r="R3442" t="s">
        <v>202</v>
      </c>
      <c r="S3442">
        <v>0.66</v>
      </c>
      <c r="T3442">
        <v>12.02</v>
      </c>
      <c r="U3442" t="s">
        <v>3449</v>
      </c>
      <c r="V3442" t="s">
        <v>6689</v>
      </c>
      <c r="W3442" t="s">
        <v>978</v>
      </c>
      <c r="X3442">
        <v>-1.63</v>
      </c>
      <c r="Y3442" t="s">
        <v>1498</v>
      </c>
      <c r="Z3442" t="s">
        <v>1572</v>
      </c>
      <c r="AA3442" t="s">
        <v>3690</v>
      </c>
      <c r="AB3442">
        <v>5.59</v>
      </c>
      <c r="AC3442" t="s">
        <v>312</v>
      </c>
      <c r="AD3442">
        <v>31.09</v>
      </c>
      <c r="AE3442" t="s">
        <v>1704</v>
      </c>
      <c r="AF3442">
        <v>3.74</v>
      </c>
      <c r="AG3442">
        <v>0</v>
      </c>
      <c r="AH3442">
        <v>0</v>
      </c>
      <c r="AI3442" s="4">
        <v>35305</v>
      </c>
    </row>
    <row r="3443" spans="1:35">
      <c r="A3443">
        <v>3442</v>
      </c>
      <c r="B3443" t="str">
        <f>"600097"</f>
        <v>600097</v>
      </c>
      <c r="C3443" t="s">
        <v>14562</v>
      </c>
      <c r="D3443" s="4">
        <v>43190</v>
      </c>
      <c r="E3443" t="s">
        <v>1489</v>
      </c>
      <c r="F3443" t="s">
        <v>975</v>
      </c>
      <c r="G3443" t="s">
        <v>4389</v>
      </c>
      <c r="H3443">
        <v>-0.1</v>
      </c>
      <c r="I3443">
        <v>6.15</v>
      </c>
      <c r="J3443">
        <v>-1.64</v>
      </c>
      <c r="K3443" t="s">
        <v>1035</v>
      </c>
      <c r="L3443">
        <v>14.51</v>
      </c>
      <c r="M3443" t="s">
        <v>14563</v>
      </c>
      <c r="N3443">
        <v>3331</v>
      </c>
      <c r="O3443" t="s">
        <v>14564</v>
      </c>
      <c r="P3443" t="s">
        <v>14565</v>
      </c>
      <c r="Q3443">
        <v>39.93</v>
      </c>
      <c r="R3443" t="s">
        <v>479</v>
      </c>
      <c r="S3443">
        <v>1.6</v>
      </c>
      <c r="T3443">
        <v>19.34</v>
      </c>
      <c r="U3443" t="s">
        <v>754</v>
      </c>
      <c r="V3443" t="s">
        <v>919</v>
      </c>
      <c r="W3443" t="s">
        <v>127</v>
      </c>
      <c r="X3443">
        <v>-1.64</v>
      </c>
      <c r="Y3443" t="s">
        <v>1964</v>
      </c>
      <c r="Z3443" t="s">
        <v>1184</v>
      </c>
      <c r="AA3443" t="s">
        <v>14566</v>
      </c>
      <c r="AB3443">
        <v>1.85</v>
      </c>
      <c r="AC3443" t="s">
        <v>141</v>
      </c>
      <c r="AD3443">
        <v>81.62</v>
      </c>
      <c r="AE3443" t="s">
        <v>2431</v>
      </c>
      <c r="AF3443">
        <v>2.54</v>
      </c>
      <c r="AG3443">
        <v>0</v>
      </c>
      <c r="AH3443">
        <v>0</v>
      </c>
      <c r="AI3443" s="4">
        <v>35600</v>
      </c>
    </row>
    <row r="3444" spans="1:35">
      <c r="A3444">
        <v>3443</v>
      </c>
      <c r="B3444" t="str">
        <f>"603727"</f>
        <v>603727</v>
      </c>
      <c r="C3444" t="s">
        <v>14567</v>
      </c>
      <c r="D3444" s="4">
        <v>43190</v>
      </c>
      <c r="E3444" t="s">
        <v>470</v>
      </c>
      <c r="F3444" t="s">
        <v>7927</v>
      </c>
      <c r="G3444">
        <v>3408</v>
      </c>
      <c r="H3444">
        <v>-0.17</v>
      </c>
      <c r="I3444">
        <v>10.050000000000001</v>
      </c>
      <c r="J3444">
        <v>-1.65</v>
      </c>
      <c r="K3444" t="s">
        <v>14568</v>
      </c>
      <c r="L3444">
        <v>-88.48</v>
      </c>
      <c r="M3444" t="s">
        <v>14569</v>
      </c>
      <c r="N3444" t="s">
        <v>12039</v>
      </c>
      <c r="O3444" t="s">
        <v>14570</v>
      </c>
      <c r="P3444" t="s">
        <v>14571</v>
      </c>
      <c r="Q3444">
        <v>-271.27</v>
      </c>
      <c r="R3444" t="s">
        <v>1869</v>
      </c>
      <c r="S3444">
        <v>2.5</v>
      </c>
      <c r="T3444">
        <v>-121.8</v>
      </c>
      <c r="U3444" t="s">
        <v>239</v>
      </c>
      <c r="V3444" t="s">
        <v>298</v>
      </c>
      <c r="W3444" t="s">
        <v>1978</v>
      </c>
      <c r="X3444">
        <v>-1.65</v>
      </c>
      <c r="Y3444" t="s">
        <v>2029</v>
      </c>
      <c r="Z3444" t="s">
        <v>1049</v>
      </c>
      <c r="AA3444" t="s">
        <v>197</v>
      </c>
      <c r="AB3444">
        <v>1.41</v>
      </c>
      <c r="AC3444" t="s">
        <v>440</v>
      </c>
      <c r="AD3444">
        <v>86.8</v>
      </c>
      <c r="AE3444" t="s">
        <v>759</v>
      </c>
      <c r="AF3444">
        <v>6.38</v>
      </c>
      <c r="AG3444">
        <v>0</v>
      </c>
      <c r="AH3444">
        <v>0</v>
      </c>
      <c r="AI3444" s="4">
        <v>42696</v>
      </c>
    </row>
    <row r="3445" spans="1:35">
      <c r="A3445">
        <v>3444</v>
      </c>
      <c r="B3445" t="str">
        <f>"300313"</f>
        <v>300313</v>
      </c>
      <c r="C3445" t="s">
        <v>14572</v>
      </c>
      <c r="D3445" s="4">
        <v>43190</v>
      </c>
      <c r="E3445" t="s">
        <v>121</v>
      </c>
      <c r="F3445" t="s">
        <v>1366</v>
      </c>
      <c r="G3445" t="s">
        <v>1639</v>
      </c>
      <c r="H3445">
        <v>-0.02</v>
      </c>
      <c r="I3445">
        <v>6.87</v>
      </c>
      <c r="J3445">
        <v>-1.65</v>
      </c>
      <c r="K3445" t="s">
        <v>3483</v>
      </c>
      <c r="L3445">
        <v>-11.04</v>
      </c>
      <c r="M3445" t="s">
        <v>14573</v>
      </c>
      <c r="N3445" t="s">
        <v>11778</v>
      </c>
      <c r="O3445" t="s">
        <v>14574</v>
      </c>
      <c r="P3445" t="s">
        <v>14575</v>
      </c>
      <c r="Q3445">
        <v>-8.68</v>
      </c>
      <c r="R3445" t="s">
        <v>14077</v>
      </c>
      <c r="S3445">
        <v>-0.39</v>
      </c>
      <c r="T3445">
        <v>24.43</v>
      </c>
      <c r="U3445" t="s">
        <v>2089</v>
      </c>
      <c r="V3445" t="s">
        <v>1360</v>
      </c>
      <c r="W3445" t="s">
        <v>678</v>
      </c>
      <c r="X3445">
        <v>-1.65</v>
      </c>
      <c r="Y3445" t="s">
        <v>559</v>
      </c>
      <c r="Z3445" t="s">
        <v>535</v>
      </c>
      <c r="AA3445" t="s">
        <v>10421</v>
      </c>
      <c r="AB3445">
        <v>1.31</v>
      </c>
      <c r="AC3445" t="s">
        <v>1918</v>
      </c>
      <c r="AD3445">
        <v>52.56</v>
      </c>
      <c r="AE3445" t="s">
        <v>91</v>
      </c>
      <c r="AF3445">
        <v>6.25</v>
      </c>
      <c r="AG3445">
        <v>0</v>
      </c>
      <c r="AH3445">
        <v>0</v>
      </c>
      <c r="AI3445" s="4">
        <v>41024</v>
      </c>
    </row>
    <row r="3446" spans="1:35">
      <c r="A3446">
        <v>3445</v>
      </c>
      <c r="B3446" t="str">
        <f>"002676"</f>
        <v>002676</v>
      </c>
      <c r="C3446" t="s">
        <v>14576</v>
      </c>
      <c r="D3446" s="4">
        <v>43190</v>
      </c>
      <c r="E3446" t="s">
        <v>1867</v>
      </c>
      <c r="F3446" t="s">
        <v>1867</v>
      </c>
      <c r="G3446" t="s">
        <v>1199</v>
      </c>
      <c r="H3446">
        <v>-0.02</v>
      </c>
      <c r="I3446">
        <v>1.41</v>
      </c>
      <c r="J3446">
        <v>-1.65</v>
      </c>
      <c r="K3446" t="s">
        <v>104</v>
      </c>
      <c r="L3446">
        <v>8.77</v>
      </c>
      <c r="M3446" t="s">
        <v>14134</v>
      </c>
      <c r="N3446">
        <v>0</v>
      </c>
      <c r="O3446" t="s">
        <v>14577</v>
      </c>
      <c r="P3446" t="s">
        <v>14578</v>
      </c>
      <c r="Q3446">
        <v>-358.73</v>
      </c>
      <c r="R3446" t="s">
        <v>608</v>
      </c>
      <c r="S3446">
        <v>0.26</v>
      </c>
      <c r="T3446">
        <v>14.69</v>
      </c>
      <c r="U3446" t="s">
        <v>275</v>
      </c>
      <c r="V3446" t="s">
        <v>982</v>
      </c>
      <c r="W3446" t="s">
        <v>483</v>
      </c>
      <c r="X3446">
        <v>-1.65</v>
      </c>
      <c r="Y3446" t="s">
        <v>5537</v>
      </c>
      <c r="Z3446" t="s">
        <v>2593</v>
      </c>
      <c r="AA3446" t="s">
        <v>14579</v>
      </c>
      <c r="AB3446">
        <v>2.13</v>
      </c>
      <c r="AC3446" t="s">
        <v>1094</v>
      </c>
      <c r="AD3446">
        <v>51.99</v>
      </c>
      <c r="AE3446" t="s">
        <v>14580</v>
      </c>
      <c r="AF3446">
        <v>0.08</v>
      </c>
      <c r="AG3446">
        <v>0</v>
      </c>
      <c r="AH3446">
        <v>0</v>
      </c>
      <c r="AI3446" s="4">
        <v>41054</v>
      </c>
    </row>
    <row r="3447" spans="1:35">
      <c r="A3447">
        <v>3446</v>
      </c>
      <c r="B3447" t="str">
        <f>"000791"</f>
        <v>000791</v>
      </c>
      <c r="C3447" t="s">
        <v>14581</v>
      </c>
      <c r="D3447" s="4">
        <v>43190</v>
      </c>
      <c r="E3447" t="s">
        <v>3752</v>
      </c>
      <c r="F3447" t="s">
        <v>3752</v>
      </c>
      <c r="G3447" t="s">
        <v>3091</v>
      </c>
      <c r="H3447">
        <v>-0.1</v>
      </c>
      <c r="I3447">
        <v>5.63</v>
      </c>
      <c r="J3447">
        <v>-1.68</v>
      </c>
      <c r="K3447" t="s">
        <v>1699</v>
      </c>
      <c r="L3447">
        <v>24.51</v>
      </c>
      <c r="M3447" t="s">
        <v>14582</v>
      </c>
      <c r="N3447" t="s">
        <v>8301</v>
      </c>
      <c r="O3447" t="s">
        <v>14583</v>
      </c>
      <c r="P3447" t="s">
        <v>14584</v>
      </c>
      <c r="Q3447">
        <v>31.72</v>
      </c>
      <c r="R3447" t="s">
        <v>3603</v>
      </c>
      <c r="S3447">
        <v>0.6</v>
      </c>
      <c r="T3447">
        <v>15.68</v>
      </c>
      <c r="U3447" t="s">
        <v>4462</v>
      </c>
      <c r="V3447" t="s">
        <v>76</v>
      </c>
      <c r="W3447" t="s">
        <v>1741</v>
      </c>
      <c r="X3447">
        <v>-1.68</v>
      </c>
      <c r="Y3447" t="s">
        <v>719</v>
      </c>
      <c r="Z3447" t="s">
        <v>547</v>
      </c>
      <c r="AA3447" t="s">
        <v>689</v>
      </c>
      <c r="AB3447">
        <v>0.74</v>
      </c>
      <c r="AC3447" t="s">
        <v>742</v>
      </c>
      <c r="AD3447">
        <v>29.7</v>
      </c>
      <c r="AE3447" t="s">
        <v>3160</v>
      </c>
      <c r="AF3447">
        <v>3.93</v>
      </c>
      <c r="AG3447">
        <v>0</v>
      </c>
      <c r="AH3447">
        <v>0</v>
      </c>
      <c r="AI3447" s="4">
        <v>35717</v>
      </c>
    </row>
    <row r="3448" spans="1:35">
      <c r="A3448">
        <v>3447</v>
      </c>
      <c r="B3448" t="str">
        <f>"600889"</f>
        <v>600889</v>
      </c>
      <c r="C3448" t="s">
        <v>14585</v>
      </c>
      <c r="D3448" s="4">
        <v>43190</v>
      </c>
      <c r="E3448" t="s">
        <v>160</v>
      </c>
      <c r="F3448" t="s">
        <v>3297</v>
      </c>
      <c r="G3448" t="s">
        <v>3064</v>
      </c>
      <c r="H3448">
        <v>-0.05</v>
      </c>
      <c r="I3448">
        <v>4.07</v>
      </c>
      <c r="J3448">
        <v>-1.7</v>
      </c>
      <c r="K3448" t="s">
        <v>1530</v>
      </c>
      <c r="L3448">
        <v>-14.76</v>
      </c>
      <c r="M3448" t="s">
        <v>14586</v>
      </c>
      <c r="N3448" t="s">
        <v>11071</v>
      </c>
      <c r="O3448" t="s">
        <v>10430</v>
      </c>
      <c r="P3448" t="s">
        <v>14586</v>
      </c>
      <c r="Q3448">
        <v>-191.75</v>
      </c>
      <c r="R3448" t="s">
        <v>1359</v>
      </c>
      <c r="S3448">
        <v>0.98</v>
      </c>
      <c r="T3448">
        <v>4.78</v>
      </c>
      <c r="U3448" t="s">
        <v>1455</v>
      </c>
      <c r="V3448" t="s">
        <v>5415</v>
      </c>
      <c r="W3448" t="s">
        <v>1415</v>
      </c>
      <c r="X3448">
        <v>-1.7</v>
      </c>
      <c r="Y3448" t="s">
        <v>487</v>
      </c>
      <c r="Z3448" t="s">
        <v>999</v>
      </c>
      <c r="AA3448" t="s">
        <v>1077</v>
      </c>
      <c r="AB3448">
        <v>1.4</v>
      </c>
      <c r="AC3448" t="s">
        <v>147</v>
      </c>
      <c r="AD3448">
        <v>61.77</v>
      </c>
      <c r="AE3448" t="s">
        <v>935</v>
      </c>
      <c r="AF3448">
        <v>1.47</v>
      </c>
      <c r="AG3448">
        <v>0</v>
      </c>
      <c r="AH3448">
        <v>0</v>
      </c>
      <c r="AI3448" s="4">
        <v>35132</v>
      </c>
    </row>
    <row r="3449" spans="1:35">
      <c r="A3449">
        <v>3448</v>
      </c>
      <c r="B3449" t="str">
        <f>"600243"</f>
        <v>600243</v>
      </c>
      <c r="C3449" t="s">
        <v>14587</v>
      </c>
      <c r="D3449" s="4">
        <v>43190</v>
      </c>
      <c r="E3449" t="s">
        <v>142</v>
      </c>
      <c r="F3449" t="s">
        <v>669</v>
      </c>
      <c r="G3449">
        <v>9855</v>
      </c>
      <c r="H3449">
        <v>-7.0000000000000007E-2</v>
      </c>
      <c r="I3449">
        <v>3.93</v>
      </c>
      <c r="J3449">
        <v>-1.72</v>
      </c>
      <c r="K3449" t="s">
        <v>2115</v>
      </c>
      <c r="L3449">
        <v>-30.18</v>
      </c>
      <c r="M3449" t="s">
        <v>14588</v>
      </c>
      <c r="N3449">
        <v>0</v>
      </c>
      <c r="O3449" t="s">
        <v>14589</v>
      </c>
      <c r="P3449" t="s">
        <v>14590</v>
      </c>
      <c r="Q3449">
        <v>-155.97</v>
      </c>
      <c r="R3449" t="s">
        <v>10399</v>
      </c>
      <c r="S3449">
        <v>0.04</v>
      </c>
      <c r="T3449">
        <v>21.05</v>
      </c>
      <c r="U3449" t="s">
        <v>1242</v>
      </c>
      <c r="V3449" t="s">
        <v>275</v>
      </c>
      <c r="W3449" t="s">
        <v>1867</v>
      </c>
      <c r="X3449">
        <v>-1.72</v>
      </c>
      <c r="Y3449" t="s">
        <v>323</v>
      </c>
      <c r="Z3449" t="s">
        <v>1496</v>
      </c>
      <c r="AA3449" t="s">
        <v>14591</v>
      </c>
      <c r="AB3449">
        <v>1.34</v>
      </c>
      <c r="AC3449" t="s">
        <v>79</v>
      </c>
      <c r="AD3449">
        <v>58.39</v>
      </c>
      <c r="AE3449" t="s">
        <v>548</v>
      </c>
      <c r="AF3449">
        <v>2.83</v>
      </c>
      <c r="AG3449">
        <v>0</v>
      </c>
      <c r="AH3449">
        <v>0</v>
      </c>
      <c r="AI3449" s="4">
        <v>36850</v>
      </c>
    </row>
    <row r="3450" spans="1:35">
      <c r="A3450">
        <v>3449</v>
      </c>
      <c r="B3450" t="str">
        <f>"300025"</f>
        <v>300025</v>
      </c>
      <c r="C3450" t="s">
        <v>14592</v>
      </c>
      <c r="D3450" s="4">
        <v>43190</v>
      </c>
      <c r="E3450" t="s">
        <v>1706</v>
      </c>
      <c r="F3450" t="s">
        <v>1934</v>
      </c>
      <c r="G3450" t="s">
        <v>2135</v>
      </c>
      <c r="H3450">
        <v>-0.03</v>
      </c>
      <c r="I3450">
        <v>1.7</v>
      </c>
      <c r="J3450">
        <v>-1.72</v>
      </c>
      <c r="K3450" t="s">
        <v>1400</v>
      </c>
      <c r="L3450">
        <v>16.13</v>
      </c>
      <c r="M3450" t="s">
        <v>14593</v>
      </c>
      <c r="N3450" t="s">
        <v>13260</v>
      </c>
      <c r="O3450" t="s">
        <v>14593</v>
      </c>
      <c r="P3450" t="s">
        <v>14594</v>
      </c>
      <c r="Q3450">
        <v>-425.07</v>
      </c>
      <c r="R3450" t="s">
        <v>828</v>
      </c>
      <c r="S3450">
        <v>0.62</v>
      </c>
      <c r="T3450">
        <v>14.76</v>
      </c>
      <c r="U3450" t="s">
        <v>1546</v>
      </c>
      <c r="V3450" t="s">
        <v>1843</v>
      </c>
      <c r="W3450" t="s">
        <v>104</v>
      </c>
      <c r="X3450">
        <v>-1.72</v>
      </c>
      <c r="Y3450" t="s">
        <v>514</v>
      </c>
      <c r="Z3450" t="s">
        <v>702</v>
      </c>
      <c r="AA3450" t="s">
        <v>415</v>
      </c>
      <c r="AB3450">
        <v>2.33</v>
      </c>
      <c r="AC3450" t="s">
        <v>2637</v>
      </c>
      <c r="AD3450">
        <v>25.07</v>
      </c>
      <c r="AE3450" t="s">
        <v>10226</v>
      </c>
      <c r="AF3450">
        <v>0.06</v>
      </c>
      <c r="AG3450">
        <v>0</v>
      </c>
      <c r="AH3450">
        <v>0</v>
      </c>
      <c r="AI3450" s="4">
        <v>40116</v>
      </c>
    </row>
    <row r="3451" spans="1:35">
      <c r="A3451">
        <v>3450</v>
      </c>
      <c r="B3451" t="str">
        <f>"000697"</f>
        <v>000697</v>
      </c>
      <c r="C3451" t="s">
        <v>14595</v>
      </c>
      <c r="D3451" s="4">
        <v>43190</v>
      </c>
      <c r="E3451" t="s">
        <v>1002</v>
      </c>
      <c r="F3451" t="s">
        <v>3067</v>
      </c>
      <c r="G3451" t="s">
        <v>974</v>
      </c>
      <c r="H3451">
        <v>-0.05</v>
      </c>
      <c r="I3451">
        <v>2.62</v>
      </c>
      <c r="J3451">
        <v>-1.72</v>
      </c>
      <c r="K3451" t="s">
        <v>344</v>
      </c>
      <c r="L3451">
        <v>0</v>
      </c>
      <c r="M3451" t="s">
        <v>14596</v>
      </c>
      <c r="N3451">
        <v>0</v>
      </c>
      <c r="O3451" t="s">
        <v>14597</v>
      </c>
      <c r="P3451" t="s">
        <v>14598</v>
      </c>
      <c r="Q3451">
        <v>-39.24</v>
      </c>
      <c r="R3451" t="s">
        <v>1402</v>
      </c>
      <c r="S3451">
        <v>0.52</v>
      </c>
      <c r="T3451">
        <v>21.05</v>
      </c>
      <c r="U3451" t="s">
        <v>780</v>
      </c>
      <c r="V3451" t="s">
        <v>1033</v>
      </c>
      <c r="W3451" t="s">
        <v>147</v>
      </c>
      <c r="X3451">
        <v>-1.72</v>
      </c>
      <c r="Y3451" t="s">
        <v>3073</v>
      </c>
      <c r="Z3451" t="s">
        <v>1054</v>
      </c>
      <c r="AA3451" t="s">
        <v>93</v>
      </c>
      <c r="AB3451">
        <v>5.96</v>
      </c>
      <c r="AC3451" t="s">
        <v>80</v>
      </c>
      <c r="AD3451">
        <v>30</v>
      </c>
      <c r="AE3451" t="s">
        <v>3420</v>
      </c>
      <c r="AF3451">
        <v>1.01</v>
      </c>
      <c r="AG3451">
        <v>0</v>
      </c>
      <c r="AH3451">
        <v>0</v>
      </c>
      <c r="AI3451" s="4">
        <v>35514</v>
      </c>
    </row>
    <row r="3452" spans="1:35">
      <c r="A3452">
        <v>3451</v>
      </c>
      <c r="B3452" t="str">
        <f>"600882"</f>
        <v>600882</v>
      </c>
      <c r="C3452" t="s">
        <v>14599</v>
      </c>
      <c r="D3452" s="4">
        <v>43190</v>
      </c>
      <c r="E3452" t="s">
        <v>3027</v>
      </c>
      <c r="F3452" t="s">
        <v>800</v>
      </c>
      <c r="G3452" t="s">
        <v>1092</v>
      </c>
      <c r="H3452">
        <v>-0.05</v>
      </c>
      <c r="I3452">
        <v>2.83</v>
      </c>
      <c r="J3452">
        <v>-1.73</v>
      </c>
      <c r="K3452" t="s">
        <v>905</v>
      </c>
      <c r="L3452">
        <v>-4.91</v>
      </c>
      <c r="M3452" t="s">
        <v>14600</v>
      </c>
      <c r="N3452">
        <v>0</v>
      </c>
      <c r="O3452" t="s">
        <v>14601</v>
      </c>
      <c r="P3452" t="s">
        <v>14602</v>
      </c>
      <c r="Q3452">
        <v>-543.61</v>
      </c>
      <c r="R3452" t="s">
        <v>14603</v>
      </c>
      <c r="S3452">
        <v>-2.31</v>
      </c>
      <c r="T3452">
        <v>23.13</v>
      </c>
      <c r="U3452" t="s">
        <v>1908</v>
      </c>
      <c r="V3452" t="s">
        <v>147</v>
      </c>
      <c r="W3452" t="s">
        <v>156</v>
      </c>
      <c r="X3452">
        <v>-1.73</v>
      </c>
      <c r="Y3452" t="s">
        <v>391</v>
      </c>
      <c r="Z3452" t="s">
        <v>3900</v>
      </c>
      <c r="AA3452" t="s">
        <v>277</v>
      </c>
      <c r="AB3452">
        <v>2.75</v>
      </c>
      <c r="AC3452" t="s">
        <v>613</v>
      </c>
      <c r="AD3452">
        <v>43.18</v>
      </c>
      <c r="AE3452" t="s">
        <v>115</v>
      </c>
      <c r="AF3452">
        <v>4.12</v>
      </c>
      <c r="AG3452">
        <v>0</v>
      </c>
      <c r="AH3452">
        <v>0</v>
      </c>
      <c r="AI3452" s="4">
        <v>35039</v>
      </c>
    </row>
    <row r="3453" spans="1:35">
      <c r="A3453">
        <v>3452</v>
      </c>
      <c r="B3453" t="str">
        <f>"000760"</f>
        <v>000760</v>
      </c>
      <c r="C3453" t="s">
        <v>14604</v>
      </c>
      <c r="D3453" s="4">
        <v>43190</v>
      </c>
      <c r="E3453" t="s">
        <v>6262</v>
      </c>
      <c r="F3453" t="s">
        <v>846</v>
      </c>
      <c r="G3453" t="s">
        <v>6699</v>
      </c>
      <c r="H3453">
        <v>-0.04</v>
      </c>
      <c r="I3453">
        <v>2.3199999999999998</v>
      </c>
      <c r="J3453">
        <v>-1.74</v>
      </c>
      <c r="K3453" t="s">
        <v>12544</v>
      </c>
      <c r="L3453">
        <v>93.24</v>
      </c>
      <c r="M3453" t="s">
        <v>14605</v>
      </c>
      <c r="N3453" t="s">
        <v>1854</v>
      </c>
      <c r="O3453" t="s">
        <v>14606</v>
      </c>
      <c r="P3453" t="s">
        <v>14607</v>
      </c>
      <c r="Q3453">
        <v>29.63</v>
      </c>
      <c r="R3453" t="s">
        <v>14608</v>
      </c>
      <c r="S3453">
        <v>-0.52</v>
      </c>
      <c r="T3453">
        <v>19.02</v>
      </c>
      <c r="U3453" t="s">
        <v>1704</v>
      </c>
      <c r="V3453" t="s">
        <v>767</v>
      </c>
      <c r="W3453" t="s">
        <v>325</v>
      </c>
      <c r="X3453">
        <v>-1.74</v>
      </c>
      <c r="Y3453" t="s">
        <v>2851</v>
      </c>
      <c r="Z3453" t="s">
        <v>127</v>
      </c>
      <c r="AA3453" t="s">
        <v>13800</v>
      </c>
      <c r="AB3453">
        <v>1.37</v>
      </c>
      <c r="AC3453" t="s">
        <v>303</v>
      </c>
      <c r="AD3453">
        <v>75.11</v>
      </c>
      <c r="AE3453" t="s">
        <v>162</v>
      </c>
      <c r="AF3453">
        <v>1.85</v>
      </c>
      <c r="AG3453">
        <v>0</v>
      </c>
      <c r="AH3453">
        <v>0</v>
      </c>
      <c r="AI3453" s="4">
        <v>35608</v>
      </c>
    </row>
    <row r="3454" spans="1:35">
      <c r="A3454">
        <v>3453</v>
      </c>
      <c r="B3454" t="str">
        <f>"000659"</f>
        <v>000659</v>
      </c>
      <c r="C3454" t="s">
        <v>14609</v>
      </c>
      <c r="D3454" s="4">
        <v>43190</v>
      </c>
      <c r="E3454" t="s">
        <v>101</v>
      </c>
      <c r="F3454" t="s">
        <v>101</v>
      </c>
      <c r="G3454" t="s">
        <v>2775</v>
      </c>
      <c r="H3454">
        <v>-0.01</v>
      </c>
      <c r="I3454">
        <v>0.5</v>
      </c>
      <c r="J3454">
        <v>-1.74</v>
      </c>
      <c r="K3454" t="s">
        <v>3197</v>
      </c>
      <c r="L3454">
        <v>-0.66</v>
      </c>
      <c r="M3454" t="s">
        <v>8430</v>
      </c>
      <c r="N3454">
        <v>0</v>
      </c>
      <c r="O3454" t="s">
        <v>14610</v>
      </c>
      <c r="P3454" t="s">
        <v>14611</v>
      </c>
      <c r="Q3454">
        <v>-4.3600000000000003</v>
      </c>
      <c r="R3454" t="s">
        <v>14612</v>
      </c>
      <c r="S3454">
        <v>-1.05</v>
      </c>
      <c r="T3454">
        <v>21.78</v>
      </c>
      <c r="U3454" t="s">
        <v>1661</v>
      </c>
      <c r="V3454" t="s">
        <v>488</v>
      </c>
      <c r="W3454" t="s">
        <v>350</v>
      </c>
      <c r="X3454">
        <v>-1.74</v>
      </c>
      <c r="Y3454" t="s">
        <v>877</v>
      </c>
      <c r="Z3454" t="s">
        <v>7533</v>
      </c>
      <c r="AA3454" t="s">
        <v>1307</v>
      </c>
      <c r="AB3454">
        <v>5.61</v>
      </c>
      <c r="AC3454" t="s">
        <v>690</v>
      </c>
      <c r="AD3454">
        <v>24.43</v>
      </c>
      <c r="AE3454" t="s">
        <v>234</v>
      </c>
      <c r="AF3454">
        <v>0.22</v>
      </c>
      <c r="AG3454">
        <v>0</v>
      </c>
      <c r="AH3454">
        <v>0</v>
      </c>
      <c r="AI3454" s="4">
        <v>35402</v>
      </c>
    </row>
    <row r="3455" spans="1:35">
      <c r="A3455">
        <v>3454</v>
      </c>
      <c r="B3455" t="str">
        <f>"000611"</f>
        <v>000611</v>
      </c>
      <c r="C3455" t="s">
        <v>14613</v>
      </c>
      <c r="D3455" s="4">
        <v>43190</v>
      </c>
      <c r="E3455" t="s">
        <v>1320</v>
      </c>
      <c r="F3455" t="s">
        <v>301</v>
      </c>
      <c r="G3455" t="s">
        <v>2229</v>
      </c>
      <c r="H3455">
        <v>-0.03</v>
      </c>
      <c r="I3455">
        <v>1.58</v>
      </c>
      <c r="J3455">
        <v>-1.74</v>
      </c>
      <c r="K3455" t="s">
        <v>12191</v>
      </c>
      <c r="L3455">
        <v>-72.55</v>
      </c>
      <c r="M3455" t="s">
        <v>14614</v>
      </c>
      <c r="N3455" t="s">
        <v>14615</v>
      </c>
      <c r="O3455" t="s">
        <v>14614</v>
      </c>
      <c r="P3455" t="s">
        <v>14616</v>
      </c>
      <c r="Q3455">
        <v>-538.67999999999995</v>
      </c>
      <c r="R3455" t="s">
        <v>13347</v>
      </c>
      <c r="S3455">
        <v>-0.92</v>
      </c>
      <c r="T3455">
        <v>4.66</v>
      </c>
      <c r="U3455" t="s">
        <v>389</v>
      </c>
      <c r="V3455" t="s">
        <v>8358</v>
      </c>
      <c r="W3455" t="s">
        <v>3880</v>
      </c>
      <c r="X3455">
        <v>-1.74</v>
      </c>
      <c r="Y3455" t="s">
        <v>973</v>
      </c>
      <c r="Z3455" t="s">
        <v>1094</v>
      </c>
      <c r="AA3455" t="s">
        <v>1974</v>
      </c>
      <c r="AB3455">
        <v>4.25</v>
      </c>
      <c r="AC3455" t="s">
        <v>44</v>
      </c>
      <c r="AD3455">
        <v>26.67</v>
      </c>
      <c r="AE3455" t="s">
        <v>5374</v>
      </c>
      <c r="AF3455">
        <v>1.5</v>
      </c>
      <c r="AG3455">
        <v>0</v>
      </c>
      <c r="AH3455">
        <v>0</v>
      </c>
      <c r="AI3455" s="4">
        <v>35346</v>
      </c>
    </row>
    <row r="3456" spans="1:35">
      <c r="A3456">
        <v>3455</v>
      </c>
      <c r="B3456" t="str">
        <f>"002694"</f>
        <v>002694</v>
      </c>
      <c r="C3456" t="s">
        <v>14617</v>
      </c>
      <c r="D3456" s="4">
        <v>43190</v>
      </c>
      <c r="E3456" t="s">
        <v>1058</v>
      </c>
      <c r="F3456" t="s">
        <v>3374</v>
      </c>
      <c r="G3456">
        <v>8840</v>
      </c>
      <c r="H3456">
        <v>-0.03</v>
      </c>
      <c r="I3456">
        <v>1.81</v>
      </c>
      <c r="J3456">
        <v>-1.75</v>
      </c>
      <c r="K3456" t="s">
        <v>2807</v>
      </c>
      <c r="L3456">
        <v>15.06</v>
      </c>
      <c r="M3456" t="s">
        <v>14618</v>
      </c>
      <c r="N3456">
        <v>0</v>
      </c>
      <c r="O3456" t="s">
        <v>14619</v>
      </c>
      <c r="P3456" t="s">
        <v>14620</v>
      </c>
      <c r="Q3456">
        <v>-3.65</v>
      </c>
      <c r="R3456" t="s">
        <v>145</v>
      </c>
      <c r="S3456">
        <v>0.51</v>
      </c>
      <c r="T3456">
        <v>17.940000000000001</v>
      </c>
      <c r="U3456" t="s">
        <v>451</v>
      </c>
      <c r="V3456" t="s">
        <v>840</v>
      </c>
      <c r="W3456" t="s">
        <v>627</v>
      </c>
      <c r="X3456">
        <v>-1.75</v>
      </c>
      <c r="Y3456" t="s">
        <v>1384</v>
      </c>
      <c r="Z3456" t="s">
        <v>350</v>
      </c>
      <c r="AA3456" t="s">
        <v>14621</v>
      </c>
      <c r="AB3456">
        <v>2.59</v>
      </c>
      <c r="AC3456" t="s">
        <v>699</v>
      </c>
      <c r="AD3456">
        <v>41.15</v>
      </c>
      <c r="AE3456" t="s">
        <v>47</v>
      </c>
      <c r="AF3456">
        <v>0.55000000000000004</v>
      </c>
      <c r="AG3456">
        <v>0</v>
      </c>
      <c r="AH3456">
        <v>0</v>
      </c>
      <c r="AI3456" s="4">
        <v>41137</v>
      </c>
    </row>
    <row r="3457" spans="1:35">
      <c r="A3457">
        <v>3456</v>
      </c>
      <c r="B3457" t="str">
        <f>"600588"</f>
        <v>600588</v>
      </c>
      <c r="C3457" t="s">
        <v>14622</v>
      </c>
      <c r="D3457" s="4">
        <v>43190</v>
      </c>
      <c r="E3457" t="s">
        <v>183</v>
      </c>
      <c r="F3457" t="s">
        <v>516</v>
      </c>
      <c r="G3457" t="s">
        <v>53</v>
      </c>
      <c r="H3457">
        <v>-0.06</v>
      </c>
      <c r="I3457">
        <v>2.95</v>
      </c>
      <c r="J3457">
        <v>-1.78</v>
      </c>
      <c r="K3457" t="s">
        <v>295</v>
      </c>
      <c r="L3457">
        <v>43.88</v>
      </c>
      <c r="M3457" t="s">
        <v>14623</v>
      </c>
      <c r="N3457" t="s">
        <v>11748</v>
      </c>
      <c r="O3457" t="s">
        <v>14624</v>
      </c>
      <c r="P3457" t="s">
        <v>13262</v>
      </c>
      <c r="Q3457">
        <v>35.369999999999997</v>
      </c>
      <c r="R3457" t="s">
        <v>624</v>
      </c>
      <c r="S3457">
        <v>0.61</v>
      </c>
      <c r="T3457">
        <v>64.099999999999994</v>
      </c>
      <c r="U3457" t="s">
        <v>1524</v>
      </c>
      <c r="V3457" t="s">
        <v>5786</v>
      </c>
      <c r="W3457" t="s">
        <v>877</v>
      </c>
      <c r="X3457">
        <v>-1.78</v>
      </c>
      <c r="Y3457" t="s">
        <v>4310</v>
      </c>
      <c r="Z3457" t="s">
        <v>6291</v>
      </c>
      <c r="AA3457" t="s">
        <v>1967</v>
      </c>
      <c r="AB3457">
        <v>7.39</v>
      </c>
      <c r="AC3457" t="s">
        <v>3701</v>
      </c>
      <c r="AD3457">
        <v>43.75</v>
      </c>
      <c r="AE3457" t="s">
        <v>865</v>
      </c>
      <c r="AF3457">
        <v>0.97</v>
      </c>
      <c r="AG3457">
        <v>0</v>
      </c>
      <c r="AH3457">
        <v>0</v>
      </c>
      <c r="AI3457" s="4">
        <v>37029</v>
      </c>
    </row>
    <row r="3458" spans="1:35">
      <c r="A3458">
        <v>3457</v>
      </c>
      <c r="B3458" t="str">
        <f>"300163"</f>
        <v>300163</v>
      </c>
      <c r="C3458" t="s">
        <v>14625</v>
      </c>
      <c r="D3458" s="4">
        <v>43190</v>
      </c>
      <c r="E3458" t="s">
        <v>364</v>
      </c>
      <c r="F3458" t="s">
        <v>47</v>
      </c>
      <c r="G3458" t="s">
        <v>3064</v>
      </c>
      <c r="H3458">
        <v>-0.03</v>
      </c>
      <c r="I3458">
        <v>1.4</v>
      </c>
      <c r="J3458">
        <v>-1.78</v>
      </c>
      <c r="K3458" t="s">
        <v>1376</v>
      </c>
      <c r="L3458">
        <v>-27.42</v>
      </c>
      <c r="M3458" t="s">
        <v>14626</v>
      </c>
      <c r="N3458">
        <v>0</v>
      </c>
      <c r="O3458" t="s">
        <v>14627</v>
      </c>
      <c r="P3458" t="s">
        <v>14628</v>
      </c>
      <c r="Q3458">
        <v>-1028.7</v>
      </c>
      <c r="R3458" t="s">
        <v>14629</v>
      </c>
      <c r="S3458">
        <v>0.19</v>
      </c>
      <c r="T3458">
        <v>44.43</v>
      </c>
      <c r="U3458" t="s">
        <v>1496</v>
      </c>
      <c r="V3458" t="s">
        <v>2953</v>
      </c>
      <c r="W3458" t="s">
        <v>2590</v>
      </c>
      <c r="X3458">
        <v>-1.78</v>
      </c>
      <c r="Y3458" t="s">
        <v>1378</v>
      </c>
      <c r="Z3458" t="s">
        <v>1724</v>
      </c>
      <c r="AA3458" t="s">
        <v>1853</v>
      </c>
      <c r="AB3458">
        <v>2.41</v>
      </c>
      <c r="AC3458" t="s">
        <v>6120</v>
      </c>
      <c r="AD3458">
        <v>65.430000000000007</v>
      </c>
      <c r="AE3458" t="s">
        <v>10283</v>
      </c>
      <c r="AF3458">
        <v>0.2</v>
      </c>
      <c r="AG3458">
        <v>0</v>
      </c>
      <c r="AH3458">
        <v>0</v>
      </c>
      <c r="AI3458" s="4">
        <v>40556</v>
      </c>
    </row>
    <row r="3459" spans="1:35">
      <c r="A3459">
        <v>3458</v>
      </c>
      <c r="B3459" t="str">
        <f>"600156"</f>
        <v>600156</v>
      </c>
      <c r="C3459" t="s">
        <v>14630</v>
      </c>
      <c r="D3459" s="4">
        <v>43190</v>
      </c>
      <c r="E3459" t="s">
        <v>498</v>
      </c>
      <c r="F3459" t="s">
        <v>498</v>
      </c>
      <c r="G3459" t="s">
        <v>3789</v>
      </c>
      <c r="H3459">
        <v>-0.03</v>
      </c>
      <c r="I3459">
        <v>1.52</v>
      </c>
      <c r="J3459">
        <v>-1.81</v>
      </c>
      <c r="K3459" t="s">
        <v>1489</v>
      </c>
      <c r="L3459">
        <v>36.96</v>
      </c>
      <c r="M3459" t="s">
        <v>14631</v>
      </c>
      <c r="N3459" t="s">
        <v>12006</v>
      </c>
      <c r="O3459" t="s">
        <v>14632</v>
      </c>
      <c r="P3459" t="s">
        <v>14633</v>
      </c>
      <c r="Q3459">
        <v>27.83</v>
      </c>
      <c r="R3459" t="s">
        <v>14634</v>
      </c>
      <c r="S3459">
        <v>0.1</v>
      </c>
      <c r="T3459">
        <v>0.8</v>
      </c>
      <c r="U3459" t="s">
        <v>295</v>
      </c>
      <c r="V3459" t="s">
        <v>1898</v>
      </c>
      <c r="W3459" t="s">
        <v>2115</v>
      </c>
      <c r="X3459">
        <v>-1.81</v>
      </c>
      <c r="Y3459" t="s">
        <v>1827</v>
      </c>
      <c r="Z3459" t="s">
        <v>241</v>
      </c>
      <c r="AA3459" t="s">
        <v>10601</v>
      </c>
      <c r="AB3459">
        <v>2.5</v>
      </c>
      <c r="AC3459" t="s">
        <v>2674</v>
      </c>
      <c r="AD3459">
        <v>57.03</v>
      </c>
      <c r="AE3459" t="s">
        <v>3111</v>
      </c>
      <c r="AF3459">
        <v>0.37</v>
      </c>
      <c r="AG3459">
        <v>0</v>
      </c>
      <c r="AH3459">
        <v>0</v>
      </c>
      <c r="AI3459" s="4">
        <v>35942</v>
      </c>
    </row>
    <row r="3460" spans="1:35">
      <c r="A3460">
        <v>3459</v>
      </c>
      <c r="B3460" t="str">
        <f>"000918"</f>
        <v>000918</v>
      </c>
      <c r="C3460" t="s">
        <v>14635</v>
      </c>
      <c r="D3460" s="4">
        <v>43190</v>
      </c>
      <c r="E3460" t="s">
        <v>757</v>
      </c>
      <c r="F3460" t="s">
        <v>757</v>
      </c>
      <c r="G3460" t="s">
        <v>6568</v>
      </c>
      <c r="H3460">
        <v>-0.05</v>
      </c>
      <c r="I3460">
        <v>2.75</v>
      </c>
      <c r="J3460">
        <v>-1.81</v>
      </c>
      <c r="K3460" t="s">
        <v>138</v>
      </c>
      <c r="L3460">
        <v>96.16</v>
      </c>
      <c r="M3460" t="s">
        <v>14636</v>
      </c>
      <c r="N3460" t="s">
        <v>11173</v>
      </c>
      <c r="O3460" t="s">
        <v>14637</v>
      </c>
      <c r="P3460" t="s">
        <v>14638</v>
      </c>
      <c r="Q3460">
        <v>75.010000000000005</v>
      </c>
      <c r="R3460" t="s">
        <v>1161</v>
      </c>
      <c r="S3460">
        <v>1.69</v>
      </c>
      <c r="T3460">
        <v>8.7799999999999994</v>
      </c>
      <c r="U3460" t="s">
        <v>1782</v>
      </c>
      <c r="V3460" t="s">
        <v>1893</v>
      </c>
      <c r="W3460" t="s">
        <v>1402</v>
      </c>
      <c r="X3460">
        <v>-1.81</v>
      </c>
      <c r="Y3460" t="s">
        <v>3952</v>
      </c>
      <c r="Z3460" t="s">
        <v>413</v>
      </c>
      <c r="AA3460" t="s">
        <v>1442</v>
      </c>
      <c r="AB3460">
        <v>1.66</v>
      </c>
      <c r="AC3460" t="s">
        <v>952</v>
      </c>
      <c r="AD3460">
        <v>19.78</v>
      </c>
      <c r="AE3460" t="s">
        <v>14639</v>
      </c>
      <c r="AF3460">
        <v>-0.5</v>
      </c>
      <c r="AG3460">
        <v>0</v>
      </c>
      <c r="AH3460">
        <v>0</v>
      </c>
      <c r="AI3460" s="4">
        <v>36361</v>
      </c>
    </row>
    <row r="3461" spans="1:35">
      <c r="A3461">
        <v>3460</v>
      </c>
      <c r="B3461" t="str">
        <f>"600112"</f>
        <v>600112</v>
      </c>
      <c r="C3461" t="s">
        <v>14640</v>
      </c>
      <c r="D3461" s="4">
        <v>43190</v>
      </c>
      <c r="E3461" t="s">
        <v>44</v>
      </c>
      <c r="F3461" t="s">
        <v>44</v>
      </c>
      <c r="G3461" t="s">
        <v>4747</v>
      </c>
      <c r="H3461">
        <v>-0.04</v>
      </c>
      <c r="I3461">
        <v>2.4</v>
      </c>
      <c r="J3461">
        <v>-1.83</v>
      </c>
      <c r="K3461" t="s">
        <v>533</v>
      </c>
      <c r="L3461">
        <v>-2.98</v>
      </c>
      <c r="M3461" t="s">
        <v>14641</v>
      </c>
      <c r="N3461" t="s">
        <v>11790</v>
      </c>
      <c r="O3461" t="s">
        <v>14642</v>
      </c>
      <c r="P3461" t="s">
        <v>13720</v>
      </c>
      <c r="Q3461">
        <v>-178.57</v>
      </c>
      <c r="R3461" t="s">
        <v>14643</v>
      </c>
      <c r="S3461">
        <v>0.13</v>
      </c>
      <c r="T3461">
        <v>30.82</v>
      </c>
      <c r="U3461" t="s">
        <v>1313</v>
      </c>
      <c r="V3461" t="s">
        <v>77</v>
      </c>
      <c r="W3461" t="s">
        <v>1964</v>
      </c>
      <c r="X3461">
        <v>-1.83</v>
      </c>
      <c r="Y3461" t="s">
        <v>983</v>
      </c>
      <c r="Z3461" t="s">
        <v>350</v>
      </c>
      <c r="AA3461" t="s">
        <v>1210</v>
      </c>
      <c r="AB3461">
        <v>1.23</v>
      </c>
      <c r="AC3461" t="s">
        <v>982</v>
      </c>
      <c r="AD3461">
        <v>43.41</v>
      </c>
      <c r="AE3461" t="s">
        <v>2392</v>
      </c>
      <c r="AF3461">
        <v>1.0900000000000001</v>
      </c>
      <c r="AG3461">
        <v>0</v>
      </c>
      <c r="AH3461">
        <v>0</v>
      </c>
      <c r="AI3461" s="4">
        <v>35761</v>
      </c>
    </row>
    <row r="3462" spans="1:35">
      <c r="A3462">
        <v>3461</v>
      </c>
      <c r="B3462" t="str">
        <f>"000816"</f>
        <v>000816</v>
      </c>
      <c r="C3462" t="s">
        <v>14644</v>
      </c>
      <c r="D3462" s="4">
        <v>43190</v>
      </c>
      <c r="E3462" t="s">
        <v>173</v>
      </c>
      <c r="F3462" t="s">
        <v>924</v>
      </c>
      <c r="G3462">
        <v>8301</v>
      </c>
      <c r="H3462">
        <v>-0.04</v>
      </c>
      <c r="I3462">
        <v>2.14</v>
      </c>
      <c r="J3462">
        <v>-1.83</v>
      </c>
      <c r="K3462" t="s">
        <v>2590</v>
      </c>
      <c r="L3462">
        <v>-24.36</v>
      </c>
      <c r="M3462" t="s">
        <v>14645</v>
      </c>
      <c r="N3462">
        <v>0</v>
      </c>
      <c r="O3462" t="s">
        <v>14646</v>
      </c>
      <c r="P3462" t="s">
        <v>14647</v>
      </c>
      <c r="Q3462">
        <v>-1149.78</v>
      </c>
      <c r="R3462" t="s">
        <v>14648</v>
      </c>
      <c r="S3462">
        <v>7.0000000000000007E-2</v>
      </c>
      <c r="T3462">
        <v>7.36</v>
      </c>
      <c r="U3462" t="s">
        <v>5646</v>
      </c>
      <c r="V3462" t="s">
        <v>1347</v>
      </c>
      <c r="W3462" t="s">
        <v>625</v>
      </c>
      <c r="X3462">
        <v>-1.83</v>
      </c>
      <c r="Y3462" t="s">
        <v>774</v>
      </c>
      <c r="Z3462" t="s">
        <v>1348</v>
      </c>
      <c r="AA3462" t="s">
        <v>93</v>
      </c>
      <c r="AB3462">
        <v>0.72</v>
      </c>
      <c r="AC3462" t="s">
        <v>570</v>
      </c>
      <c r="AD3462">
        <v>51.36</v>
      </c>
      <c r="AE3462" t="s">
        <v>1384</v>
      </c>
      <c r="AF3462">
        <v>1</v>
      </c>
      <c r="AG3462">
        <v>0</v>
      </c>
      <c r="AH3462">
        <v>0</v>
      </c>
      <c r="AI3462" s="4">
        <v>35660</v>
      </c>
    </row>
    <row r="3463" spans="1:35">
      <c r="A3463">
        <v>3462</v>
      </c>
      <c r="B3463" t="str">
        <f>"002723"</f>
        <v>002723</v>
      </c>
      <c r="C3463" t="s">
        <v>14649</v>
      </c>
      <c r="D3463" s="4">
        <v>43190</v>
      </c>
      <c r="E3463" t="s">
        <v>698</v>
      </c>
      <c r="F3463" t="s">
        <v>322</v>
      </c>
      <c r="G3463" t="s">
        <v>1122</v>
      </c>
      <c r="H3463">
        <v>-0.06</v>
      </c>
      <c r="I3463">
        <v>3.44</v>
      </c>
      <c r="J3463">
        <v>-1.85</v>
      </c>
      <c r="K3463" t="s">
        <v>985</v>
      </c>
      <c r="L3463">
        <v>-16.850000000000001</v>
      </c>
      <c r="M3463" t="s">
        <v>14650</v>
      </c>
      <c r="N3463" t="s">
        <v>11057</v>
      </c>
      <c r="O3463" t="s">
        <v>14651</v>
      </c>
      <c r="P3463" t="s">
        <v>14338</v>
      </c>
      <c r="Q3463">
        <v>-465.01</v>
      </c>
      <c r="R3463" t="s">
        <v>608</v>
      </c>
      <c r="S3463">
        <v>1.02</v>
      </c>
      <c r="T3463">
        <v>5.09</v>
      </c>
      <c r="U3463" t="s">
        <v>521</v>
      </c>
      <c r="V3463" t="s">
        <v>2112</v>
      </c>
      <c r="W3463" t="s">
        <v>540</v>
      </c>
      <c r="X3463">
        <v>-1.85</v>
      </c>
      <c r="Y3463" t="s">
        <v>749</v>
      </c>
      <c r="Z3463" t="s">
        <v>1235</v>
      </c>
      <c r="AA3463" t="s">
        <v>7667</v>
      </c>
      <c r="AB3463">
        <v>4.71</v>
      </c>
      <c r="AC3463" t="s">
        <v>424</v>
      </c>
      <c r="AD3463">
        <v>60.73</v>
      </c>
      <c r="AE3463" t="s">
        <v>986</v>
      </c>
      <c r="AF3463">
        <v>1.22</v>
      </c>
      <c r="AG3463">
        <v>0</v>
      </c>
      <c r="AH3463">
        <v>0</v>
      </c>
      <c r="AI3463" s="4">
        <v>41668</v>
      </c>
    </row>
    <row r="3464" spans="1:35">
      <c r="A3464">
        <v>3463</v>
      </c>
      <c r="B3464" t="str">
        <f>"002583"</f>
        <v>002583</v>
      </c>
      <c r="C3464" t="s">
        <v>14652</v>
      </c>
      <c r="D3464" s="4">
        <v>43190</v>
      </c>
      <c r="E3464" t="s">
        <v>754</v>
      </c>
      <c r="F3464" t="s">
        <v>407</v>
      </c>
      <c r="G3464" t="s">
        <v>5784</v>
      </c>
      <c r="H3464">
        <v>-0.06</v>
      </c>
      <c r="I3464">
        <v>3.07</v>
      </c>
      <c r="J3464">
        <v>-1.85</v>
      </c>
      <c r="K3464" t="s">
        <v>982</v>
      </c>
      <c r="L3464">
        <v>146.16</v>
      </c>
      <c r="M3464" t="s">
        <v>14653</v>
      </c>
      <c r="N3464">
        <v>0</v>
      </c>
      <c r="O3464" t="s">
        <v>10005</v>
      </c>
      <c r="P3464" t="s">
        <v>6598</v>
      </c>
      <c r="Q3464">
        <v>33.65</v>
      </c>
      <c r="R3464" t="s">
        <v>2705</v>
      </c>
      <c r="S3464">
        <v>0.53</v>
      </c>
      <c r="T3464">
        <v>48.78</v>
      </c>
      <c r="U3464" t="s">
        <v>463</v>
      </c>
      <c r="V3464" t="s">
        <v>5445</v>
      </c>
      <c r="W3464" t="s">
        <v>584</v>
      </c>
      <c r="X3464">
        <v>-1.85</v>
      </c>
      <c r="Y3464" t="s">
        <v>2042</v>
      </c>
      <c r="Z3464" t="s">
        <v>2692</v>
      </c>
      <c r="AA3464" t="s">
        <v>1920</v>
      </c>
      <c r="AB3464">
        <v>2.66</v>
      </c>
      <c r="AC3464" t="s">
        <v>2389</v>
      </c>
      <c r="AD3464">
        <v>41.37</v>
      </c>
      <c r="AE3464" t="s">
        <v>2100</v>
      </c>
      <c r="AF3464">
        <v>1.48</v>
      </c>
      <c r="AG3464">
        <v>0</v>
      </c>
      <c r="AH3464">
        <v>0</v>
      </c>
      <c r="AI3464" s="4">
        <v>40690</v>
      </c>
    </row>
    <row r="3465" spans="1:35">
      <c r="A3465">
        <v>3464</v>
      </c>
      <c r="B3465" t="str">
        <f>"002058"</f>
        <v>002058</v>
      </c>
      <c r="C3465" t="s">
        <v>14654</v>
      </c>
      <c r="D3465" s="4">
        <v>43190</v>
      </c>
      <c r="E3465" t="s">
        <v>326</v>
      </c>
      <c r="F3465" t="s">
        <v>326</v>
      </c>
      <c r="G3465" t="s">
        <v>1105</v>
      </c>
      <c r="H3465">
        <v>-0.02</v>
      </c>
      <c r="I3465">
        <v>1.28</v>
      </c>
      <c r="J3465">
        <v>-1.85</v>
      </c>
      <c r="K3465" t="s">
        <v>14655</v>
      </c>
      <c r="L3465">
        <v>22.34</v>
      </c>
      <c r="M3465" t="s">
        <v>14656</v>
      </c>
      <c r="N3465" t="s">
        <v>13019</v>
      </c>
      <c r="O3465" t="s">
        <v>14657</v>
      </c>
      <c r="P3465" t="s">
        <v>13808</v>
      </c>
      <c r="Q3465">
        <v>21.89</v>
      </c>
      <c r="R3465" t="s">
        <v>8125</v>
      </c>
      <c r="S3465">
        <v>0.16</v>
      </c>
      <c r="T3465">
        <v>33.64</v>
      </c>
      <c r="U3465" t="s">
        <v>454</v>
      </c>
      <c r="V3465" t="s">
        <v>1839</v>
      </c>
      <c r="W3465" t="s">
        <v>10014</v>
      </c>
      <c r="X3465">
        <v>-1.85</v>
      </c>
      <c r="Y3465" t="s">
        <v>13621</v>
      </c>
      <c r="Z3465" t="s">
        <v>12112</v>
      </c>
      <c r="AA3465" t="s">
        <v>3453</v>
      </c>
      <c r="AB3465">
        <v>8.16</v>
      </c>
      <c r="AC3465" t="s">
        <v>37</v>
      </c>
      <c r="AD3465">
        <v>86.15</v>
      </c>
      <c r="AE3465" t="s">
        <v>14658</v>
      </c>
      <c r="AF3465">
        <v>0</v>
      </c>
      <c r="AG3465">
        <v>0</v>
      </c>
      <c r="AH3465">
        <v>0</v>
      </c>
      <c r="AI3465" s="4">
        <v>38931</v>
      </c>
    </row>
    <row r="3466" spans="1:35">
      <c r="A3466">
        <v>3465</v>
      </c>
      <c r="B3466" t="str">
        <f>"300682"</f>
        <v>300682</v>
      </c>
      <c r="C3466" t="s">
        <v>14659</v>
      </c>
      <c r="D3466" s="4">
        <v>43190</v>
      </c>
      <c r="E3466" t="s">
        <v>2284</v>
      </c>
      <c r="F3466" t="s">
        <v>6617</v>
      </c>
      <c r="G3466">
        <v>2133</v>
      </c>
      <c r="H3466">
        <v>-0.06</v>
      </c>
      <c r="I3466">
        <v>2.67</v>
      </c>
      <c r="J3466">
        <v>-1.86</v>
      </c>
      <c r="K3466" t="s">
        <v>14660</v>
      </c>
      <c r="L3466">
        <v>-10.130000000000001</v>
      </c>
      <c r="M3466" t="s">
        <v>14661</v>
      </c>
      <c r="N3466" t="s">
        <v>14662</v>
      </c>
      <c r="O3466" t="s">
        <v>14661</v>
      </c>
      <c r="P3466" t="s">
        <v>14663</v>
      </c>
      <c r="Q3466">
        <v>-89383.15</v>
      </c>
      <c r="R3466" t="s">
        <v>1383</v>
      </c>
      <c r="S3466">
        <v>0.81</v>
      </c>
      <c r="T3466">
        <v>34.01</v>
      </c>
      <c r="U3466" t="s">
        <v>908</v>
      </c>
      <c r="V3466" t="s">
        <v>176</v>
      </c>
      <c r="W3466" t="s">
        <v>3042</v>
      </c>
      <c r="X3466">
        <v>-1.86</v>
      </c>
      <c r="Y3466" t="s">
        <v>2751</v>
      </c>
      <c r="Z3466" t="s">
        <v>330</v>
      </c>
      <c r="AA3466" t="s">
        <v>8951</v>
      </c>
      <c r="AB3466">
        <v>8.07</v>
      </c>
      <c r="AC3466" t="s">
        <v>835</v>
      </c>
      <c r="AD3466">
        <v>74.790000000000006</v>
      </c>
      <c r="AE3466" t="s">
        <v>153</v>
      </c>
      <c r="AF3466">
        <v>1.0900000000000001</v>
      </c>
      <c r="AG3466">
        <v>0</v>
      </c>
      <c r="AH3466">
        <v>0</v>
      </c>
      <c r="AI3466" s="4">
        <v>42948</v>
      </c>
    </row>
    <row r="3467" spans="1:35">
      <c r="A3467">
        <v>3466</v>
      </c>
      <c r="B3467" t="str">
        <f>"002432"</f>
        <v>002432</v>
      </c>
      <c r="C3467" t="s">
        <v>14664</v>
      </c>
      <c r="D3467" s="4">
        <v>43190</v>
      </c>
      <c r="E3467" t="s">
        <v>704</v>
      </c>
      <c r="F3467" t="s">
        <v>704</v>
      </c>
      <c r="G3467">
        <v>5900</v>
      </c>
      <c r="H3467">
        <v>-0.06</v>
      </c>
      <c r="I3467">
        <v>3.43</v>
      </c>
      <c r="J3467">
        <v>-1.86</v>
      </c>
      <c r="K3467" t="s">
        <v>1525</v>
      </c>
      <c r="L3467">
        <v>-11.81</v>
      </c>
      <c r="M3467" t="s">
        <v>14665</v>
      </c>
      <c r="N3467" t="s">
        <v>14666</v>
      </c>
      <c r="O3467" t="s">
        <v>14667</v>
      </c>
      <c r="P3467" t="s">
        <v>14668</v>
      </c>
      <c r="Q3467">
        <v>-57.7</v>
      </c>
      <c r="R3467" t="s">
        <v>13424</v>
      </c>
      <c r="S3467">
        <v>-0.56999999999999995</v>
      </c>
      <c r="T3467">
        <v>37.43</v>
      </c>
      <c r="U3467" t="s">
        <v>980</v>
      </c>
      <c r="V3467" t="s">
        <v>7960</v>
      </c>
      <c r="W3467" t="s">
        <v>200</v>
      </c>
      <c r="X3467">
        <v>-1.86</v>
      </c>
      <c r="Y3467" t="s">
        <v>344</v>
      </c>
      <c r="Z3467" t="s">
        <v>1400</v>
      </c>
      <c r="AA3467" t="s">
        <v>7328</v>
      </c>
      <c r="AB3467">
        <v>2.12</v>
      </c>
      <c r="AC3467" t="s">
        <v>141</v>
      </c>
      <c r="AD3467">
        <v>80.88</v>
      </c>
      <c r="AE3467" t="s">
        <v>840</v>
      </c>
      <c r="AF3467">
        <v>3.02</v>
      </c>
      <c r="AG3467">
        <v>0</v>
      </c>
      <c r="AH3467">
        <v>0</v>
      </c>
      <c r="AI3467" s="4">
        <v>40339</v>
      </c>
    </row>
    <row r="3468" spans="1:35">
      <c r="A3468">
        <v>3467</v>
      </c>
      <c r="B3468" t="str">
        <f>"600608"</f>
        <v>600608</v>
      </c>
      <c r="C3468" t="s">
        <v>14669</v>
      </c>
      <c r="D3468" s="4">
        <v>43190</v>
      </c>
      <c r="E3468" t="s">
        <v>2661</v>
      </c>
      <c r="F3468" t="s">
        <v>1530</v>
      </c>
      <c r="G3468" t="s">
        <v>2229</v>
      </c>
      <c r="H3468">
        <v>0</v>
      </c>
      <c r="I3468">
        <v>0.18</v>
      </c>
      <c r="J3468">
        <v>-1.88</v>
      </c>
      <c r="K3468" t="s">
        <v>255</v>
      </c>
      <c r="L3468">
        <v>590.79</v>
      </c>
      <c r="M3468" t="s">
        <v>212</v>
      </c>
      <c r="N3468">
        <v>0</v>
      </c>
      <c r="O3468" t="s">
        <v>212</v>
      </c>
      <c r="P3468" t="s">
        <v>14670</v>
      </c>
      <c r="Q3468">
        <v>82.15</v>
      </c>
      <c r="R3468" t="s">
        <v>14671</v>
      </c>
      <c r="S3468">
        <v>-2.33</v>
      </c>
      <c r="T3468">
        <v>0.62</v>
      </c>
      <c r="U3468" t="s">
        <v>905</v>
      </c>
      <c r="V3468" t="s">
        <v>905</v>
      </c>
      <c r="W3468" t="s">
        <v>7648</v>
      </c>
      <c r="X3468">
        <v>-1.88</v>
      </c>
      <c r="Y3468" t="s">
        <v>2115</v>
      </c>
      <c r="Z3468" t="s">
        <v>209</v>
      </c>
      <c r="AA3468" t="s">
        <v>11821</v>
      </c>
      <c r="AB3468">
        <v>30.55</v>
      </c>
      <c r="AC3468" t="s">
        <v>14672</v>
      </c>
      <c r="AD3468">
        <v>30.51</v>
      </c>
      <c r="AE3468" t="s">
        <v>1059</v>
      </c>
      <c r="AF3468">
        <v>1.36</v>
      </c>
      <c r="AG3468">
        <v>0</v>
      </c>
      <c r="AH3468">
        <v>0</v>
      </c>
      <c r="AI3468" s="4">
        <v>33690</v>
      </c>
    </row>
    <row r="3469" spans="1:35">
      <c r="A3469">
        <v>3468</v>
      </c>
      <c r="B3469" t="str">
        <f>"300356"</f>
        <v>300356</v>
      </c>
      <c r="C3469" t="s">
        <v>14673</v>
      </c>
      <c r="D3469" s="4">
        <v>43190</v>
      </c>
      <c r="E3469" t="s">
        <v>749</v>
      </c>
      <c r="F3469" t="s">
        <v>3726</v>
      </c>
      <c r="G3469" t="s">
        <v>5991</v>
      </c>
      <c r="H3469">
        <v>-0.05</v>
      </c>
      <c r="I3469">
        <v>2.4500000000000002</v>
      </c>
      <c r="J3469">
        <v>-1.89</v>
      </c>
      <c r="K3469" t="s">
        <v>11005</v>
      </c>
      <c r="L3469">
        <v>-46.46</v>
      </c>
      <c r="M3469" t="s">
        <v>14674</v>
      </c>
      <c r="N3469" t="s">
        <v>2184</v>
      </c>
      <c r="O3469" t="s">
        <v>14642</v>
      </c>
      <c r="P3469" t="s">
        <v>14675</v>
      </c>
      <c r="Q3469">
        <v>-421.81</v>
      </c>
      <c r="R3469" t="s">
        <v>11018</v>
      </c>
      <c r="S3469">
        <v>-0.33</v>
      </c>
      <c r="T3469">
        <v>31.23</v>
      </c>
      <c r="U3469" t="s">
        <v>1343</v>
      </c>
      <c r="V3469" t="s">
        <v>1709</v>
      </c>
      <c r="W3469" t="s">
        <v>346</v>
      </c>
      <c r="X3469">
        <v>-1.89</v>
      </c>
      <c r="Y3469" t="s">
        <v>2010</v>
      </c>
      <c r="Z3469" t="s">
        <v>3587</v>
      </c>
      <c r="AA3469" t="s">
        <v>1627</v>
      </c>
      <c r="AB3469">
        <v>2.2599999999999998</v>
      </c>
      <c r="AC3469" t="s">
        <v>1496</v>
      </c>
      <c r="AD3469">
        <v>57.89</v>
      </c>
      <c r="AE3469" t="s">
        <v>1204</v>
      </c>
      <c r="AF3469">
        <v>1.85</v>
      </c>
      <c r="AG3469">
        <v>0</v>
      </c>
      <c r="AH3469">
        <v>0</v>
      </c>
      <c r="AI3469" s="4">
        <v>41191</v>
      </c>
    </row>
    <row r="3470" spans="1:35">
      <c r="A3470">
        <v>3469</v>
      </c>
      <c r="B3470" t="str">
        <f>"002629"</f>
        <v>002629</v>
      </c>
      <c r="C3470" t="s">
        <v>14676</v>
      </c>
      <c r="D3470" s="4">
        <v>43190</v>
      </c>
      <c r="E3470" t="s">
        <v>349</v>
      </c>
      <c r="F3470" t="s">
        <v>1594</v>
      </c>
      <c r="G3470" t="s">
        <v>4747</v>
      </c>
      <c r="H3470">
        <v>-0.03</v>
      </c>
      <c r="I3470">
        <v>1.61</v>
      </c>
      <c r="J3470">
        <v>-1.89</v>
      </c>
      <c r="K3470" t="s">
        <v>128</v>
      </c>
      <c r="L3470">
        <v>4.24</v>
      </c>
      <c r="M3470" t="s">
        <v>14677</v>
      </c>
      <c r="N3470" t="s">
        <v>8630</v>
      </c>
      <c r="O3470" t="s">
        <v>14678</v>
      </c>
      <c r="P3470" t="s">
        <v>14679</v>
      </c>
      <c r="Q3470">
        <v>11.82</v>
      </c>
      <c r="R3470" t="s">
        <v>86</v>
      </c>
      <c r="S3470">
        <v>0.31</v>
      </c>
      <c r="T3470">
        <v>0.59</v>
      </c>
      <c r="U3470" t="s">
        <v>1019</v>
      </c>
      <c r="V3470" t="s">
        <v>3420</v>
      </c>
      <c r="W3470" t="s">
        <v>3529</v>
      </c>
      <c r="X3470">
        <v>-1.89</v>
      </c>
      <c r="Y3470" t="s">
        <v>1459</v>
      </c>
      <c r="Z3470" t="s">
        <v>1459</v>
      </c>
      <c r="AA3470" t="s">
        <v>444</v>
      </c>
      <c r="AB3470">
        <v>3.07</v>
      </c>
      <c r="AC3470" t="s">
        <v>1730</v>
      </c>
      <c r="AD3470">
        <v>84.83</v>
      </c>
      <c r="AE3470" t="s">
        <v>12871</v>
      </c>
      <c r="AF3470">
        <v>0.22</v>
      </c>
      <c r="AG3470">
        <v>0</v>
      </c>
      <c r="AH3470">
        <v>0</v>
      </c>
      <c r="AI3470" s="4">
        <v>40850</v>
      </c>
    </row>
    <row r="3471" spans="1:35">
      <c r="A3471">
        <v>3470</v>
      </c>
      <c r="B3471" t="str">
        <f>"601808"</f>
        <v>601808</v>
      </c>
      <c r="C3471" t="s">
        <v>14680</v>
      </c>
      <c r="D3471" s="4">
        <v>43190</v>
      </c>
      <c r="E3471" t="s">
        <v>732</v>
      </c>
      <c r="F3471" t="s">
        <v>583</v>
      </c>
      <c r="G3471">
        <v>0</v>
      </c>
      <c r="H3471">
        <v>-0.14000000000000001</v>
      </c>
      <c r="I3471">
        <v>7</v>
      </c>
      <c r="J3471">
        <v>-1.9</v>
      </c>
      <c r="K3471" t="s">
        <v>457</v>
      </c>
      <c r="L3471">
        <v>12.08</v>
      </c>
      <c r="M3471" t="s">
        <v>14681</v>
      </c>
      <c r="N3471" t="s">
        <v>7462</v>
      </c>
      <c r="O3471" t="s">
        <v>14682</v>
      </c>
      <c r="P3471" t="s">
        <v>334</v>
      </c>
      <c r="Q3471">
        <v>-16.86</v>
      </c>
      <c r="R3471" t="s">
        <v>2654</v>
      </c>
      <c r="S3471">
        <v>3</v>
      </c>
      <c r="T3471">
        <v>-7.66</v>
      </c>
      <c r="U3471" t="s">
        <v>14683</v>
      </c>
      <c r="V3471" t="s">
        <v>4910</v>
      </c>
      <c r="W3471" t="s">
        <v>9454</v>
      </c>
      <c r="X3471">
        <v>-1.9</v>
      </c>
      <c r="Y3471" t="s">
        <v>7613</v>
      </c>
      <c r="Z3471" t="s">
        <v>3472</v>
      </c>
      <c r="AA3471" t="s">
        <v>1739</v>
      </c>
      <c r="AB3471">
        <v>1.33</v>
      </c>
      <c r="AC3471" t="s">
        <v>7380</v>
      </c>
      <c r="AD3471">
        <v>47.6</v>
      </c>
      <c r="AE3471" t="s">
        <v>410</v>
      </c>
      <c r="AF3471">
        <v>2.59</v>
      </c>
      <c r="AG3471">
        <v>0</v>
      </c>
      <c r="AH3471" t="s">
        <v>1455</v>
      </c>
      <c r="AI3471" s="4">
        <v>39353</v>
      </c>
    </row>
    <row r="3472" spans="1:35">
      <c r="A3472">
        <v>3471</v>
      </c>
      <c r="B3472" t="str">
        <f>"600517"</f>
        <v>600517</v>
      </c>
      <c r="C3472" t="s">
        <v>14684</v>
      </c>
      <c r="D3472" s="4">
        <v>43190</v>
      </c>
      <c r="E3472" t="s">
        <v>350</v>
      </c>
      <c r="F3472" t="s">
        <v>548</v>
      </c>
      <c r="G3472" t="s">
        <v>2266</v>
      </c>
      <c r="H3472">
        <v>-0.05</v>
      </c>
      <c r="I3472">
        <v>2.56</v>
      </c>
      <c r="J3472">
        <v>-1.9</v>
      </c>
      <c r="K3472" t="s">
        <v>491</v>
      </c>
      <c r="L3472">
        <v>-40.43</v>
      </c>
      <c r="M3472" t="s">
        <v>14685</v>
      </c>
      <c r="N3472">
        <v>0</v>
      </c>
      <c r="O3472" t="s">
        <v>14686</v>
      </c>
      <c r="P3472" t="s">
        <v>14687</v>
      </c>
      <c r="Q3472">
        <v>-258.77</v>
      </c>
      <c r="R3472" t="s">
        <v>391</v>
      </c>
      <c r="S3472">
        <v>1.1299999999999999</v>
      </c>
      <c r="T3472">
        <v>8.9499999999999993</v>
      </c>
      <c r="U3472" t="s">
        <v>963</v>
      </c>
      <c r="V3472" t="s">
        <v>1087</v>
      </c>
      <c r="W3472" t="s">
        <v>5415</v>
      </c>
      <c r="X3472">
        <v>-1.9</v>
      </c>
      <c r="Y3472" t="s">
        <v>1715</v>
      </c>
      <c r="Z3472" t="s">
        <v>3288</v>
      </c>
      <c r="AA3472" t="s">
        <v>1364</v>
      </c>
      <c r="AB3472">
        <v>1.37</v>
      </c>
      <c r="AC3472" t="s">
        <v>312</v>
      </c>
      <c r="AD3472">
        <v>40.85</v>
      </c>
      <c r="AE3472" t="s">
        <v>137</v>
      </c>
      <c r="AF3472">
        <v>0.28000000000000003</v>
      </c>
      <c r="AG3472">
        <v>0</v>
      </c>
      <c r="AH3472">
        <v>0</v>
      </c>
      <c r="AI3472" s="4">
        <v>37904</v>
      </c>
    </row>
    <row r="3473" spans="1:35">
      <c r="A3473">
        <v>3472</v>
      </c>
      <c r="B3473" t="str">
        <f>"000586"</f>
        <v>000586</v>
      </c>
      <c r="C3473" t="s">
        <v>14688</v>
      </c>
      <c r="D3473" s="4">
        <v>43190</v>
      </c>
      <c r="E3473" t="s">
        <v>95</v>
      </c>
      <c r="F3473" t="s">
        <v>95</v>
      </c>
      <c r="G3473" t="s">
        <v>5021</v>
      </c>
      <c r="H3473">
        <v>-0.02</v>
      </c>
      <c r="I3473">
        <v>1.2</v>
      </c>
      <c r="J3473">
        <v>-1.9</v>
      </c>
      <c r="K3473" t="s">
        <v>14689</v>
      </c>
      <c r="L3473">
        <v>-29.08</v>
      </c>
      <c r="M3473" t="s">
        <v>13743</v>
      </c>
      <c r="N3473" t="s">
        <v>9250</v>
      </c>
      <c r="O3473" t="s">
        <v>14690</v>
      </c>
      <c r="P3473" t="s">
        <v>14691</v>
      </c>
      <c r="Q3473">
        <v>-71.260000000000005</v>
      </c>
      <c r="R3473" t="s">
        <v>14692</v>
      </c>
      <c r="S3473">
        <v>-0.21</v>
      </c>
      <c r="T3473">
        <v>15.54</v>
      </c>
      <c r="U3473" t="s">
        <v>2111</v>
      </c>
      <c r="V3473" t="s">
        <v>4962</v>
      </c>
      <c r="W3473" t="s">
        <v>2976</v>
      </c>
      <c r="X3473">
        <v>-1.9</v>
      </c>
      <c r="Y3473" t="s">
        <v>958</v>
      </c>
      <c r="Z3473" t="s">
        <v>1049</v>
      </c>
      <c r="AA3473" t="s">
        <v>6957</v>
      </c>
      <c r="AB3473">
        <v>9.75</v>
      </c>
      <c r="AC3473" t="s">
        <v>1245</v>
      </c>
      <c r="AD3473">
        <v>43.53</v>
      </c>
      <c r="AE3473" t="s">
        <v>14693</v>
      </c>
      <c r="AF3473">
        <v>0.33</v>
      </c>
      <c r="AG3473">
        <v>0</v>
      </c>
      <c r="AH3473">
        <v>0</v>
      </c>
      <c r="AI3473" s="4">
        <v>35053</v>
      </c>
    </row>
    <row r="3474" spans="1:35">
      <c r="A3474">
        <v>3473</v>
      </c>
      <c r="B3474" t="str">
        <f>"002333"</f>
        <v>002333</v>
      </c>
      <c r="C3474" t="s">
        <v>14694</v>
      </c>
      <c r="D3474" s="4">
        <v>43190</v>
      </c>
      <c r="E3474" t="s">
        <v>442</v>
      </c>
      <c r="F3474" t="s">
        <v>347</v>
      </c>
      <c r="G3474" t="s">
        <v>14695</v>
      </c>
      <c r="H3474">
        <v>-0.06</v>
      </c>
      <c r="I3474">
        <v>2.87</v>
      </c>
      <c r="J3474">
        <v>-1.91</v>
      </c>
      <c r="K3474" t="s">
        <v>1011</v>
      </c>
      <c r="L3474">
        <v>-1.1599999999999999</v>
      </c>
      <c r="M3474" t="s">
        <v>14696</v>
      </c>
      <c r="N3474" t="s">
        <v>8496</v>
      </c>
      <c r="O3474" t="s">
        <v>14697</v>
      </c>
      <c r="P3474" t="s">
        <v>14698</v>
      </c>
      <c r="Q3474">
        <v>-158.51</v>
      </c>
      <c r="R3474" t="s">
        <v>1934</v>
      </c>
      <c r="S3474">
        <v>0.77</v>
      </c>
      <c r="T3474">
        <v>3.94</v>
      </c>
      <c r="U3474" t="s">
        <v>1367</v>
      </c>
      <c r="V3474" t="s">
        <v>169</v>
      </c>
      <c r="W3474" t="s">
        <v>6159</v>
      </c>
      <c r="X3474">
        <v>-1.91</v>
      </c>
      <c r="Y3474" t="s">
        <v>802</v>
      </c>
      <c r="Z3474" t="s">
        <v>209</v>
      </c>
      <c r="AA3474" t="s">
        <v>14699</v>
      </c>
      <c r="AB3474">
        <v>4.6500000000000004</v>
      </c>
      <c r="AC3474" t="s">
        <v>161</v>
      </c>
      <c r="AD3474">
        <v>91.22</v>
      </c>
      <c r="AE3474" t="s">
        <v>3067</v>
      </c>
      <c r="AF3474">
        <v>0.9</v>
      </c>
      <c r="AG3474">
        <v>0</v>
      </c>
      <c r="AH3474">
        <v>0</v>
      </c>
      <c r="AI3474" s="4">
        <v>40190</v>
      </c>
    </row>
    <row r="3475" spans="1:35">
      <c r="A3475">
        <v>3474</v>
      </c>
      <c r="B3475" t="str">
        <f>"600193"</f>
        <v>600193</v>
      </c>
      <c r="C3475" t="s">
        <v>14700</v>
      </c>
      <c r="D3475" s="4">
        <v>43190</v>
      </c>
      <c r="E3475" t="s">
        <v>599</v>
      </c>
      <c r="F3475" t="s">
        <v>599</v>
      </c>
      <c r="G3475">
        <v>8344</v>
      </c>
      <c r="H3475">
        <v>-0.01</v>
      </c>
      <c r="I3475">
        <v>0.42</v>
      </c>
      <c r="J3475">
        <v>-1.92</v>
      </c>
      <c r="K3475" t="s">
        <v>5044</v>
      </c>
      <c r="L3475">
        <v>-91.49</v>
      </c>
      <c r="M3475" t="s">
        <v>13950</v>
      </c>
      <c r="N3475" t="s">
        <v>14701</v>
      </c>
      <c r="O3475" t="s">
        <v>13950</v>
      </c>
      <c r="P3475" t="s">
        <v>13950</v>
      </c>
      <c r="Q3475">
        <v>-185.91</v>
      </c>
      <c r="R3475" t="s">
        <v>14702</v>
      </c>
      <c r="S3475">
        <v>-1.03</v>
      </c>
      <c r="T3475">
        <v>18.850000000000001</v>
      </c>
      <c r="U3475" t="s">
        <v>798</v>
      </c>
      <c r="V3475" t="s">
        <v>14703</v>
      </c>
      <c r="W3475">
        <v>2741</v>
      </c>
      <c r="X3475">
        <v>-1.92</v>
      </c>
      <c r="Y3475" t="s">
        <v>14704</v>
      </c>
      <c r="Z3475" t="s">
        <v>14704</v>
      </c>
      <c r="AA3475">
        <v>0</v>
      </c>
      <c r="AB3475">
        <v>6.18</v>
      </c>
      <c r="AC3475" t="s">
        <v>1202</v>
      </c>
      <c r="AD3475">
        <v>65.78</v>
      </c>
      <c r="AE3475" t="s">
        <v>1974</v>
      </c>
      <c r="AF3475">
        <v>0.33</v>
      </c>
      <c r="AG3475">
        <v>0</v>
      </c>
      <c r="AH3475">
        <v>0</v>
      </c>
      <c r="AI3475" s="4">
        <v>36307</v>
      </c>
    </row>
    <row r="3476" spans="1:35">
      <c r="A3476">
        <v>3475</v>
      </c>
      <c r="B3476" t="str">
        <f>"600449"</f>
        <v>600449</v>
      </c>
      <c r="C3476" t="s">
        <v>14705</v>
      </c>
      <c r="D3476" s="4">
        <v>43190</v>
      </c>
      <c r="E3476" t="s">
        <v>3006</v>
      </c>
      <c r="F3476" t="s">
        <v>3006</v>
      </c>
      <c r="G3476" t="s">
        <v>2135</v>
      </c>
      <c r="H3476">
        <v>-0.18</v>
      </c>
      <c r="I3476">
        <v>9.08</v>
      </c>
      <c r="J3476">
        <v>-1.93</v>
      </c>
      <c r="K3476" t="s">
        <v>1594</v>
      </c>
      <c r="L3476">
        <v>-34.770000000000003</v>
      </c>
      <c r="M3476" t="s">
        <v>14706</v>
      </c>
      <c r="N3476">
        <v>0</v>
      </c>
      <c r="O3476" t="s">
        <v>14707</v>
      </c>
      <c r="P3476" t="s">
        <v>14708</v>
      </c>
      <c r="Q3476">
        <v>-49.06</v>
      </c>
      <c r="R3476" t="s">
        <v>79</v>
      </c>
      <c r="S3476">
        <v>3.39</v>
      </c>
      <c r="T3476">
        <v>21.91</v>
      </c>
      <c r="U3476" t="s">
        <v>3065</v>
      </c>
      <c r="V3476" t="s">
        <v>223</v>
      </c>
      <c r="W3476" t="s">
        <v>763</v>
      </c>
      <c r="X3476">
        <v>-1.93</v>
      </c>
      <c r="Y3476" t="s">
        <v>223</v>
      </c>
      <c r="Z3476" t="s">
        <v>757</v>
      </c>
      <c r="AA3476" t="s">
        <v>1480</v>
      </c>
      <c r="AB3476">
        <v>0.92</v>
      </c>
      <c r="AC3476" t="s">
        <v>3422</v>
      </c>
      <c r="AD3476">
        <v>62.23</v>
      </c>
      <c r="AE3476" t="s">
        <v>712</v>
      </c>
      <c r="AF3476">
        <v>4.25</v>
      </c>
      <c r="AG3476">
        <v>0</v>
      </c>
      <c r="AH3476">
        <v>0</v>
      </c>
      <c r="AI3476" s="4">
        <v>37862</v>
      </c>
    </row>
    <row r="3477" spans="1:35">
      <c r="A3477">
        <v>3476</v>
      </c>
      <c r="B3477" t="str">
        <f>"300140"</f>
        <v>300140</v>
      </c>
      <c r="C3477" t="s">
        <v>14709</v>
      </c>
      <c r="D3477" s="4">
        <v>43190</v>
      </c>
      <c r="E3477" t="s">
        <v>1594</v>
      </c>
      <c r="F3477" t="s">
        <v>203</v>
      </c>
      <c r="G3477">
        <v>7407</v>
      </c>
      <c r="H3477">
        <v>-7.0000000000000007E-2</v>
      </c>
      <c r="I3477">
        <v>3.77</v>
      </c>
      <c r="J3477">
        <v>-1.93</v>
      </c>
      <c r="K3477" t="s">
        <v>2889</v>
      </c>
      <c r="L3477">
        <v>36.03</v>
      </c>
      <c r="M3477" t="s">
        <v>14710</v>
      </c>
      <c r="N3477" t="s">
        <v>14711</v>
      </c>
      <c r="O3477" t="s">
        <v>14712</v>
      </c>
      <c r="P3477" t="s">
        <v>14713</v>
      </c>
      <c r="Q3477">
        <v>-85.25</v>
      </c>
      <c r="R3477" t="s">
        <v>165</v>
      </c>
      <c r="S3477">
        <v>1.1100000000000001</v>
      </c>
      <c r="T3477">
        <v>22.12</v>
      </c>
      <c r="U3477" t="s">
        <v>235</v>
      </c>
      <c r="V3477" t="s">
        <v>1350</v>
      </c>
      <c r="W3477" t="s">
        <v>365</v>
      </c>
      <c r="X3477">
        <v>-1.93</v>
      </c>
      <c r="Y3477" t="s">
        <v>244</v>
      </c>
      <c r="Z3477" t="s">
        <v>2291</v>
      </c>
      <c r="AA3477" t="s">
        <v>14714</v>
      </c>
      <c r="AB3477">
        <v>2.48</v>
      </c>
      <c r="AC3477" t="s">
        <v>1025</v>
      </c>
      <c r="AD3477">
        <v>33.99</v>
      </c>
      <c r="AE3477" t="s">
        <v>2789</v>
      </c>
      <c r="AF3477">
        <v>1.44</v>
      </c>
      <c r="AG3477">
        <v>0</v>
      </c>
      <c r="AH3477">
        <v>0</v>
      </c>
      <c r="AI3477" s="4">
        <v>40494</v>
      </c>
    </row>
    <row r="3478" spans="1:35">
      <c r="A3478">
        <v>3477</v>
      </c>
      <c r="B3478" t="str">
        <f>"002800"</f>
        <v>002800</v>
      </c>
      <c r="C3478" t="s">
        <v>14715</v>
      </c>
      <c r="D3478" s="4">
        <v>43190</v>
      </c>
      <c r="E3478" t="s">
        <v>1622</v>
      </c>
      <c r="F3478" t="s">
        <v>14716</v>
      </c>
      <c r="G3478">
        <v>2798</v>
      </c>
      <c r="H3478">
        <v>-0.12</v>
      </c>
      <c r="I3478">
        <v>5.85</v>
      </c>
      <c r="J3478">
        <v>-1.95</v>
      </c>
      <c r="K3478" t="s">
        <v>1974</v>
      </c>
      <c r="L3478">
        <v>-24.45</v>
      </c>
      <c r="M3478" t="s">
        <v>14717</v>
      </c>
      <c r="N3478">
        <v>0</v>
      </c>
      <c r="O3478" t="s">
        <v>1451</v>
      </c>
      <c r="P3478" t="s">
        <v>10784</v>
      </c>
      <c r="Q3478">
        <v>-216.18</v>
      </c>
      <c r="R3478" t="s">
        <v>2123</v>
      </c>
      <c r="S3478">
        <v>2.5499999999999998</v>
      </c>
      <c r="T3478">
        <v>8.5</v>
      </c>
      <c r="U3478" t="s">
        <v>46</v>
      </c>
      <c r="V3478" t="s">
        <v>2304</v>
      </c>
      <c r="W3478" t="s">
        <v>5103</v>
      </c>
      <c r="X3478">
        <v>-1.95</v>
      </c>
      <c r="Y3478" t="s">
        <v>205</v>
      </c>
      <c r="Z3478" t="s">
        <v>1435</v>
      </c>
      <c r="AA3478" t="s">
        <v>2411</v>
      </c>
      <c r="AB3478">
        <v>3.92</v>
      </c>
      <c r="AC3478" t="s">
        <v>4794</v>
      </c>
      <c r="AD3478">
        <v>59.31</v>
      </c>
      <c r="AE3478" t="s">
        <v>452</v>
      </c>
      <c r="AF3478">
        <v>2.04</v>
      </c>
      <c r="AG3478">
        <v>0</v>
      </c>
      <c r="AH3478">
        <v>0</v>
      </c>
      <c r="AI3478" s="4">
        <v>42520</v>
      </c>
    </row>
    <row r="3479" spans="1:35">
      <c r="A3479">
        <v>3478</v>
      </c>
      <c r="B3479" t="str">
        <f>"002184"</f>
        <v>002184</v>
      </c>
      <c r="C3479" t="s">
        <v>14718</v>
      </c>
      <c r="D3479" s="4">
        <v>43190</v>
      </c>
      <c r="E3479" t="s">
        <v>3674</v>
      </c>
      <c r="F3479" t="s">
        <v>372</v>
      </c>
      <c r="G3479">
        <v>3677</v>
      </c>
      <c r="H3479">
        <v>-0.09</v>
      </c>
      <c r="I3479">
        <v>4.3899999999999997</v>
      </c>
      <c r="J3479">
        <v>-1.95</v>
      </c>
      <c r="K3479" t="s">
        <v>1791</v>
      </c>
      <c r="L3479">
        <v>-8.84</v>
      </c>
      <c r="M3479" t="s">
        <v>14719</v>
      </c>
      <c r="N3479" t="s">
        <v>14720</v>
      </c>
      <c r="O3479" t="s">
        <v>14721</v>
      </c>
      <c r="P3479" t="s">
        <v>14722</v>
      </c>
      <c r="Q3479">
        <v>-23.3</v>
      </c>
      <c r="R3479" t="s">
        <v>4614</v>
      </c>
      <c r="S3479">
        <v>0.85</v>
      </c>
      <c r="T3479">
        <v>20.100000000000001</v>
      </c>
      <c r="U3479" t="s">
        <v>1875</v>
      </c>
      <c r="V3479" t="s">
        <v>1244</v>
      </c>
      <c r="W3479" t="s">
        <v>1936</v>
      </c>
      <c r="X3479">
        <v>-1.95</v>
      </c>
      <c r="Y3479" t="s">
        <v>4953</v>
      </c>
      <c r="Z3479" t="s">
        <v>2870</v>
      </c>
      <c r="AA3479" t="s">
        <v>14723</v>
      </c>
      <c r="AB3479">
        <v>2.39</v>
      </c>
      <c r="AC3479" t="s">
        <v>1223</v>
      </c>
      <c r="AD3479">
        <v>49.55</v>
      </c>
      <c r="AE3479" t="s">
        <v>3368</v>
      </c>
      <c r="AF3479">
        <v>2.4700000000000002</v>
      </c>
      <c r="AG3479">
        <v>0</v>
      </c>
      <c r="AH3479">
        <v>0</v>
      </c>
      <c r="AI3479" s="4">
        <v>39402</v>
      </c>
    </row>
    <row r="3480" spans="1:35">
      <c r="A3480">
        <v>3479</v>
      </c>
      <c r="B3480" t="str">
        <f>"002302"</f>
        <v>002302</v>
      </c>
      <c r="C3480" t="s">
        <v>14724</v>
      </c>
      <c r="D3480" s="4">
        <v>43190</v>
      </c>
      <c r="E3480" t="s">
        <v>164</v>
      </c>
      <c r="F3480" t="s">
        <v>978</v>
      </c>
      <c r="G3480" t="s">
        <v>5706</v>
      </c>
      <c r="H3480">
        <v>-0.1</v>
      </c>
      <c r="I3480">
        <v>4.83</v>
      </c>
      <c r="J3480">
        <v>-1.96</v>
      </c>
      <c r="K3480" t="s">
        <v>1051</v>
      </c>
      <c r="L3480">
        <v>31.72</v>
      </c>
      <c r="M3480" t="s">
        <v>13262</v>
      </c>
      <c r="N3480" t="s">
        <v>14725</v>
      </c>
      <c r="O3480" t="s">
        <v>215</v>
      </c>
      <c r="P3480" t="s">
        <v>14077</v>
      </c>
      <c r="Q3480">
        <v>6.62</v>
      </c>
      <c r="R3480" t="s">
        <v>1000</v>
      </c>
      <c r="S3480">
        <v>1.51</v>
      </c>
      <c r="T3480">
        <v>3.85</v>
      </c>
      <c r="U3480" t="s">
        <v>1114</v>
      </c>
      <c r="V3480" t="s">
        <v>929</v>
      </c>
      <c r="W3480" t="s">
        <v>2291</v>
      </c>
      <c r="X3480">
        <v>-1.96</v>
      </c>
      <c r="Y3480" t="s">
        <v>586</v>
      </c>
      <c r="Z3480" t="s">
        <v>1192</v>
      </c>
      <c r="AA3480" t="s">
        <v>418</v>
      </c>
      <c r="AB3480">
        <v>2.3199999999999998</v>
      </c>
      <c r="AC3480" t="s">
        <v>2918</v>
      </c>
      <c r="AD3480">
        <v>35.270000000000003</v>
      </c>
      <c r="AE3480" t="s">
        <v>1313</v>
      </c>
      <c r="AF3480">
        <v>2.2200000000000002</v>
      </c>
      <c r="AG3480">
        <v>0</v>
      </c>
      <c r="AH3480">
        <v>0</v>
      </c>
      <c r="AI3480" s="4">
        <v>40120</v>
      </c>
    </row>
    <row r="3481" spans="1:35">
      <c r="A3481">
        <v>3480</v>
      </c>
      <c r="B3481" t="str">
        <f>"000612"</f>
        <v>000612</v>
      </c>
      <c r="C3481" t="s">
        <v>14726</v>
      </c>
      <c r="D3481" s="4">
        <v>43190</v>
      </c>
      <c r="E3481" t="s">
        <v>1033</v>
      </c>
      <c r="F3481" t="s">
        <v>1033</v>
      </c>
      <c r="G3481" t="s">
        <v>2597</v>
      </c>
      <c r="H3481">
        <v>-0.08</v>
      </c>
      <c r="I3481">
        <v>3.82</v>
      </c>
      <c r="J3481">
        <v>-1.96</v>
      </c>
      <c r="K3481" t="s">
        <v>1094</v>
      </c>
      <c r="L3481">
        <v>-2.85</v>
      </c>
      <c r="M3481" t="s">
        <v>14653</v>
      </c>
      <c r="N3481" t="s">
        <v>12991</v>
      </c>
      <c r="O3481" t="s">
        <v>14653</v>
      </c>
      <c r="P3481" t="s">
        <v>14727</v>
      </c>
      <c r="Q3481">
        <v>-392.9</v>
      </c>
      <c r="R3481" t="s">
        <v>624</v>
      </c>
      <c r="S3481">
        <v>1.1200000000000001</v>
      </c>
      <c r="T3481">
        <v>-11.41</v>
      </c>
      <c r="U3481" t="s">
        <v>2631</v>
      </c>
      <c r="V3481" t="s">
        <v>1082</v>
      </c>
      <c r="W3481" t="s">
        <v>2515</v>
      </c>
      <c r="X3481">
        <v>-1.96</v>
      </c>
      <c r="Y3481" t="s">
        <v>426</v>
      </c>
      <c r="Z3481" t="s">
        <v>1348</v>
      </c>
      <c r="AA3481" t="s">
        <v>977</v>
      </c>
      <c r="AB3481">
        <v>1.32</v>
      </c>
      <c r="AC3481" t="s">
        <v>1738</v>
      </c>
      <c r="AD3481">
        <v>62.81</v>
      </c>
      <c r="AE3481" t="s">
        <v>50</v>
      </c>
      <c r="AF3481">
        <v>1.35</v>
      </c>
      <c r="AG3481">
        <v>0</v>
      </c>
      <c r="AH3481">
        <v>0</v>
      </c>
      <c r="AI3481" s="4">
        <v>35334</v>
      </c>
    </row>
    <row r="3482" spans="1:35">
      <c r="A3482">
        <v>3481</v>
      </c>
      <c r="B3482" t="str">
        <f>"002018"</f>
        <v>002018</v>
      </c>
      <c r="C3482" t="s">
        <v>13336</v>
      </c>
      <c r="D3482" s="4">
        <v>43190</v>
      </c>
      <c r="E3482" t="s">
        <v>2291</v>
      </c>
      <c r="F3482" t="s">
        <v>2291</v>
      </c>
      <c r="G3482" t="s">
        <v>5183</v>
      </c>
      <c r="H3482">
        <v>-0.03</v>
      </c>
      <c r="I3482">
        <v>1.5</v>
      </c>
      <c r="J3482">
        <v>-1.97</v>
      </c>
      <c r="K3482" t="s">
        <v>5195</v>
      </c>
      <c r="L3482">
        <v>-84.12</v>
      </c>
      <c r="M3482" t="s">
        <v>14728</v>
      </c>
      <c r="N3482" t="s">
        <v>14729</v>
      </c>
      <c r="O3482" t="s">
        <v>14730</v>
      </c>
      <c r="P3482" t="s">
        <v>14731</v>
      </c>
      <c r="Q3482">
        <v>-159.41</v>
      </c>
      <c r="R3482" t="s">
        <v>392</v>
      </c>
      <c r="S3482">
        <v>0.43</v>
      </c>
      <c r="T3482">
        <v>7.88</v>
      </c>
      <c r="U3482" t="s">
        <v>3278</v>
      </c>
      <c r="V3482" t="s">
        <v>225</v>
      </c>
      <c r="W3482" t="s">
        <v>603</v>
      </c>
      <c r="X3482">
        <v>-1.97</v>
      </c>
      <c r="Y3482" t="s">
        <v>733</v>
      </c>
      <c r="Z3482" t="s">
        <v>1404</v>
      </c>
      <c r="AA3482" t="s">
        <v>3020</v>
      </c>
      <c r="AB3482">
        <v>1.01</v>
      </c>
      <c r="AC3482" t="s">
        <v>1263</v>
      </c>
      <c r="AD3482">
        <v>50.64</v>
      </c>
      <c r="AE3482" t="s">
        <v>1349</v>
      </c>
      <c r="AF3482">
        <v>0.05</v>
      </c>
      <c r="AG3482">
        <v>0</v>
      </c>
      <c r="AH3482">
        <v>0</v>
      </c>
      <c r="AI3482" s="4">
        <v>38181</v>
      </c>
    </row>
    <row r="3483" spans="1:35">
      <c r="A3483">
        <v>3482</v>
      </c>
      <c r="B3483" t="str">
        <f>"002486"</f>
        <v>002486</v>
      </c>
      <c r="C3483" t="s">
        <v>14732</v>
      </c>
      <c r="D3483" s="4">
        <v>43190</v>
      </c>
      <c r="E3483" t="s">
        <v>2486</v>
      </c>
      <c r="F3483" t="s">
        <v>2428</v>
      </c>
      <c r="G3483">
        <v>9105</v>
      </c>
      <c r="H3483">
        <v>-0.02</v>
      </c>
      <c r="I3483">
        <v>1.1299999999999999</v>
      </c>
      <c r="J3483">
        <v>-1.98</v>
      </c>
      <c r="K3483" t="s">
        <v>698</v>
      </c>
      <c r="L3483">
        <v>31.37</v>
      </c>
      <c r="M3483" t="s">
        <v>14564</v>
      </c>
      <c r="N3483" t="s">
        <v>10261</v>
      </c>
      <c r="O3483" t="s">
        <v>14450</v>
      </c>
      <c r="P3483" t="s">
        <v>13863</v>
      </c>
      <c r="Q3483">
        <v>27.45</v>
      </c>
      <c r="R3483" t="s">
        <v>5149</v>
      </c>
      <c r="S3483">
        <v>0.08</v>
      </c>
      <c r="T3483">
        <v>14.67</v>
      </c>
      <c r="U3483" t="s">
        <v>176</v>
      </c>
      <c r="V3483" t="s">
        <v>1204</v>
      </c>
      <c r="W3483" t="s">
        <v>90</v>
      </c>
      <c r="X3483">
        <v>-1.98</v>
      </c>
      <c r="Y3483" t="s">
        <v>335</v>
      </c>
      <c r="Z3483" t="s">
        <v>748</v>
      </c>
      <c r="AA3483" t="s">
        <v>134</v>
      </c>
      <c r="AB3483">
        <v>2.9</v>
      </c>
      <c r="AC3483" t="s">
        <v>2250</v>
      </c>
      <c r="AD3483">
        <v>67.86</v>
      </c>
      <c r="AE3483" t="s">
        <v>1441</v>
      </c>
      <c r="AF3483">
        <v>0</v>
      </c>
      <c r="AG3483">
        <v>0</v>
      </c>
      <c r="AH3483">
        <v>0</v>
      </c>
      <c r="AI3483" s="4">
        <v>40466</v>
      </c>
    </row>
    <row r="3484" spans="1:35">
      <c r="A3484">
        <v>3483</v>
      </c>
      <c r="B3484" t="str">
        <f>"600520"</f>
        <v>600520</v>
      </c>
      <c r="C3484" t="s">
        <v>14733</v>
      </c>
      <c r="D3484" s="4">
        <v>43190</v>
      </c>
      <c r="E3484" t="s">
        <v>505</v>
      </c>
      <c r="F3484" t="s">
        <v>505</v>
      </c>
      <c r="G3484">
        <v>7326</v>
      </c>
      <c r="H3484">
        <v>-0.05</v>
      </c>
      <c r="I3484">
        <v>2.7</v>
      </c>
      <c r="J3484">
        <v>-2</v>
      </c>
      <c r="K3484" t="s">
        <v>14734</v>
      </c>
      <c r="L3484">
        <v>-5.98</v>
      </c>
      <c r="M3484" t="s">
        <v>14735</v>
      </c>
      <c r="N3484">
        <v>0</v>
      </c>
      <c r="O3484" t="s">
        <v>14314</v>
      </c>
      <c r="P3484" t="s">
        <v>14736</v>
      </c>
      <c r="Q3484">
        <v>-406.4</v>
      </c>
      <c r="R3484" t="s">
        <v>14077</v>
      </c>
      <c r="S3484">
        <v>-0.77</v>
      </c>
      <c r="T3484">
        <v>15.41</v>
      </c>
      <c r="U3484" t="s">
        <v>4568</v>
      </c>
      <c r="V3484" t="s">
        <v>4794</v>
      </c>
      <c r="W3484" t="s">
        <v>1370</v>
      </c>
      <c r="X3484">
        <v>-2</v>
      </c>
      <c r="Y3484" t="s">
        <v>123</v>
      </c>
      <c r="Z3484" t="s">
        <v>914</v>
      </c>
      <c r="AA3484" t="s">
        <v>10748</v>
      </c>
      <c r="AB3484">
        <v>5.65</v>
      </c>
      <c r="AC3484" t="s">
        <v>1706</v>
      </c>
      <c r="AD3484">
        <v>46.23</v>
      </c>
      <c r="AE3484" t="s">
        <v>1682</v>
      </c>
      <c r="AF3484">
        <v>2.4</v>
      </c>
      <c r="AG3484">
        <v>0</v>
      </c>
      <c r="AH3484">
        <v>0</v>
      </c>
      <c r="AI3484" s="4">
        <v>37264</v>
      </c>
    </row>
    <row r="3485" spans="1:35">
      <c r="A3485">
        <v>3484</v>
      </c>
      <c r="B3485" t="str">
        <f>"600425"</f>
        <v>600425</v>
      </c>
      <c r="C3485" t="s">
        <v>14737</v>
      </c>
      <c r="D3485" s="4">
        <v>43190</v>
      </c>
      <c r="E3485" t="s">
        <v>176</v>
      </c>
      <c r="F3485" t="s">
        <v>176</v>
      </c>
      <c r="G3485" t="s">
        <v>53</v>
      </c>
      <c r="H3485">
        <v>-0.06</v>
      </c>
      <c r="I3485">
        <v>2.83</v>
      </c>
      <c r="J3485">
        <v>-2.0099999999999998</v>
      </c>
      <c r="K3485" t="s">
        <v>3181</v>
      </c>
      <c r="L3485">
        <v>-19.09</v>
      </c>
      <c r="M3485" t="s">
        <v>13262</v>
      </c>
      <c r="N3485" t="s">
        <v>14738</v>
      </c>
      <c r="O3485" t="s">
        <v>14739</v>
      </c>
      <c r="P3485" t="s">
        <v>14740</v>
      </c>
      <c r="Q3485">
        <v>47.56</v>
      </c>
      <c r="R3485" t="s">
        <v>14741</v>
      </c>
      <c r="S3485">
        <v>-0.54</v>
      </c>
      <c r="T3485">
        <v>1.1100000000000001</v>
      </c>
      <c r="U3485" t="s">
        <v>9103</v>
      </c>
      <c r="V3485" t="s">
        <v>1244</v>
      </c>
      <c r="W3485" t="s">
        <v>1735</v>
      </c>
      <c r="X3485">
        <v>-2.0099999999999998</v>
      </c>
      <c r="Y3485" t="s">
        <v>4286</v>
      </c>
      <c r="Z3485" t="s">
        <v>371</v>
      </c>
      <c r="AA3485" t="s">
        <v>1687</v>
      </c>
      <c r="AB3485">
        <v>1.02</v>
      </c>
      <c r="AC3485" t="s">
        <v>3122</v>
      </c>
      <c r="AD3485">
        <v>42.15</v>
      </c>
      <c r="AE3485" t="s">
        <v>1285</v>
      </c>
      <c r="AF3485">
        <v>2.27</v>
      </c>
      <c r="AG3485">
        <v>0</v>
      </c>
      <c r="AH3485">
        <v>0</v>
      </c>
      <c r="AI3485" s="4">
        <v>37826</v>
      </c>
    </row>
    <row r="3486" spans="1:35">
      <c r="A3486">
        <v>3485</v>
      </c>
      <c r="B3486" t="str">
        <f>"002268"</f>
        <v>002268</v>
      </c>
      <c r="C3486" t="s">
        <v>14742</v>
      </c>
      <c r="D3486" s="4">
        <v>43190</v>
      </c>
      <c r="E3486" t="s">
        <v>1047</v>
      </c>
      <c r="F3486" t="s">
        <v>767</v>
      </c>
      <c r="G3486" t="s">
        <v>6944</v>
      </c>
      <c r="H3486">
        <v>-0.1</v>
      </c>
      <c r="I3486">
        <v>5.0199999999999996</v>
      </c>
      <c r="J3486">
        <v>-2.0099999999999998</v>
      </c>
      <c r="K3486" t="s">
        <v>1016</v>
      </c>
      <c r="L3486">
        <v>21.1</v>
      </c>
      <c r="M3486" t="s">
        <v>14739</v>
      </c>
      <c r="N3486" t="s">
        <v>14743</v>
      </c>
      <c r="O3486" t="s">
        <v>13148</v>
      </c>
      <c r="P3486" t="s">
        <v>14744</v>
      </c>
      <c r="Q3486">
        <v>15.96</v>
      </c>
      <c r="R3486" t="s">
        <v>3741</v>
      </c>
      <c r="S3486">
        <v>0.91</v>
      </c>
      <c r="T3486">
        <v>34.770000000000003</v>
      </c>
      <c r="U3486" t="s">
        <v>3645</v>
      </c>
      <c r="V3486" t="s">
        <v>2541</v>
      </c>
      <c r="W3486" t="s">
        <v>492</v>
      </c>
      <c r="X3486">
        <v>-2.0099999999999998</v>
      </c>
      <c r="Y3486" t="s">
        <v>354</v>
      </c>
      <c r="Z3486" t="s">
        <v>699</v>
      </c>
      <c r="AA3486" t="s">
        <v>2772</v>
      </c>
      <c r="AB3486">
        <v>4.42</v>
      </c>
      <c r="AC3486" t="s">
        <v>737</v>
      </c>
      <c r="AD3486">
        <v>77.319999999999993</v>
      </c>
      <c r="AE3486" t="s">
        <v>402</v>
      </c>
      <c r="AF3486">
        <v>3.05</v>
      </c>
      <c r="AG3486">
        <v>0</v>
      </c>
      <c r="AH3486">
        <v>0</v>
      </c>
      <c r="AI3486" s="4">
        <v>39671</v>
      </c>
    </row>
    <row r="3487" spans="1:35">
      <c r="A3487">
        <v>3486</v>
      </c>
      <c r="B3487" t="str">
        <f>"000667"</f>
        <v>000667</v>
      </c>
      <c r="C3487" t="s">
        <v>14745</v>
      </c>
      <c r="D3487" s="4">
        <v>43190</v>
      </c>
      <c r="E3487" t="s">
        <v>402</v>
      </c>
      <c r="F3487" t="s">
        <v>2542</v>
      </c>
      <c r="G3487" t="s">
        <v>2305</v>
      </c>
      <c r="H3487">
        <v>-0.05</v>
      </c>
      <c r="I3487">
        <v>2.71</v>
      </c>
      <c r="J3487">
        <v>-2.0099999999999998</v>
      </c>
      <c r="K3487" t="s">
        <v>2123</v>
      </c>
      <c r="L3487">
        <v>-61.63</v>
      </c>
      <c r="M3487" t="s">
        <v>13671</v>
      </c>
      <c r="N3487" t="s">
        <v>12062</v>
      </c>
      <c r="O3487" t="s">
        <v>4767</v>
      </c>
      <c r="P3487" t="s">
        <v>11018</v>
      </c>
      <c r="Q3487">
        <v>-268.49</v>
      </c>
      <c r="R3487" t="s">
        <v>512</v>
      </c>
      <c r="S3487">
        <v>1.01</v>
      </c>
      <c r="T3487">
        <v>10.8</v>
      </c>
      <c r="U3487" t="s">
        <v>3952</v>
      </c>
      <c r="V3487" t="s">
        <v>928</v>
      </c>
      <c r="W3487" t="s">
        <v>325</v>
      </c>
      <c r="X3487">
        <v>-2.0099999999999998</v>
      </c>
      <c r="Y3487" t="s">
        <v>932</v>
      </c>
      <c r="Z3487" t="s">
        <v>1254</v>
      </c>
      <c r="AA3487" t="s">
        <v>774</v>
      </c>
      <c r="AB3487">
        <v>0.79</v>
      </c>
      <c r="AC3487" t="s">
        <v>5279</v>
      </c>
      <c r="AD3487">
        <v>34.81</v>
      </c>
      <c r="AE3487" t="s">
        <v>833</v>
      </c>
      <c r="AF3487">
        <v>0.6</v>
      </c>
      <c r="AG3487">
        <v>0</v>
      </c>
      <c r="AH3487">
        <v>0</v>
      </c>
      <c r="AI3487" s="4">
        <v>35404</v>
      </c>
    </row>
    <row r="3488" spans="1:35">
      <c r="A3488">
        <v>3487</v>
      </c>
      <c r="B3488" t="str">
        <f>"000007"</f>
        <v>000007</v>
      </c>
      <c r="C3488" t="s">
        <v>14746</v>
      </c>
      <c r="D3488" s="4">
        <v>43190</v>
      </c>
      <c r="E3488" t="s">
        <v>1789</v>
      </c>
      <c r="F3488" t="s">
        <v>3441</v>
      </c>
      <c r="G3488" t="s">
        <v>4386</v>
      </c>
      <c r="H3488">
        <v>-0.02</v>
      </c>
      <c r="I3488">
        <v>1.0900000000000001</v>
      </c>
      <c r="J3488">
        <v>-2.02</v>
      </c>
      <c r="K3488" t="s">
        <v>8364</v>
      </c>
      <c r="L3488">
        <v>-8.15</v>
      </c>
      <c r="M3488" t="s">
        <v>14747</v>
      </c>
      <c r="N3488" t="s">
        <v>14748</v>
      </c>
      <c r="O3488" t="s">
        <v>14749</v>
      </c>
      <c r="P3488" t="s">
        <v>14750</v>
      </c>
      <c r="Q3488">
        <v>-2893.45</v>
      </c>
      <c r="R3488" t="s">
        <v>14751</v>
      </c>
      <c r="S3488">
        <v>-0.38</v>
      </c>
      <c r="T3488">
        <v>79.16</v>
      </c>
      <c r="U3488" t="s">
        <v>1706</v>
      </c>
      <c r="V3488" t="s">
        <v>1202</v>
      </c>
      <c r="W3488" t="s">
        <v>14752</v>
      </c>
      <c r="X3488">
        <v>-2.02</v>
      </c>
      <c r="Y3488" t="s">
        <v>5079</v>
      </c>
      <c r="Z3488" t="s">
        <v>11903</v>
      </c>
      <c r="AA3488" t="s">
        <v>4484</v>
      </c>
      <c r="AB3488">
        <v>12.48</v>
      </c>
      <c r="AC3488" t="s">
        <v>2665</v>
      </c>
      <c r="AD3488">
        <v>88.29</v>
      </c>
      <c r="AE3488" t="s">
        <v>382</v>
      </c>
      <c r="AF3488">
        <v>0.45</v>
      </c>
      <c r="AG3488">
        <v>0</v>
      </c>
      <c r="AH3488">
        <v>0</v>
      </c>
      <c r="AI3488" s="4">
        <v>33707</v>
      </c>
    </row>
    <row r="3489" spans="1:35">
      <c r="A3489">
        <v>3488</v>
      </c>
      <c r="B3489" t="str">
        <f>"002564"</f>
        <v>002564</v>
      </c>
      <c r="C3489" t="s">
        <v>14753</v>
      </c>
      <c r="D3489" s="4">
        <v>43190</v>
      </c>
      <c r="E3489" t="s">
        <v>1780</v>
      </c>
      <c r="F3489" t="s">
        <v>1618</v>
      </c>
      <c r="G3489" t="s">
        <v>70</v>
      </c>
      <c r="H3489">
        <v>-0.06</v>
      </c>
      <c r="I3489">
        <v>4.17</v>
      </c>
      <c r="J3489">
        <v>-2.04</v>
      </c>
      <c r="K3489" t="s">
        <v>1033</v>
      </c>
      <c r="L3489">
        <v>-60.61</v>
      </c>
      <c r="M3489" t="s">
        <v>14754</v>
      </c>
      <c r="N3489" t="s">
        <v>14755</v>
      </c>
      <c r="O3489" t="s">
        <v>14756</v>
      </c>
      <c r="P3489" t="s">
        <v>14757</v>
      </c>
      <c r="Q3489">
        <v>-269.45</v>
      </c>
      <c r="R3489" t="s">
        <v>1794</v>
      </c>
      <c r="S3489">
        <v>0.47</v>
      </c>
      <c r="T3489">
        <v>13.34</v>
      </c>
      <c r="U3489" t="s">
        <v>1100</v>
      </c>
      <c r="V3489" t="s">
        <v>2271</v>
      </c>
      <c r="W3489" t="s">
        <v>1678</v>
      </c>
      <c r="X3489">
        <v>-2.04</v>
      </c>
      <c r="Y3489" t="s">
        <v>838</v>
      </c>
      <c r="Z3489" t="s">
        <v>587</v>
      </c>
      <c r="AA3489" t="s">
        <v>511</v>
      </c>
      <c r="AB3489">
        <v>1.55</v>
      </c>
      <c r="AC3489" t="s">
        <v>1308</v>
      </c>
      <c r="AD3489">
        <v>11.65</v>
      </c>
      <c r="AE3489" t="s">
        <v>173</v>
      </c>
      <c r="AF3489">
        <v>2.6</v>
      </c>
      <c r="AG3489">
        <v>0</v>
      </c>
      <c r="AH3489">
        <v>0</v>
      </c>
      <c r="AI3489" s="4">
        <v>40612</v>
      </c>
    </row>
    <row r="3490" spans="1:35">
      <c r="A3490">
        <v>3489</v>
      </c>
      <c r="B3490" t="str">
        <f>"600593"</f>
        <v>600593</v>
      </c>
      <c r="C3490" t="s">
        <v>14758</v>
      </c>
      <c r="D3490" s="4">
        <v>43190</v>
      </c>
      <c r="E3490" t="s">
        <v>1038</v>
      </c>
      <c r="F3490" t="s">
        <v>1038</v>
      </c>
      <c r="G3490" t="s">
        <v>4389</v>
      </c>
      <c r="H3490">
        <v>-7.0000000000000007E-2</v>
      </c>
      <c r="I3490">
        <v>3.34</v>
      </c>
      <c r="J3490">
        <v>-2.0499999999999998</v>
      </c>
      <c r="K3490" t="s">
        <v>3222</v>
      </c>
      <c r="L3490">
        <v>-6.01</v>
      </c>
      <c r="M3490" t="s">
        <v>14759</v>
      </c>
      <c r="N3490">
        <v>0</v>
      </c>
      <c r="O3490" t="s">
        <v>14137</v>
      </c>
      <c r="P3490" t="s">
        <v>14137</v>
      </c>
      <c r="Q3490">
        <v>6.61</v>
      </c>
      <c r="R3490" t="s">
        <v>443</v>
      </c>
      <c r="S3490">
        <v>0.86</v>
      </c>
      <c r="T3490">
        <v>32.79</v>
      </c>
      <c r="U3490" t="s">
        <v>548</v>
      </c>
      <c r="V3490" t="s">
        <v>138</v>
      </c>
      <c r="W3490" t="s">
        <v>1860</v>
      </c>
      <c r="X3490">
        <v>-2.0499999999999998</v>
      </c>
      <c r="Y3490" t="s">
        <v>2445</v>
      </c>
      <c r="Z3490" t="s">
        <v>2178</v>
      </c>
      <c r="AA3490" t="s">
        <v>7173</v>
      </c>
      <c r="AB3490">
        <v>6.43</v>
      </c>
      <c r="AC3490" t="s">
        <v>914</v>
      </c>
      <c r="AD3490">
        <v>34.68</v>
      </c>
      <c r="AE3490" t="s">
        <v>148</v>
      </c>
      <c r="AF3490">
        <v>1.25</v>
      </c>
      <c r="AG3490">
        <v>0</v>
      </c>
      <c r="AH3490">
        <v>0</v>
      </c>
      <c r="AI3490" s="4">
        <v>37448</v>
      </c>
    </row>
    <row r="3491" spans="1:35">
      <c r="A3491">
        <v>3490</v>
      </c>
      <c r="B3491" t="str">
        <f>"002112"</f>
        <v>002112</v>
      </c>
      <c r="C3491" t="s">
        <v>14760</v>
      </c>
      <c r="D3491" s="4">
        <v>43190</v>
      </c>
      <c r="E3491" t="s">
        <v>1853</v>
      </c>
      <c r="F3491" t="s">
        <v>1077</v>
      </c>
      <c r="G3491">
        <v>9575</v>
      </c>
      <c r="H3491">
        <v>-0.04</v>
      </c>
      <c r="I3491">
        <v>1.84</v>
      </c>
      <c r="J3491">
        <v>-2.0499999999999998</v>
      </c>
      <c r="K3491" t="s">
        <v>1475</v>
      </c>
      <c r="L3491">
        <v>20.23</v>
      </c>
      <c r="M3491" t="s">
        <v>14761</v>
      </c>
      <c r="N3491">
        <v>0</v>
      </c>
      <c r="O3491" t="s">
        <v>14761</v>
      </c>
      <c r="P3491" t="s">
        <v>14761</v>
      </c>
      <c r="Q3491">
        <v>39.92</v>
      </c>
      <c r="R3491" t="s">
        <v>11650</v>
      </c>
      <c r="S3491">
        <v>0.24</v>
      </c>
      <c r="T3491">
        <v>18.190000000000001</v>
      </c>
      <c r="U3491" t="s">
        <v>192</v>
      </c>
      <c r="V3491" t="s">
        <v>1978</v>
      </c>
      <c r="W3491" t="s">
        <v>148</v>
      </c>
      <c r="X3491">
        <v>-2.0499999999999998</v>
      </c>
      <c r="Y3491" t="s">
        <v>2380</v>
      </c>
      <c r="Z3491" t="s">
        <v>2646</v>
      </c>
      <c r="AA3491" t="s">
        <v>6130</v>
      </c>
      <c r="AB3491">
        <v>3.37</v>
      </c>
      <c r="AC3491" t="s">
        <v>1968</v>
      </c>
      <c r="AD3491">
        <v>31.73</v>
      </c>
      <c r="AE3491" t="s">
        <v>14762</v>
      </c>
      <c r="AF3491">
        <v>0.42</v>
      </c>
      <c r="AG3491">
        <v>0</v>
      </c>
      <c r="AH3491">
        <v>0</v>
      </c>
      <c r="AI3491" s="4">
        <v>39121</v>
      </c>
    </row>
    <row r="3492" spans="1:35">
      <c r="A3492">
        <v>3491</v>
      </c>
      <c r="B3492" t="str">
        <f>"603000"</f>
        <v>603000</v>
      </c>
      <c r="C3492" t="s">
        <v>14763</v>
      </c>
      <c r="D3492" s="4">
        <v>43190</v>
      </c>
      <c r="E3492" t="s">
        <v>323</v>
      </c>
      <c r="F3492" t="s">
        <v>323</v>
      </c>
      <c r="G3492" t="s">
        <v>3438</v>
      </c>
      <c r="H3492">
        <v>-0.05</v>
      </c>
      <c r="I3492">
        <v>2.46</v>
      </c>
      <c r="J3492">
        <v>-2.1</v>
      </c>
      <c r="K3492" t="s">
        <v>122</v>
      </c>
      <c r="L3492">
        <v>-1.04</v>
      </c>
      <c r="M3492" t="s">
        <v>14764</v>
      </c>
      <c r="N3492" t="s">
        <v>990</v>
      </c>
      <c r="O3492" t="s">
        <v>14765</v>
      </c>
      <c r="P3492" t="s">
        <v>14766</v>
      </c>
      <c r="Q3492">
        <v>-28.1</v>
      </c>
      <c r="R3492" t="s">
        <v>2853</v>
      </c>
      <c r="S3492">
        <v>0.63</v>
      </c>
      <c r="T3492">
        <v>24.75</v>
      </c>
      <c r="U3492" t="s">
        <v>2498</v>
      </c>
      <c r="V3492" t="s">
        <v>352</v>
      </c>
      <c r="W3492" t="s">
        <v>86</v>
      </c>
      <c r="X3492">
        <v>-2.1</v>
      </c>
      <c r="Y3492" t="s">
        <v>1276</v>
      </c>
      <c r="Z3492" t="s">
        <v>2517</v>
      </c>
      <c r="AA3492" t="s">
        <v>9501</v>
      </c>
      <c r="AB3492">
        <v>3.51</v>
      </c>
      <c r="AC3492" t="s">
        <v>1675</v>
      </c>
      <c r="AD3492">
        <v>77.040000000000006</v>
      </c>
      <c r="AE3492" t="s">
        <v>566</v>
      </c>
      <c r="AF3492">
        <v>0.67</v>
      </c>
      <c r="AG3492">
        <v>0</v>
      </c>
      <c r="AH3492">
        <v>0</v>
      </c>
      <c r="AI3492" s="4">
        <v>41026</v>
      </c>
    </row>
    <row r="3493" spans="1:35">
      <c r="A3493">
        <v>3492</v>
      </c>
      <c r="B3493" t="str">
        <f>"300659"</f>
        <v>300659</v>
      </c>
      <c r="C3493" t="s">
        <v>14767</v>
      </c>
      <c r="D3493" s="4">
        <v>43190</v>
      </c>
      <c r="E3493" t="s">
        <v>2306</v>
      </c>
      <c r="F3493" t="s">
        <v>7580</v>
      </c>
      <c r="G3493">
        <v>1665</v>
      </c>
      <c r="H3493">
        <v>-0.06</v>
      </c>
      <c r="I3493">
        <v>2.88</v>
      </c>
      <c r="J3493">
        <v>-2.11</v>
      </c>
      <c r="K3493" t="s">
        <v>11829</v>
      </c>
      <c r="L3493">
        <v>16.61</v>
      </c>
      <c r="M3493" t="s">
        <v>14768</v>
      </c>
      <c r="N3493" t="s">
        <v>10354</v>
      </c>
      <c r="O3493" t="s">
        <v>14769</v>
      </c>
      <c r="P3493" t="s">
        <v>1451</v>
      </c>
      <c r="Q3493">
        <v>-564.82000000000005</v>
      </c>
      <c r="R3493" t="s">
        <v>14770</v>
      </c>
      <c r="S3493">
        <v>0.35</v>
      </c>
      <c r="T3493">
        <v>66.89</v>
      </c>
      <c r="U3493" t="s">
        <v>1483</v>
      </c>
      <c r="V3493" t="s">
        <v>4756</v>
      </c>
      <c r="W3493" t="s">
        <v>7127</v>
      </c>
      <c r="X3493">
        <v>-2.11</v>
      </c>
      <c r="Y3493" t="s">
        <v>2934</v>
      </c>
      <c r="Z3493" t="s">
        <v>10058</v>
      </c>
      <c r="AA3493" t="s">
        <v>7598</v>
      </c>
      <c r="AB3493">
        <v>7.38</v>
      </c>
      <c r="AC3493" t="s">
        <v>498</v>
      </c>
      <c r="AD3493">
        <v>81.599999999999994</v>
      </c>
      <c r="AE3493" t="s">
        <v>1905</v>
      </c>
      <c r="AF3493">
        <v>1.52</v>
      </c>
      <c r="AG3493">
        <v>0</v>
      </c>
      <c r="AH3493">
        <v>0</v>
      </c>
      <c r="AI3493" s="4">
        <v>42881</v>
      </c>
    </row>
    <row r="3494" spans="1:35">
      <c r="A3494">
        <v>3493</v>
      </c>
      <c r="B3494" t="str">
        <f>"002234"</f>
        <v>002234</v>
      </c>
      <c r="C3494" t="s">
        <v>14771</v>
      </c>
      <c r="D3494" s="4">
        <v>43190</v>
      </c>
      <c r="E3494" t="s">
        <v>1206</v>
      </c>
      <c r="F3494" t="s">
        <v>1970</v>
      </c>
      <c r="G3494">
        <v>6785</v>
      </c>
      <c r="H3494">
        <v>-0.05</v>
      </c>
      <c r="I3494">
        <v>2.4</v>
      </c>
      <c r="J3494">
        <v>-2.14</v>
      </c>
      <c r="K3494" t="s">
        <v>205</v>
      </c>
      <c r="L3494">
        <v>33.130000000000003</v>
      </c>
      <c r="M3494" t="s">
        <v>14772</v>
      </c>
      <c r="N3494" t="s">
        <v>14773</v>
      </c>
      <c r="O3494" t="s">
        <v>14774</v>
      </c>
      <c r="P3494" t="s">
        <v>14775</v>
      </c>
      <c r="Q3494">
        <v>79.39</v>
      </c>
      <c r="R3494" t="s">
        <v>14776</v>
      </c>
      <c r="S3494">
        <v>-1.85</v>
      </c>
      <c r="T3494">
        <v>11.9</v>
      </c>
      <c r="U3494" t="s">
        <v>316</v>
      </c>
      <c r="V3494" t="s">
        <v>1168</v>
      </c>
      <c r="W3494" t="s">
        <v>300</v>
      </c>
      <c r="X3494">
        <v>-2.14</v>
      </c>
      <c r="Y3494" t="s">
        <v>848</v>
      </c>
      <c r="Z3494" t="s">
        <v>924</v>
      </c>
      <c r="AA3494" t="s">
        <v>470</v>
      </c>
      <c r="AB3494">
        <v>5.2</v>
      </c>
      <c r="AC3494" t="s">
        <v>201</v>
      </c>
      <c r="AD3494">
        <v>31.55</v>
      </c>
      <c r="AE3494" t="s">
        <v>1341</v>
      </c>
      <c r="AF3494">
        <v>2.85</v>
      </c>
      <c r="AG3494">
        <v>0</v>
      </c>
      <c r="AH3494">
        <v>0</v>
      </c>
      <c r="AI3494" s="4">
        <v>39584</v>
      </c>
    </row>
    <row r="3495" spans="1:35">
      <c r="A3495">
        <v>3494</v>
      </c>
      <c r="B3495" t="str">
        <f>"300156"</f>
        <v>300156</v>
      </c>
      <c r="C3495" t="s">
        <v>14777</v>
      </c>
      <c r="D3495" s="4">
        <v>43190</v>
      </c>
      <c r="E3495" t="s">
        <v>1094</v>
      </c>
      <c r="F3495" t="s">
        <v>3859</v>
      </c>
      <c r="G3495">
        <v>9670</v>
      </c>
      <c r="H3495">
        <v>-0.06</v>
      </c>
      <c r="I3495">
        <v>2.69</v>
      </c>
      <c r="J3495">
        <v>-2.15</v>
      </c>
      <c r="K3495" t="s">
        <v>4356</v>
      </c>
      <c r="L3495">
        <v>-90.06</v>
      </c>
      <c r="M3495" t="s">
        <v>14778</v>
      </c>
      <c r="N3495">
        <v>0</v>
      </c>
      <c r="O3495" t="s">
        <v>14779</v>
      </c>
      <c r="P3495" t="s">
        <v>14780</v>
      </c>
      <c r="Q3495">
        <v>-158.15</v>
      </c>
      <c r="R3495" t="s">
        <v>926</v>
      </c>
      <c r="S3495">
        <v>1.26</v>
      </c>
      <c r="T3495">
        <v>34.39</v>
      </c>
      <c r="U3495" t="s">
        <v>2237</v>
      </c>
      <c r="V3495" t="s">
        <v>2534</v>
      </c>
      <c r="W3495" t="s">
        <v>84</v>
      </c>
      <c r="X3495">
        <v>-2.15</v>
      </c>
      <c r="Y3495" t="s">
        <v>408</v>
      </c>
      <c r="Z3495" t="s">
        <v>4697</v>
      </c>
      <c r="AA3495" t="s">
        <v>2930</v>
      </c>
      <c r="AB3495">
        <v>2.56</v>
      </c>
      <c r="AC3495" t="s">
        <v>1675</v>
      </c>
      <c r="AD3495">
        <v>39.090000000000003</v>
      </c>
      <c r="AE3495" t="s">
        <v>1712</v>
      </c>
      <c r="AF3495">
        <v>0.35</v>
      </c>
      <c r="AG3495">
        <v>0</v>
      </c>
      <c r="AH3495">
        <v>0</v>
      </c>
      <c r="AI3495" s="4">
        <v>40550</v>
      </c>
    </row>
    <row r="3496" spans="1:35">
      <c r="A3496">
        <v>3495</v>
      </c>
      <c r="B3496" t="str">
        <f>"002423"</f>
        <v>002423</v>
      </c>
      <c r="C3496" t="s">
        <v>14781</v>
      </c>
      <c r="D3496" s="4">
        <v>43190</v>
      </c>
      <c r="E3496" t="s">
        <v>442</v>
      </c>
      <c r="F3496" t="s">
        <v>442</v>
      </c>
      <c r="G3496" t="s">
        <v>5898</v>
      </c>
      <c r="H3496">
        <v>-7.0000000000000007E-2</v>
      </c>
      <c r="I3496">
        <v>3.06</v>
      </c>
      <c r="J3496">
        <v>-2.15</v>
      </c>
      <c r="K3496" t="s">
        <v>1839</v>
      </c>
      <c r="L3496">
        <v>-6.27</v>
      </c>
      <c r="M3496" t="s">
        <v>14782</v>
      </c>
      <c r="N3496" t="s">
        <v>14783</v>
      </c>
      <c r="O3496" t="s">
        <v>14784</v>
      </c>
      <c r="P3496" t="s">
        <v>14784</v>
      </c>
      <c r="Q3496">
        <v>13.09</v>
      </c>
      <c r="R3496" t="s">
        <v>14785</v>
      </c>
      <c r="S3496">
        <v>-0.15</v>
      </c>
      <c r="T3496">
        <v>2.44</v>
      </c>
      <c r="U3496" t="s">
        <v>1174</v>
      </c>
      <c r="V3496" t="s">
        <v>1082</v>
      </c>
      <c r="W3496" t="s">
        <v>1284</v>
      </c>
      <c r="X3496">
        <v>-2.15</v>
      </c>
      <c r="Y3496" t="s">
        <v>419</v>
      </c>
      <c r="Z3496" t="s">
        <v>1244</v>
      </c>
      <c r="AA3496" t="s">
        <v>89</v>
      </c>
      <c r="AB3496">
        <v>4.1399999999999997</v>
      </c>
      <c r="AC3496" t="s">
        <v>833</v>
      </c>
      <c r="AD3496">
        <v>44.04</v>
      </c>
      <c r="AE3496" t="s">
        <v>295</v>
      </c>
      <c r="AF3496">
        <v>2.12</v>
      </c>
      <c r="AG3496">
        <v>0</v>
      </c>
      <c r="AH3496">
        <v>0</v>
      </c>
      <c r="AI3496" s="4">
        <v>40332</v>
      </c>
    </row>
    <row r="3497" spans="1:35">
      <c r="A3497">
        <v>3496</v>
      </c>
      <c r="B3497" t="str">
        <f>"600281"</f>
        <v>600281</v>
      </c>
      <c r="C3497" t="s">
        <v>14786</v>
      </c>
      <c r="D3497" s="4">
        <v>43190</v>
      </c>
      <c r="E3497" t="s">
        <v>97</v>
      </c>
      <c r="F3497" t="s">
        <v>97</v>
      </c>
      <c r="G3497" t="s">
        <v>224</v>
      </c>
      <c r="H3497">
        <v>-0.02</v>
      </c>
      <c r="I3497">
        <v>1.06</v>
      </c>
      <c r="J3497">
        <v>-2.17</v>
      </c>
      <c r="K3497" t="s">
        <v>711</v>
      </c>
      <c r="L3497">
        <v>9</v>
      </c>
      <c r="M3497" t="s">
        <v>14787</v>
      </c>
      <c r="N3497">
        <v>0</v>
      </c>
      <c r="O3497" t="s">
        <v>14788</v>
      </c>
      <c r="P3497" t="s">
        <v>14789</v>
      </c>
      <c r="Q3497">
        <v>9.65</v>
      </c>
      <c r="R3497" t="s">
        <v>14790</v>
      </c>
      <c r="S3497">
        <v>-1.18</v>
      </c>
      <c r="T3497">
        <v>3.59</v>
      </c>
      <c r="U3497" t="s">
        <v>298</v>
      </c>
      <c r="V3497" t="s">
        <v>2380</v>
      </c>
      <c r="W3497" t="s">
        <v>7527</v>
      </c>
      <c r="X3497">
        <v>-2.17</v>
      </c>
      <c r="Y3497" t="s">
        <v>602</v>
      </c>
      <c r="Z3497" t="s">
        <v>6545</v>
      </c>
      <c r="AA3497" t="s">
        <v>975</v>
      </c>
      <c r="AB3497">
        <v>3.2</v>
      </c>
      <c r="AC3497" t="s">
        <v>592</v>
      </c>
      <c r="AD3497">
        <v>32.89</v>
      </c>
      <c r="AE3497" t="s">
        <v>92</v>
      </c>
      <c r="AF3497">
        <v>1.1200000000000001</v>
      </c>
      <c r="AG3497">
        <v>0</v>
      </c>
      <c r="AH3497">
        <v>0</v>
      </c>
      <c r="AI3497" s="4">
        <v>36839</v>
      </c>
    </row>
    <row r="3498" spans="1:35">
      <c r="A3498">
        <v>3497</v>
      </c>
      <c r="B3498" t="str">
        <f>"300552"</f>
        <v>300552</v>
      </c>
      <c r="C3498" t="s">
        <v>14791</v>
      </c>
      <c r="D3498" s="4">
        <v>43190</v>
      </c>
      <c r="E3498" t="s">
        <v>71</v>
      </c>
      <c r="F3498" t="s">
        <v>14792</v>
      </c>
      <c r="G3498">
        <v>2330</v>
      </c>
      <c r="H3498">
        <v>-0.15</v>
      </c>
      <c r="I3498">
        <v>6.79</v>
      </c>
      <c r="J3498">
        <v>-2.17</v>
      </c>
      <c r="K3498" t="s">
        <v>14793</v>
      </c>
      <c r="L3498">
        <v>12.56</v>
      </c>
      <c r="M3498" t="s">
        <v>14794</v>
      </c>
      <c r="N3498" t="s">
        <v>14795</v>
      </c>
      <c r="O3498" t="s">
        <v>14796</v>
      </c>
      <c r="P3498" t="s">
        <v>13760</v>
      </c>
      <c r="Q3498">
        <v>-3702.86</v>
      </c>
      <c r="R3498" t="s">
        <v>998</v>
      </c>
      <c r="S3498">
        <v>2.27</v>
      </c>
      <c r="T3498">
        <v>35.39</v>
      </c>
      <c r="U3498" t="s">
        <v>407</v>
      </c>
      <c r="V3498" t="s">
        <v>2428</v>
      </c>
      <c r="W3498" t="s">
        <v>1626</v>
      </c>
      <c r="X3498">
        <v>-2.17</v>
      </c>
      <c r="Y3498" t="s">
        <v>145</v>
      </c>
      <c r="Z3498" t="s">
        <v>120</v>
      </c>
      <c r="AA3498" t="s">
        <v>11635</v>
      </c>
      <c r="AB3498">
        <v>3.85</v>
      </c>
      <c r="AC3498" t="s">
        <v>2646</v>
      </c>
      <c r="AD3498">
        <v>70.959999999999994</v>
      </c>
      <c r="AE3498" t="s">
        <v>1324</v>
      </c>
      <c r="AF3498">
        <v>3.42</v>
      </c>
      <c r="AG3498">
        <v>0</v>
      </c>
      <c r="AH3498">
        <v>0</v>
      </c>
      <c r="AI3498" s="4">
        <v>42664</v>
      </c>
    </row>
    <row r="3499" spans="1:35">
      <c r="A3499">
        <v>3498</v>
      </c>
      <c r="B3499" t="str">
        <f>"300402"</f>
        <v>300402</v>
      </c>
      <c r="C3499" t="s">
        <v>14797</v>
      </c>
      <c r="D3499" s="4">
        <v>43190</v>
      </c>
      <c r="E3499" t="s">
        <v>1853</v>
      </c>
      <c r="F3499" t="s">
        <v>7828</v>
      </c>
      <c r="G3499">
        <v>5528</v>
      </c>
      <c r="H3499">
        <v>-0.06</v>
      </c>
      <c r="I3499">
        <v>2.93</v>
      </c>
      <c r="J3499">
        <v>-2.1800000000000002</v>
      </c>
      <c r="K3499" t="s">
        <v>3009</v>
      </c>
      <c r="L3499">
        <v>-65.45</v>
      </c>
      <c r="M3499" t="s">
        <v>14798</v>
      </c>
      <c r="N3499">
        <v>0</v>
      </c>
      <c r="O3499" t="s">
        <v>14799</v>
      </c>
      <c r="P3499" t="s">
        <v>14800</v>
      </c>
      <c r="Q3499">
        <v>-31.48</v>
      </c>
      <c r="R3499" t="s">
        <v>45</v>
      </c>
      <c r="S3499">
        <v>0.66</v>
      </c>
      <c r="T3499">
        <v>6.01</v>
      </c>
      <c r="U3499" t="s">
        <v>141</v>
      </c>
      <c r="V3499" t="s">
        <v>960</v>
      </c>
      <c r="W3499" t="s">
        <v>375</v>
      </c>
      <c r="X3499">
        <v>-2.1800000000000002</v>
      </c>
      <c r="Y3499" t="s">
        <v>3546</v>
      </c>
      <c r="Z3499" t="s">
        <v>649</v>
      </c>
      <c r="AA3499" t="s">
        <v>1737</v>
      </c>
      <c r="AB3499">
        <v>2.96</v>
      </c>
      <c r="AC3499" t="s">
        <v>456</v>
      </c>
      <c r="AD3499">
        <v>40.130000000000003</v>
      </c>
      <c r="AE3499" t="s">
        <v>509</v>
      </c>
      <c r="AF3499">
        <v>1.1100000000000001</v>
      </c>
      <c r="AG3499">
        <v>0</v>
      </c>
      <c r="AH3499">
        <v>0</v>
      </c>
      <c r="AI3499" s="4">
        <v>41922</v>
      </c>
    </row>
    <row r="3500" spans="1:35">
      <c r="A3500">
        <v>3499</v>
      </c>
      <c r="B3500" t="str">
        <f>"601218"</f>
        <v>601218</v>
      </c>
      <c r="C3500" t="s">
        <v>14801</v>
      </c>
      <c r="D3500" s="4">
        <v>43190</v>
      </c>
      <c r="E3500" t="s">
        <v>4754</v>
      </c>
      <c r="F3500" t="s">
        <v>4754</v>
      </c>
      <c r="G3500" t="s">
        <v>7516</v>
      </c>
      <c r="H3500">
        <v>-0.06</v>
      </c>
      <c r="I3500">
        <v>2.5099999999999998</v>
      </c>
      <c r="J3500">
        <v>-2.2000000000000002</v>
      </c>
      <c r="K3500" t="s">
        <v>905</v>
      </c>
      <c r="L3500">
        <v>-42.58</v>
      </c>
      <c r="M3500" t="s">
        <v>14802</v>
      </c>
      <c r="N3500" t="s">
        <v>14803</v>
      </c>
      <c r="O3500" t="s">
        <v>14804</v>
      </c>
      <c r="P3500" t="s">
        <v>14805</v>
      </c>
      <c r="Q3500">
        <v>-426.28</v>
      </c>
      <c r="R3500" t="s">
        <v>3925</v>
      </c>
      <c r="S3500">
        <v>0.78</v>
      </c>
      <c r="T3500">
        <v>-8.07</v>
      </c>
      <c r="U3500" t="s">
        <v>1443</v>
      </c>
      <c r="V3500" t="s">
        <v>1675</v>
      </c>
      <c r="W3500" t="s">
        <v>6799</v>
      </c>
      <c r="X3500">
        <v>-2.2000000000000002</v>
      </c>
      <c r="Y3500" t="s">
        <v>983</v>
      </c>
      <c r="Z3500" t="s">
        <v>300</v>
      </c>
      <c r="AA3500" t="s">
        <v>1074</v>
      </c>
      <c r="AB3500">
        <v>0.99</v>
      </c>
      <c r="AC3500" t="s">
        <v>981</v>
      </c>
      <c r="AD3500">
        <v>60.4</v>
      </c>
      <c r="AE3500" t="s">
        <v>107</v>
      </c>
      <c r="AF3500">
        <v>0.59</v>
      </c>
      <c r="AG3500">
        <v>0</v>
      </c>
      <c r="AH3500">
        <v>0</v>
      </c>
      <c r="AI3500" s="4">
        <v>40669</v>
      </c>
    </row>
    <row r="3501" spans="1:35">
      <c r="A3501">
        <v>3500</v>
      </c>
      <c r="B3501" t="str">
        <f>"601969"</f>
        <v>601969</v>
      </c>
      <c r="C3501" t="s">
        <v>14806</v>
      </c>
      <c r="D3501" s="4">
        <v>43190</v>
      </c>
      <c r="E3501" t="s">
        <v>275</v>
      </c>
      <c r="F3501" t="s">
        <v>275</v>
      </c>
      <c r="G3501" t="s">
        <v>14807</v>
      </c>
      <c r="H3501">
        <v>-0.06</v>
      </c>
      <c r="I3501">
        <v>2.46</v>
      </c>
      <c r="J3501">
        <v>-2.2400000000000002</v>
      </c>
      <c r="K3501" t="s">
        <v>442</v>
      </c>
      <c r="L3501">
        <v>2.98</v>
      </c>
      <c r="M3501" t="s">
        <v>14808</v>
      </c>
      <c r="N3501" t="s">
        <v>12383</v>
      </c>
      <c r="O3501" t="s">
        <v>14808</v>
      </c>
      <c r="P3501" t="s">
        <v>14159</v>
      </c>
      <c r="Q3501">
        <v>-317.04000000000002</v>
      </c>
      <c r="R3501" t="s">
        <v>14809</v>
      </c>
      <c r="S3501">
        <v>-0.15</v>
      </c>
      <c r="T3501">
        <v>5.59</v>
      </c>
      <c r="U3501" t="s">
        <v>2395</v>
      </c>
      <c r="V3501" t="s">
        <v>830</v>
      </c>
      <c r="W3501" t="s">
        <v>1920</v>
      </c>
      <c r="X3501">
        <v>-2.2400000000000002</v>
      </c>
      <c r="Y3501" t="s">
        <v>1242</v>
      </c>
      <c r="Z3501" t="s">
        <v>1294</v>
      </c>
      <c r="AA3501" t="s">
        <v>196</v>
      </c>
      <c r="AB3501">
        <v>2.16</v>
      </c>
      <c r="AC3501" t="s">
        <v>5794</v>
      </c>
      <c r="AD3501">
        <v>61.71</v>
      </c>
      <c r="AE3501" t="s">
        <v>260</v>
      </c>
      <c r="AF3501">
        <v>1.36</v>
      </c>
      <c r="AG3501">
        <v>0</v>
      </c>
      <c r="AH3501">
        <v>0</v>
      </c>
      <c r="AI3501" s="4">
        <v>41982</v>
      </c>
    </row>
    <row r="3502" spans="1:35">
      <c r="A3502">
        <v>3501</v>
      </c>
      <c r="B3502" t="str">
        <f>"000727"</f>
        <v>000727</v>
      </c>
      <c r="C3502" t="s">
        <v>14810</v>
      </c>
      <c r="D3502" s="4">
        <v>43190</v>
      </c>
      <c r="E3502" t="s">
        <v>4889</v>
      </c>
      <c r="F3502" t="s">
        <v>238</v>
      </c>
      <c r="G3502" t="s">
        <v>1471</v>
      </c>
      <c r="H3502">
        <v>-0.05</v>
      </c>
      <c r="I3502">
        <v>2.33</v>
      </c>
      <c r="J3502">
        <v>-2.25</v>
      </c>
      <c r="K3502" t="s">
        <v>407</v>
      </c>
      <c r="L3502">
        <v>-16.53</v>
      </c>
      <c r="M3502" t="s">
        <v>14811</v>
      </c>
      <c r="N3502" t="s">
        <v>14059</v>
      </c>
      <c r="O3502" t="s">
        <v>14540</v>
      </c>
      <c r="P3502" t="s">
        <v>7733</v>
      </c>
      <c r="Q3502">
        <v>3.97</v>
      </c>
      <c r="R3502" t="s">
        <v>14812</v>
      </c>
      <c r="S3502">
        <v>-0.15</v>
      </c>
      <c r="T3502">
        <v>-29.73</v>
      </c>
      <c r="U3502" t="s">
        <v>3911</v>
      </c>
      <c r="V3502" t="s">
        <v>2060</v>
      </c>
      <c r="W3502" t="s">
        <v>3242</v>
      </c>
      <c r="X3502">
        <v>-2.25</v>
      </c>
      <c r="Y3502" t="s">
        <v>1453</v>
      </c>
      <c r="Z3502" t="s">
        <v>979</v>
      </c>
      <c r="AA3502" t="s">
        <v>4888</v>
      </c>
      <c r="AB3502">
        <v>0.79</v>
      </c>
      <c r="AC3502" t="s">
        <v>525</v>
      </c>
      <c r="AD3502">
        <v>32.229999999999997</v>
      </c>
      <c r="AE3502" t="s">
        <v>2243</v>
      </c>
      <c r="AF3502">
        <v>1.45</v>
      </c>
      <c r="AG3502">
        <v>0</v>
      </c>
      <c r="AH3502">
        <v>0</v>
      </c>
      <c r="AI3502" s="4">
        <v>35570</v>
      </c>
    </row>
    <row r="3503" spans="1:35">
      <c r="A3503">
        <v>3502</v>
      </c>
      <c r="B3503" t="str">
        <f>"000068"</f>
        <v>000068</v>
      </c>
      <c r="C3503" t="s">
        <v>14813</v>
      </c>
      <c r="D3503" s="4">
        <v>43190</v>
      </c>
      <c r="E3503" t="s">
        <v>1094</v>
      </c>
      <c r="F3503" t="s">
        <v>1094</v>
      </c>
      <c r="G3503" t="s">
        <v>7342</v>
      </c>
      <c r="H3503">
        <v>-0.01</v>
      </c>
      <c r="I3503">
        <v>0.64</v>
      </c>
      <c r="J3503">
        <v>-2.25</v>
      </c>
      <c r="K3503" t="s">
        <v>14814</v>
      </c>
      <c r="L3503">
        <v>89.41</v>
      </c>
      <c r="M3503" t="s">
        <v>14815</v>
      </c>
      <c r="N3503" t="s">
        <v>8163</v>
      </c>
      <c r="O3503" t="s">
        <v>672</v>
      </c>
      <c r="P3503" t="s">
        <v>14357</v>
      </c>
      <c r="Q3503">
        <v>0.82</v>
      </c>
      <c r="R3503" t="s">
        <v>14816</v>
      </c>
      <c r="S3503">
        <v>-1.71</v>
      </c>
      <c r="T3503">
        <v>30.07</v>
      </c>
      <c r="U3503" t="s">
        <v>2515</v>
      </c>
      <c r="V3503" t="s">
        <v>5061</v>
      </c>
      <c r="W3503" t="s">
        <v>603</v>
      </c>
      <c r="X3503">
        <v>-2.25</v>
      </c>
      <c r="Y3503" t="s">
        <v>747</v>
      </c>
      <c r="Z3503" t="s">
        <v>162</v>
      </c>
      <c r="AA3503" t="s">
        <v>1365</v>
      </c>
      <c r="AB3503">
        <v>5.53</v>
      </c>
      <c r="AC3503" t="s">
        <v>424</v>
      </c>
      <c r="AD3503">
        <v>24.44</v>
      </c>
      <c r="AE3503" t="s">
        <v>1033</v>
      </c>
      <c r="AF3503">
        <v>1.19</v>
      </c>
      <c r="AG3503">
        <v>0</v>
      </c>
      <c r="AH3503">
        <v>0</v>
      </c>
      <c r="AI3503" s="4">
        <v>35592</v>
      </c>
    </row>
    <row r="3504" spans="1:35">
      <c r="A3504">
        <v>3503</v>
      </c>
      <c r="B3504" t="str">
        <f>"000615"</f>
        <v>000615</v>
      </c>
      <c r="C3504" t="s">
        <v>14817</v>
      </c>
      <c r="D3504" s="4">
        <v>43190</v>
      </c>
      <c r="E3504" t="s">
        <v>488</v>
      </c>
      <c r="F3504" t="s">
        <v>1918</v>
      </c>
      <c r="G3504">
        <v>4275</v>
      </c>
      <c r="H3504">
        <v>-0.06</v>
      </c>
      <c r="I3504">
        <v>2.39</v>
      </c>
      <c r="J3504">
        <v>-2.27</v>
      </c>
      <c r="K3504" t="s">
        <v>958</v>
      </c>
      <c r="L3504">
        <v>-26.24</v>
      </c>
      <c r="M3504" t="s">
        <v>14818</v>
      </c>
      <c r="N3504" t="s">
        <v>8651</v>
      </c>
      <c r="O3504" t="s">
        <v>14819</v>
      </c>
      <c r="P3504" t="s">
        <v>14820</v>
      </c>
      <c r="Q3504">
        <v>-106.63</v>
      </c>
      <c r="R3504" t="s">
        <v>8161</v>
      </c>
      <c r="S3504">
        <v>1.18</v>
      </c>
      <c r="T3504">
        <v>20.8</v>
      </c>
      <c r="U3504" t="s">
        <v>14821</v>
      </c>
      <c r="V3504" t="s">
        <v>7217</v>
      </c>
      <c r="W3504" t="s">
        <v>1212</v>
      </c>
      <c r="X3504">
        <v>-2.27</v>
      </c>
      <c r="Y3504" t="s">
        <v>366</v>
      </c>
      <c r="Z3504" t="s">
        <v>152</v>
      </c>
      <c r="AA3504" t="s">
        <v>223</v>
      </c>
      <c r="AB3504">
        <v>2.74</v>
      </c>
      <c r="AC3504" t="s">
        <v>389</v>
      </c>
      <c r="AD3504">
        <v>19.489999999999998</v>
      </c>
      <c r="AE3504" t="s">
        <v>14822</v>
      </c>
      <c r="AF3504">
        <v>0.03</v>
      </c>
      <c r="AG3504">
        <v>0</v>
      </c>
      <c r="AH3504">
        <v>0</v>
      </c>
      <c r="AI3504" s="4">
        <v>35354</v>
      </c>
    </row>
    <row r="3505" spans="1:35">
      <c r="A3505">
        <v>3504</v>
      </c>
      <c r="B3505" t="str">
        <f>"000585"</f>
        <v>000585</v>
      </c>
      <c r="C3505" t="s">
        <v>14823</v>
      </c>
      <c r="D3505" s="4">
        <v>43190</v>
      </c>
      <c r="E3505" t="s">
        <v>3145</v>
      </c>
      <c r="F3505" t="s">
        <v>1874</v>
      </c>
      <c r="G3505">
        <v>0</v>
      </c>
      <c r="H3505">
        <v>-0.01</v>
      </c>
      <c r="I3505">
        <v>-0.23</v>
      </c>
      <c r="J3505">
        <v>-2.34</v>
      </c>
      <c r="K3505" t="s">
        <v>12033</v>
      </c>
      <c r="L3505">
        <v>-16.55</v>
      </c>
      <c r="M3505" t="s">
        <v>14824</v>
      </c>
      <c r="N3505">
        <v>0</v>
      </c>
      <c r="O3505" t="s">
        <v>14825</v>
      </c>
      <c r="P3505" t="s">
        <v>13447</v>
      </c>
      <c r="Q3505">
        <v>70.13</v>
      </c>
      <c r="R3505" t="s">
        <v>14826</v>
      </c>
      <c r="S3505">
        <v>-2.33</v>
      </c>
      <c r="T3505">
        <v>17.440000000000001</v>
      </c>
      <c r="U3505" t="s">
        <v>1621</v>
      </c>
      <c r="V3505" t="s">
        <v>1936</v>
      </c>
      <c r="W3505" t="s">
        <v>14827</v>
      </c>
      <c r="X3505">
        <v>-2.34</v>
      </c>
      <c r="Y3505" t="s">
        <v>1358</v>
      </c>
      <c r="Z3505" t="s">
        <v>2590</v>
      </c>
      <c r="AA3505" t="s">
        <v>197</v>
      </c>
      <c r="AB3505">
        <v>-8.73</v>
      </c>
      <c r="AC3505" t="s">
        <v>6693</v>
      </c>
      <c r="AD3505">
        <v>-67.02</v>
      </c>
      <c r="AE3505" t="s">
        <v>1780</v>
      </c>
      <c r="AF3505">
        <v>1.01</v>
      </c>
      <c r="AG3505">
        <v>0</v>
      </c>
      <c r="AH3505" t="s">
        <v>726</v>
      </c>
      <c r="AI3505" s="4">
        <v>35046</v>
      </c>
    </row>
    <row r="3506" spans="1:35">
      <c r="A3506">
        <v>3505</v>
      </c>
      <c r="B3506" t="str">
        <f>"600405"</f>
        <v>600405</v>
      </c>
      <c r="C3506" t="s">
        <v>14828</v>
      </c>
      <c r="D3506" s="4">
        <v>43190</v>
      </c>
      <c r="E3506" t="s">
        <v>1088</v>
      </c>
      <c r="F3506" t="s">
        <v>2156</v>
      </c>
      <c r="G3506">
        <v>4904</v>
      </c>
      <c r="H3506">
        <v>-0.06</v>
      </c>
      <c r="I3506">
        <v>2.36</v>
      </c>
      <c r="J3506">
        <v>-2.36</v>
      </c>
      <c r="K3506" t="s">
        <v>1724</v>
      </c>
      <c r="L3506">
        <v>-13.14</v>
      </c>
      <c r="M3506" t="s">
        <v>14829</v>
      </c>
      <c r="N3506" t="s">
        <v>14830</v>
      </c>
      <c r="O3506" t="s">
        <v>14831</v>
      </c>
      <c r="P3506" t="s">
        <v>14832</v>
      </c>
      <c r="Q3506">
        <v>-20.239999999999998</v>
      </c>
      <c r="R3506" t="s">
        <v>1484</v>
      </c>
      <c r="S3506">
        <v>0.4</v>
      </c>
      <c r="T3506">
        <v>28.17</v>
      </c>
      <c r="U3506" t="s">
        <v>2100</v>
      </c>
      <c r="V3506" t="s">
        <v>176</v>
      </c>
      <c r="W3506" t="s">
        <v>6541</v>
      </c>
      <c r="X3506">
        <v>-2.36</v>
      </c>
      <c r="Y3506" t="s">
        <v>1214</v>
      </c>
      <c r="Z3506" t="s">
        <v>602</v>
      </c>
      <c r="AA3506" t="s">
        <v>258</v>
      </c>
      <c r="AB3506">
        <v>2.0699999999999998</v>
      </c>
      <c r="AC3506" t="s">
        <v>124</v>
      </c>
      <c r="AD3506">
        <v>49.51</v>
      </c>
      <c r="AE3506" t="s">
        <v>1799</v>
      </c>
      <c r="AF3506">
        <v>0.95</v>
      </c>
      <c r="AG3506">
        <v>0</v>
      </c>
      <c r="AH3506">
        <v>0</v>
      </c>
      <c r="AI3506" s="4">
        <v>38078</v>
      </c>
    </row>
    <row r="3507" spans="1:35">
      <c r="A3507">
        <v>3506</v>
      </c>
      <c r="B3507" t="str">
        <f>"600151"</f>
        <v>600151</v>
      </c>
      <c r="C3507" t="s">
        <v>14833</v>
      </c>
      <c r="D3507" s="4">
        <v>43190</v>
      </c>
      <c r="E3507" t="s">
        <v>162</v>
      </c>
      <c r="F3507" t="s">
        <v>624</v>
      </c>
      <c r="G3507" t="s">
        <v>2478</v>
      </c>
      <c r="H3507">
        <v>-0.09</v>
      </c>
      <c r="I3507">
        <v>3.9</v>
      </c>
      <c r="J3507">
        <v>-2.38</v>
      </c>
      <c r="K3507" t="s">
        <v>161</v>
      </c>
      <c r="L3507">
        <v>39.76</v>
      </c>
      <c r="M3507" t="s">
        <v>14834</v>
      </c>
      <c r="N3507" t="s">
        <v>14835</v>
      </c>
      <c r="O3507" t="s">
        <v>11018</v>
      </c>
      <c r="P3507" t="s">
        <v>9244</v>
      </c>
      <c r="Q3507">
        <v>-7.17</v>
      </c>
      <c r="R3507" t="s">
        <v>14836</v>
      </c>
      <c r="S3507">
        <v>-0.55000000000000004</v>
      </c>
      <c r="T3507">
        <v>13.26</v>
      </c>
      <c r="U3507" t="s">
        <v>929</v>
      </c>
      <c r="V3507" t="s">
        <v>2492</v>
      </c>
      <c r="W3507" t="s">
        <v>588</v>
      </c>
      <c r="X3507">
        <v>-2.38</v>
      </c>
      <c r="Y3507" t="s">
        <v>4487</v>
      </c>
      <c r="Z3507" t="s">
        <v>1196</v>
      </c>
      <c r="AA3507" t="s">
        <v>80</v>
      </c>
      <c r="AB3507">
        <v>1.1200000000000001</v>
      </c>
      <c r="AC3507" t="s">
        <v>4015</v>
      </c>
      <c r="AD3507">
        <v>38.78</v>
      </c>
      <c r="AE3507" t="s">
        <v>811</v>
      </c>
      <c r="AF3507">
        <v>3.27</v>
      </c>
      <c r="AG3507">
        <v>0</v>
      </c>
      <c r="AH3507">
        <v>0</v>
      </c>
      <c r="AI3507" s="4">
        <v>35951</v>
      </c>
    </row>
    <row r="3508" spans="1:35">
      <c r="A3508">
        <v>3507</v>
      </c>
      <c r="B3508" t="str">
        <f>"300028"</f>
        <v>300028</v>
      </c>
      <c r="C3508" t="s">
        <v>14837</v>
      </c>
      <c r="D3508" s="4">
        <v>43190</v>
      </c>
      <c r="E3508" t="s">
        <v>2041</v>
      </c>
      <c r="F3508" t="s">
        <v>2041</v>
      </c>
      <c r="G3508">
        <v>7836</v>
      </c>
      <c r="H3508">
        <v>-0.01</v>
      </c>
      <c r="I3508">
        <v>0.49</v>
      </c>
      <c r="J3508">
        <v>-2.39</v>
      </c>
      <c r="K3508" t="s">
        <v>6746</v>
      </c>
      <c r="L3508">
        <v>689.73</v>
      </c>
      <c r="M3508" t="s">
        <v>14838</v>
      </c>
      <c r="N3508" t="s">
        <v>14711</v>
      </c>
      <c r="O3508" t="s">
        <v>14838</v>
      </c>
      <c r="P3508" t="s">
        <v>14839</v>
      </c>
      <c r="Q3508">
        <v>63.14</v>
      </c>
      <c r="R3508" t="s">
        <v>14840</v>
      </c>
      <c r="S3508">
        <v>-1.56</v>
      </c>
      <c r="T3508">
        <v>-4.99</v>
      </c>
      <c r="U3508" t="s">
        <v>188</v>
      </c>
      <c r="V3508" t="s">
        <v>14841</v>
      </c>
      <c r="W3508" t="s">
        <v>1508</v>
      </c>
      <c r="X3508">
        <v>-2.39</v>
      </c>
      <c r="Y3508" t="s">
        <v>677</v>
      </c>
      <c r="Z3508" t="s">
        <v>282</v>
      </c>
      <c r="AA3508" t="s">
        <v>12579</v>
      </c>
      <c r="AB3508">
        <v>6.7</v>
      </c>
      <c r="AC3508" t="s">
        <v>337</v>
      </c>
      <c r="AD3508">
        <v>58.8</v>
      </c>
      <c r="AE3508" t="s">
        <v>2029</v>
      </c>
      <c r="AF3508">
        <v>1.06</v>
      </c>
      <c r="AG3508">
        <v>0</v>
      </c>
      <c r="AH3508">
        <v>0</v>
      </c>
      <c r="AI3508" s="4">
        <v>40116</v>
      </c>
    </row>
    <row r="3509" spans="1:35">
      <c r="A3509">
        <v>3508</v>
      </c>
      <c r="B3509" t="str">
        <f>"300471"</f>
        <v>300471</v>
      </c>
      <c r="C3509" t="s">
        <v>14842</v>
      </c>
      <c r="D3509" s="4">
        <v>43190</v>
      </c>
      <c r="E3509" t="s">
        <v>1968</v>
      </c>
      <c r="F3509" t="s">
        <v>594</v>
      </c>
      <c r="G3509">
        <v>9789</v>
      </c>
      <c r="H3509">
        <v>-0.11</v>
      </c>
      <c r="I3509">
        <v>4.4400000000000004</v>
      </c>
      <c r="J3509">
        <v>-2.41</v>
      </c>
      <c r="K3509" t="s">
        <v>14843</v>
      </c>
      <c r="L3509">
        <v>-63.06</v>
      </c>
      <c r="M3509" t="s">
        <v>14844</v>
      </c>
      <c r="N3509" t="s">
        <v>10585</v>
      </c>
      <c r="O3509" t="s">
        <v>14845</v>
      </c>
      <c r="P3509" t="s">
        <v>14846</v>
      </c>
      <c r="Q3509">
        <v>-524.64</v>
      </c>
      <c r="R3509" t="s">
        <v>1243</v>
      </c>
      <c r="S3509">
        <v>1.39</v>
      </c>
      <c r="T3509">
        <v>31.28</v>
      </c>
      <c r="U3509" t="s">
        <v>260</v>
      </c>
      <c r="V3509" t="s">
        <v>759</v>
      </c>
      <c r="W3509" t="s">
        <v>2380</v>
      </c>
      <c r="X3509">
        <v>-2.41</v>
      </c>
      <c r="Y3509" t="s">
        <v>2721</v>
      </c>
      <c r="Z3509" t="s">
        <v>4754</v>
      </c>
      <c r="AA3509" t="s">
        <v>14847</v>
      </c>
      <c r="AB3509">
        <v>1.59</v>
      </c>
      <c r="AC3509" t="s">
        <v>1052</v>
      </c>
      <c r="AD3509">
        <v>61.51</v>
      </c>
      <c r="AE3509" t="s">
        <v>2010</v>
      </c>
      <c r="AF3509">
        <v>1.98</v>
      </c>
      <c r="AG3509">
        <v>0</v>
      </c>
      <c r="AH3509">
        <v>0</v>
      </c>
      <c r="AI3509" s="4">
        <v>42166</v>
      </c>
    </row>
    <row r="3510" spans="1:35">
      <c r="A3510">
        <v>3509</v>
      </c>
      <c r="B3510" t="str">
        <f>"600855"</f>
        <v>600855</v>
      </c>
      <c r="C3510" t="s">
        <v>14848</v>
      </c>
      <c r="D3510" s="4">
        <v>43190</v>
      </c>
      <c r="E3510" t="s">
        <v>2807</v>
      </c>
      <c r="F3510" t="s">
        <v>47</v>
      </c>
      <c r="G3510">
        <v>6955</v>
      </c>
      <c r="H3510">
        <v>-7.0000000000000007E-2</v>
      </c>
      <c r="I3510">
        <v>3.54</v>
      </c>
      <c r="J3510">
        <v>-2.4300000000000002</v>
      </c>
      <c r="K3510" t="s">
        <v>136</v>
      </c>
      <c r="L3510">
        <v>11.11</v>
      </c>
      <c r="M3510" t="s">
        <v>14849</v>
      </c>
      <c r="N3510">
        <v>0</v>
      </c>
      <c r="O3510" t="s">
        <v>14850</v>
      </c>
      <c r="P3510" t="s">
        <v>14851</v>
      </c>
      <c r="Q3510">
        <v>-61.73</v>
      </c>
      <c r="R3510" t="s">
        <v>1245</v>
      </c>
      <c r="S3510">
        <v>0.66</v>
      </c>
      <c r="T3510">
        <v>22.67</v>
      </c>
      <c r="U3510" t="s">
        <v>891</v>
      </c>
      <c r="V3510" t="s">
        <v>1062</v>
      </c>
      <c r="W3510" t="s">
        <v>5172</v>
      </c>
      <c r="X3510">
        <v>-2.4300000000000002</v>
      </c>
      <c r="Y3510" t="s">
        <v>3740</v>
      </c>
      <c r="Z3510" t="s">
        <v>1833</v>
      </c>
      <c r="AA3510" t="s">
        <v>4029</v>
      </c>
      <c r="AB3510">
        <v>3.24</v>
      </c>
      <c r="AC3510" t="s">
        <v>1722</v>
      </c>
      <c r="AD3510">
        <v>45.91</v>
      </c>
      <c r="AE3510" t="s">
        <v>492</v>
      </c>
      <c r="AF3510">
        <v>1.81</v>
      </c>
      <c r="AG3510">
        <v>0</v>
      </c>
      <c r="AH3510">
        <v>0</v>
      </c>
      <c r="AI3510" s="4">
        <v>34449</v>
      </c>
    </row>
    <row r="3511" spans="1:35">
      <c r="A3511">
        <v>3510</v>
      </c>
      <c r="B3511" t="str">
        <f>"300139"</f>
        <v>300139</v>
      </c>
      <c r="C3511" t="s">
        <v>14852</v>
      </c>
      <c r="D3511" s="4">
        <v>43190</v>
      </c>
      <c r="E3511" t="s">
        <v>594</v>
      </c>
      <c r="F3511" t="s">
        <v>1011</v>
      </c>
      <c r="G3511">
        <v>8181</v>
      </c>
      <c r="H3511">
        <v>-0.1</v>
      </c>
      <c r="I3511">
        <v>3.89</v>
      </c>
      <c r="J3511">
        <v>-2.4500000000000002</v>
      </c>
      <c r="K3511" t="s">
        <v>8387</v>
      </c>
      <c r="L3511">
        <v>-22.49</v>
      </c>
      <c r="M3511" t="s">
        <v>13717</v>
      </c>
      <c r="N3511" t="s">
        <v>14853</v>
      </c>
      <c r="O3511" t="s">
        <v>14854</v>
      </c>
      <c r="P3511" t="s">
        <v>11944</v>
      </c>
      <c r="Q3511">
        <v>-488.4</v>
      </c>
      <c r="R3511" t="s">
        <v>505</v>
      </c>
      <c r="S3511">
        <v>0.57999999999999996</v>
      </c>
      <c r="T3511">
        <v>57.41</v>
      </c>
      <c r="U3511" t="s">
        <v>263</v>
      </c>
      <c r="V3511" t="s">
        <v>4008</v>
      </c>
      <c r="W3511" t="s">
        <v>1689</v>
      </c>
      <c r="X3511">
        <v>-2.4500000000000002</v>
      </c>
      <c r="Y3511" t="s">
        <v>3259</v>
      </c>
      <c r="Z3511" t="s">
        <v>2115</v>
      </c>
      <c r="AA3511" t="s">
        <v>258</v>
      </c>
      <c r="AB3511">
        <v>2.5</v>
      </c>
      <c r="AC3511" t="s">
        <v>295</v>
      </c>
      <c r="AD3511">
        <v>73.47</v>
      </c>
      <c r="AE3511" t="s">
        <v>1502</v>
      </c>
      <c r="AF3511">
        <v>2.12</v>
      </c>
      <c r="AG3511">
        <v>0</v>
      </c>
      <c r="AH3511">
        <v>0</v>
      </c>
      <c r="AI3511" s="4">
        <v>40494</v>
      </c>
    </row>
    <row r="3512" spans="1:35">
      <c r="A3512">
        <v>3511</v>
      </c>
      <c r="B3512" t="str">
        <f>"600767"</f>
        <v>600767</v>
      </c>
      <c r="C3512" t="s">
        <v>14855</v>
      </c>
      <c r="D3512" s="4">
        <v>43190</v>
      </c>
      <c r="E3512" t="s">
        <v>1074</v>
      </c>
      <c r="F3512" t="s">
        <v>1074</v>
      </c>
      <c r="G3512">
        <v>9607</v>
      </c>
      <c r="H3512">
        <v>-0.02</v>
      </c>
      <c r="I3512">
        <v>0.76</v>
      </c>
      <c r="J3512">
        <v>-2.5099999999999998</v>
      </c>
      <c r="K3512" t="s">
        <v>7831</v>
      </c>
      <c r="L3512">
        <v>142.69</v>
      </c>
      <c r="M3512" t="s">
        <v>14856</v>
      </c>
      <c r="N3512" t="s">
        <v>2793</v>
      </c>
      <c r="O3512" t="s">
        <v>14857</v>
      </c>
      <c r="P3512" t="s">
        <v>14858</v>
      </c>
      <c r="Q3512">
        <v>35.049999999999997</v>
      </c>
      <c r="R3512" t="s">
        <v>14859</v>
      </c>
      <c r="S3512">
        <v>-0.36</v>
      </c>
      <c r="T3512">
        <v>33.43</v>
      </c>
      <c r="U3512" t="s">
        <v>1721</v>
      </c>
      <c r="V3512" t="s">
        <v>2733</v>
      </c>
      <c r="W3512" t="s">
        <v>4467</v>
      </c>
      <c r="X3512">
        <v>-2.5099999999999998</v>
      </c>
      <c r="Y3512" t="s">
        <v>745</v>
      </c>
      <c r="Z3512" t="s">
        <v>2115</v>
      </c>
      <c r="AA3512" t="s">
        <v>5285</v>
      </c>
      <c r="AB3512">
        <v>6.83</v>
      </c>
      <c r="AC3512" t="s">
        <v>1049</v>
      </c>
      <c r="AD3512">
        <v>55.3</v>
      </c>
      <c r="AE3512" t="s">
        <v>6104</v>
      </c>
      <c r="AF3512">
        <v>0.11</v>
      </c>
      <c r="AG3512">
        <v>0</v>
      </c>
      <c r="AH3512">
        <v>0</v>
      </c>
      <c r="AI3512" s="4">
        <v>35384</v>
      </c>
    </row>
    <row r="3513" spans="1:35">
      <c r="A3513">
        <v>3512</v>
      </c>
      <c r="B3513" t="str">
        <f>"600601"</f>
        <v>600601</v>
      </c>
      <c r="C3513" t="s">
        <v>14860</v>
      </c>
      <c r="D3513" s="4">
        <v>43190</v>
      </c>
      <c r="E3513" t="s">
        <v>2568</v>
      </c>
      <c r="F3513" t="s">
        <v>2568</v>
      </c>
      <c r="G3513">
        <v>9147</v>
      </c>
      <c r="H3513">
        <v>-0.03</v>
      </c>
      <c r="I3513">
        <v>1.36</v>
      </c>
      <c r="J3513">
        <v>-2.52</v>
      </c>
      <c r="K3513" t="s">
        <v>602</v>
      </c>
      <c r="L3513">
        <v>0.05</v>
      </c>
      <c r="M3513" t="s">
        <v>14861</v>
      </c>
      <c r="N3513" t="s">
        <v>14862</v>
      </c>
      <c r="O3513" t="s">
        <v>14863</v>
      </c>
      <c r="P3513" t="s">
        <v>14864</v>
      </c>
      <c r="Q3513">
        <v>20.02</v>
      </c>
      <c r="R3513" t="s">
        <v>365</v>
      </c>
      <c r="S3513">
        <v>0.18</v>
      </c>
      <c r="T3513">
        <v>18.63</v>
      </c>
      <c r="U3513" t="s">
        <v>404</v>
      </c>
      <c r="V3513" t="s">
        <v>2300</v>
      </c>
      <c r="W3513" t="s">
        <v>1601</v>
      </c>
      <c r="X3513">
        <v>-2.52</v>
      </c>
      <c r="Y3513" t="s">
        <v>9786</v>
      </c>
      <c r="Z3513" t="s">
        <v>1024</v>
      </c>
      <c r="AA3513" t="s">
        <v>624</v>
      </c>
      <c r="AB3513">
        <v>1.95</v>
      </c>
      <c r="AC3513" t="s">
        <v>864</v>
      </c>
      <c r="AD3513">
        <v>26.18</v>
      </c>
      <c r="AE3513" t="s">
        <v>597</v>
      </c>
      <c r="AF3513">
        <v>0.16</v>
      </c>
      <c r="AG3513">
        <v>0</v>
      </c>
      <c r="AH3513">
        <v>0</v>
      </c>
      <c r="AI3513" s="4">
        <v>33226</v>
      </c>
    </row>
    <row r="3514" spans="1:35">
      <c r="A3514">
        <v>3513</v>
      </c>
      <c r="B3514" t="str">
        <f>"300551"</f>
        <v>300551</v>
      </c>
      <c r="C3514" t="s">
        <v>14865</v>
      </c>
      <c r="D3514" s="4">
        <v>43190</v>
      </c>
      <c r="E3514" t="s">
        <v>804</v>
      </c>
      <c r="F3514" t="s">
        <v>14866</v>
      </c>
      <c r="G3514">
        <v>3493</v>
      </c>
      <c r="H3514">
        <v>-0.12</v>
      </c>
      <c r="I3514">
        <v>4.6100000000000003</v>
      </c>
      <c r="J3514">
        <v>-2.57</v>
      </c>
      <c r="K3514" t="s">
        <v>6413</v>
      </c>
      <c r="L3514">
        <v>38.04</v>
      </c>
      <c r="M3514" t="s">
        <v>14867</v>
      </c>
      <c r="N3514">
        <v>0</v>
      </c>
      <c r="O3514" t="s">
        <v>14868</v>
      </c>
      <c r="P3514" t="s">
        <v>14868</v>
      </c>
      <c r="Q3514">
        <v>13.86</v>
      </c>
      <c r="R3514" t="s">
        <v>698</v>
      </c>
      <c r="S3514">
        <v>1.66</v>
      </c>
      <c r="T3514">
        <v>41.53</v>
      </c>
      <c r="U3514" t="s">
        <v>1523</v>
      </c>
      <c r="V3514" t="s">
        <v>483</v>
      </c>
      <c r="W3514" t="s">
        <v>7387</v>
      </c>
      <c r="X3514">
        <v>-2.57</v>
      </c>
      <c r="Y3514" t="s">
        <v>745</v>
      </c>
      <c r="Z3514" t="s">
        <v>600</v>
      </c>
      <c r="AA3514" t="s">
        <v>7687</v>
      </c>
      <c r="AB3514">
        <v>2.79</v>
      </c>
      <c r="AC3514" t="s">
        <v>1309</v>
      </c>
      <c r="AD3514">
        <v>77.709999999999994</v>
      </c>
      <c r="AE3514" t="s">
        <v>807</v>
      </c>
      <c r="AF3514">
        <v>1.75</v>
      </c>
      <c r="AG3514">
        <v>0</v>
      </c>
      <c r="AH3514">
        <v>0</v>
      </c>
      <c r="AI3514" s="4">
        <v>42661</v>
      </c>
    </row>
    <row r="3515" spans="1:35">
      <c r="A3515">
        <v>3514</v>
      </c>
      <c r="B3515" t="str">
        <f>"000428"</f>
        <v>000428</v>
      </c>
      <c r="C3515" t="s">
        <v>14869</v>
      </c>
      <c r="D3515" s="4">
        <v>43190</v>
      </c>
      <c r="E3515" t="s">
        <v>1496</v>
      </c>
      <c r="F3515" t="s">
        <v>615</v>
      </c>
      <c r="G3515" t="s">
        <v>168</v>
      </c>
      <c r="H3515">
        <v>-7.0000000000000007E-2</v>
      </c>
      <c r="I3515">
        <v>2.88</v>
      </c>
      <c r="J3515">
        <v>-2.59</v>
      </c>
      <c r="K3515" t="s">
        <v>641</v>
      </c>
      <c r="L3515">
        <v>10.25</v>
      </c>
      <c r="M3515" t="s">
        <v>14870</v>
      </c>
      <c r="N3515" t="s">
        <v>7937</v>
      </c>
      <c r="O3515" t="s">
        <v>14871</v>
      </c>
      <c r="P3515" t="s">
        <v>14872</v>
      </c>
      <c r="Q3515">
        <v>-14.56</v>
      </c>
      <c r="R3515" t="s">
        <v>267</v>
      </c>
      <c r="S3515">
        <v>0.39</v>
      </c>
      <c r="T3515">
        <v>51.76</v>
      </c>
      <c r="U3515" t="s">
        <v>1030</v>
      </c>
      <c r="V3515" t="s">
        <v>223</v>
      </c>
      <c r="W3515" t="s">
        <v>457</v>
      </c>
      <c r="X3515">
        <v>-2.59</v>
      </c>
      <c r="Y3515" t="s">
        <v>1735</v>
      </c>
      <c r="Z3515" t="s">
        <v>949</v>
      </c>
      <c r="AA3515" t="s">
        <v>1190</v>
      </c>
      <c r="AB3515">
        <v>0.98</v>
      </c>
      <c r="AC3515" t="s">
        <v>1252</v>
      </c>
      <c r="AD3515">
        <v>35.42</v>
      </c>
      <c r="AE3515" t="s">
        <v>263</v>
      </c>
      <c r="AF3515">
        <v>1.43</v>
      </c>
      <c r="AG3515">
        <v>0</v>
      </c>
      <c r="AH3515">
        <v>0</v>
      </c>
      <c r="AI3515" s="4">
        <v>35285</v>
      </c>
    </row>
    <row r="3516" spans="1:35">
      <c r="A3516">
        <v>3515</v>
      </c>
      <c r="B3516" t="str">
        <f>"002289"</f>
        <v>002289</v>
      </c>
      <c r="C3516" t="s">
        <v>14873</v>
      </c>
      <c r="D3516" s="4">
        <v>43190</v>
      </c>
      <c r="E3516" t="s">
        <v>1664</v>
      </c>
      <c r="F3516" t="s">
        <v>1049</v>
      </c>
      <c r="G3516" t="s">
        <v>1862</v>
      </c>
      <c r="H3516">
        <v>-0.04</v>
      </c>
      <c r="I3516">
        <v>1.64</v>
      </c>
      <c r="J3516">
        <v>-2.61</v>
      </c>
      <c r="K3516" t="s">
        <v>14874</v>
      </c>
      <c r="L3516">
        <v>-28.16</v>
      </c>
      <c r="M3516" t="s">
        <v>14875</v>
      </c>
      <c r="N3516">
        <v>0</v>
      </c>
      <c r="O3516" t="s">
        <v>14876</v>
      </c>
      <c r="P3516" t="s">
        <v>14877</v>
      </c>
      <c r="Q3516">
        <v>46.89</v>
      </c>
      <c r="R3516" t="s">
        <v>14878</v>
      </c>
      <c r="S3516">
        <v>-5.5</v>
      </c>
      <c r="T3516">
        <v>16.04</v>
      </c>
      <c r="U3516" t="s">
        <v>4863</v>
      </c>
      <c r="V3516" t="s">
        <v>1067</v>
      </c>
      <c r="W3516" t="s">
        <v>5614</v>
      </c>
      <c r="X3516">
        <v>-2.61</v>
      </c>
      <c r="Y3516" t="s">
        <v>594</v>
      </c>
      <c r="Z3516" t="s">
        <v>3768</v>
      </c>
      <c r="AA3516" t="s">
        <v>5900</v>
      </c>
      <c r="AB3516">
        <v>4.59</v>
      </c>
      <c r="AC3516" t="s">
        <v>856</v>
      </c>
      <c r="AD3516">
        <v>62.59</v>
      </c>
      <c r="AE3516" t="s">
        <v>646</v>
      </c>
      <c r="AF3516">
        <v>6.08</v>
      </c>
      <c r="AG3516">
        <v>0</v>
      </c>
      <c r="AH3516">
        <v>0</v>
      </c>
      <c r="AI3516" s="4">
        <v>40059</v>
      </c>
    </row>
    <row r="3517" spans="1:35">
      <c r="A3517">
        <v>3516</v>
      </c>
      <c r="B3517" t="str">
        <f>"002069"</f>
        <v>002069</v>
      </c>
      <c r="C3517" t="s">
        <v>14879</v>
      </c>
      <c r="D3517" s="4">
        <v>43190</v>
      </c>
      <c r="E3517" t="s">
        <v>2177</v>
      </c>
      <c r="F3517" t="s">
        <v>475</v>
      </c>
      <c r="G3517" t="s">
        <v>2305</v>
      </c>
      <c r="H3517">
        <v>-0.01</v>
      </c>
      <c r="I3517">
        <v>0.47</v>
      </c>
      <c r="J3517">
        <v>-2.61</v>
      </c>
      <c r="K3517" t="s">
        <v>3196</v>
      </c>
      <c r="L3517">
        <v>5.94</v>
      </c>
      <c r="M3517" t="s">
        <v>14880</v>
      </c>
      <c r="N3517">
        <v>5893</v>
      </c>
      <c r="O3517" t="s">
        <v>14881</v>
      </c>
      <c r="P3517" t="s">
        <v>14882</v>
      </c>
      <c r="Q3517">
        <v>-344.18</v>
      </c>
      <c r="R3517" t="s">
        <v>14883</v>
      </c>
      <c r="S3517">
        <v>-2.2200000000000002</v>
      </c>
      <c r="T3517">
        <v>13.71</v>
      </c>
      <c r="U3517" t="s">
        <v>785</v>
      </c>
      <c r="V3517" t="s">
        <v>876</v>
      </c>
      <c r="W3517" t="s">
        <v>978</v>
      </c>
      <c r="X3517">
        <v>-2.61</v>
      </c>
      <c r="Y3517" t="s">
        <v>461</v>
      </c>
      <c r="Z3517" t="s">
        <v>728</v>
      </c>
      <c r="AA3517" t="s">
        <v>699</v>
      </c>
      <c r="AB3517">
        <v>8</v>
      </c>
      <c r="AC3517" t="s">
        <v>681</v>
      </c>
      <c r="AD3517">
        <v>9.09</v>
      </c>
      <c r="AE3517" t="s">
        <v>3639</v>
      </c>
      <c r="AF3517">
        <v>1.37</v>
      </c>
      <c r="AG3517">
        <v>0</v>
      </c>
      <c r="AH3517">
        <v>0</v>
      </c>
      <c r="AI3517" s="4">
        <v>38988</v>
      </c>
    </row>
    <row r="3518" spans="1:35">
      <c r="A3518">
        <v>3517</v>
      </c>
      <c r="B3518" t="str">
        <f>"002312"</f>
        <v>002312</v>
      </c>
      <c r="C3518" t="s">
        <v>14884</v>
      </c>
      <c r="D3518" s="4">
        <v>43190</v>
      </c>
      <c r="E3518" t="s">
        <v>538</v>
      </c>
      <c r="F3518" t="s">
        <v>295</v>
      </c>
      <c r="G3518">
        <v>9726</v>
      </c>
      <c r="H3518">
        <v>-0.06</v>
      </c>
      <c r="I3518">
        <v>2.36</v>
      </c>
      <c r="J3518">
        <v>-2.62</v>
      </c>
      <c r="K3518" t="s">
        <v>64</v>
      </c>
      <c r="L3518">
        <v>-17.32</v>
      </c>
      <c r="M3518" t="s">
        <v>14885</v>
      </c>
      <c r="N3518" t="s">
        <v>14886</v>
      </c>
      <c r="O3518" t="s">
        <v>14887</v>
      </c>
      <c r="P3518" t="s">
        <v>14888</v>
      </c>
      <c r="Q3518">
        <v>-208.16</v>
      </c>
      <c r="R3518" t="s">
        <v>14889</v>
      </c>
      <c r="S3518">
        <v>-0.63</v>
      </c>
      <c r="T3518">
        <v>4.12</v>
      </c>
      <c r="U3518" t="s">
        <v>785</v>
      </c>
      <c r="V3518" t="s">
        <v>728</v>
      </c>
      <c r="W3518" t="s">
        <v>383</v>
      </c>
      <c r="X3518">
        <v>-2.62</v>
      </c>
      <c r="Y3518" t="s">
        <v>340</v>
      </c>
      <c r="Z3518" t="s">
        <v>94</v>
      </c>
      <c r="AA3518" t="s">
        <v>2603</v>
      </c>
      <c r="AB3518">
        <v>1.46</v>
      </c>
      <c r="AC3518" t="s">
        <v>2028</v>
      </c>
      <c r="AD3518">
        <v>90.13</v>
      </c>
      <c r="AE3518" t="s">
        <v>685</v>
      </c>
      <c r="AF3518">
        <v>2.0299999999999998</v>
      </c>
      <c r="AG3518">
        <v>0</v>
      </c>
      <c r="AH3518">
        <v>0</v>
      </c>
      <c r="AI3518" s="4">
        <v>40150</v>
      </c>
    </row>
    <row r="3519" spans="1:35">
      <c r="A3519">
        <v>3518</v>
      </c>
      <c r="B3519" t="str">
        <f>"600720"</f>
        <v>600720</v>
      </c>
      <c r="C3519" t="s">
        <v>14890</v>
      </c>
      <c r="D3519" s="4">
        <v>43190</v>
      </c>
      <c r="E3519" t="s">
        <v>1979</v>
      </c>
      <c r="F3519" t="s">
        <v>1979</v>
      </c>
      <c r="G3519" t="s">
        <v>2645</v>
      </c>
      <c r="H3519">
        <v>-0.18</v>
      </c>
      <c r="I3519">
        <v>6.68</v>
      </c>
      <c r="J3519">
        <v>-2.63</v>
      </c>
      <c r="K3519" t="s">
        <v>1476</v>
      </c>
      <c r="L3519">
        <v>-24.43</v>
      </c>
      <c r="M3519" t="s">
        <v>14891</v>
      </c>
      <c r="N3519">
        <v>0</v>
      </c>
      <c r="O3519" t="s">
        <v>8653</v>
      </c>
      <c r="P3519" t="s">
        <v>14808</v>
      </c>
      <c r="Q3519">
        <v>-14.91</v>
      </c>
      <c r="R3519" t="s">
        <v>2280</v>
      </c>
      <c r="S3519">
        <v>3.23</v>
      </c>
      <c r="T3519">
        <v>3.69</v>
      </c>
      <c r="U3519" t="s">
        <v>2987</v>
      </c>
      <c r="V3519" t="s">
        <v>728</v>
      </c>
      <c r="W3519" t="s">
        <v>2400</v>
      </c>
      <c r="X3519">
        <v>-2.63</v>
      </c>
      <c r="Y3519" t="s">
        <v>351</v>
      </c>
      <c r="Z3519" t="s">
        <v>1263</v>
      </c>
      <c r="AA3519" t="s">
        <v>632</v>
      </c>
      <c r="AB3519">
        <v>1.1100000000000001</v>
      </c>
      <c r="AC3519" t="s">
        <v>428</v>
      </c>
      <c r="AD3519">
        <v>52.4</v>
      </c>
      <c r="AE3519" t="s">
        <v>924</v>
      </c>
      <c r="AF3519">
        <v>1.73</v>
      </c>
      <c r="AG3519">
        <v>0</v>
      </c>
      <c r="AH3519">
        <v>0</v>
      </c>
      <c r="AI3519" s="4">
        <v>35262</v>
      </c>
    </row>
    <row r="3520" spans="1:35">
      <c r="A3520">
        <v>3519</v>
      </c>
      <c r="B3520" t="str">
        <f>"600202"</f>
        <v>600202</v>
      </c>
      <c r="C3520" t="s">
        <v>14892</v>
      </c>
      <c r="D3520" s="4">
        <v>43190</v>
      </c>
      <c r="E3520" t="s">
        <v>1229</v>
      </c>
      <c r="F3520" t="s">
        <v>1229</v>
      </c>
      <c r="G3520" t="s">
        <v>2449</v>
      </c>
      <c r="H3520">
        <v>-0.04</v>
      </c>
      <c r="I3520">
        <v>1.51</v>
      </c>
      <c r="J3520">
        <v>-2.64</v>
      </c>
      <c r="K3520" t="s">
        <v>14893</v>
      </c>
      <c r="L3520">
        <v>40.270000000000003</v>
      </c>
      <c r="M3520" t="s">
        <v>14894</v>
      </c>
      <c r="N3520" t="s">
        <v>14895</v>
      </c>
      <c r="O3520" t="s">
        <v>14894</v>
      </c>
      <c r="P3520" t="s">
        <v>14894</v>
      </c>
      <c r="Q3520">
        <v>37.93</v>
      </c>
      <c r="R3520" t="s">
        <v>14789</v>
      </c>
      <c r="S3520">
        <v>-0.03</v>
      </c>
      <c r="T3520">
        <v>14.94</v>
      </c>
      <c r="U3520" t="s">
        <v>1569</v>
      </c>
      <c r="V3520" t="s">
        <v>1094</v>
      </c>
      <c r="W3520" t="s">
        <v>1128</v>
      </c>
      <c r="X3520">
        <v>-2.64</v>
      </c>
      <c r="Y3520" t="s">
        <v>602</v>
      </c>
      <c r="Z3520" t="s">
        <v>699</v>
      </c>
      <c r="AA3520" t="s">
        <v>3126</v>
      </c>
      <c r="AB3520">
        <v>2.09</v>
      </c>
      <c r="AC3520" t="s">
        <v>1502</v>
      </c>
      <c r="AD3520">
        <v>34.619999999999997</v>
      </c>
      <c r="AE3520" t="s">
        <v>14896</v>
      </c>
      <c r="AF3520">
        <v>0.2</v>
      </c>
      <c r="AG3520">
        <v>0</v>
      </c>
      <c r="AH3520">
        <v>0</v>
      </c>
      <c r="AI3520" s="4">
        <v>36314</v>
      </c>
    </row>
    <row r="3521" spans="1:35">
      <c r="A3521">
        <v>3520</v>
      </c>
      <c r="B3521" t="str">
        <f>"000962"</f>
        <v>000962</v>
      </c>
      <c r="C3521" t="s">
        <v>14897</v>
      </c>
      <c r="D3521" s="4">
        <v>43190</v>
      </c>
      <c r="E3521" t="s">
        <v>335</v>
      </c>
      <c r="F3521" t="s">
        <v>335</v>
      </c>
      <c r="G3521" t="s">
        <v>103</v>
      </c>
      <c r="H3521">
        <v>-7.0000000000000007E-2</v>
      </c>
      <c r="I3521">
        <v>2.44</v>
      </c>
      <c r="J3521">
        <v>-2.66</v>
      </c>
      <c r="K3521" t="s">
        <v>94</v>
      </c>
      <c r="L3521">
        <v>0.35</v>
      </c>
      <c r="M3521" t="s">
        <v>14898</v>
      </c>
      <c r="N3521" t="s">
        <v>14899</v>
      </c>
      <c r="O3521" t="s">
        <v>14900</v>
      </c>
      <c r="P3521" t="s">
        <v>14901</v>
      </c>
      <c r="Q3521">
        <v>44.85</v>
      </c>
      <c r="R3521" t="s">
        <v>14902</v>
      </c>
      <c r="S3521">
        <v>-1.84</v>
      </c>
      <c r="T3521">
        <v>6.63</v>
      </c>
      <c r="U3521" t="s">
        <v>1255</v>
      </c>
      <c r="V3521" t="s">
        <v>77</v>
      </c>
      <c r="W3521" t="s">
        <v>1722</v>
      </c>
      <c r="X3521">
        <v>-2.66</v>
      </c>
      <c r="Y3521" t="s">
        <v>4097</v>
      </c>
      <c r="Z3521" t="s">
        <v>2431</v>
      </c>
      <c r="AA3521" t="s">
        <v>1964</v>
      </c>
      <c r="AB3521">
        <v>2.2599999999999998</v>
      </c>
      <c r="AC3521" t="s">
        <v>699</v>
      </c>
      <c r="AD3521">
        <v>53.57</v>
      </c>
      <c r="AE3521" t="s">
        <v>625</v>
      </c>
      <c r="AF3521">
        <v>2.72</v>
      </c>
      <c r="AG3521">
        <v>0</v>
      </c>
      <c r="AH3521">
        <v>0</v>
      </c>
      <c r="AI3521" s="4">
        <v>36545</v>
      </c>
    </row>
    <row r="3522" spans="1:35">
      <c r="A3522">
        <v>3521</v>
      </c>
      <c r="B3522" t="str">
        <f>"300730"</f>
        <v>300730</v>
      </c>
      <c r="C3522" t="s">
        <v>14903</v>
      </c>
      <c r="D3522" s="4">
        <v>43190</v>
      </c>
      <c r="E3522" t="s">
        <v>505</v>
      </c>
      <c r="F3522" t="s">
        <v>6336</v>
      </c>
      <c r="G3522">
        <v>1453</v>
      </c>
      <c r="H3522">
        <v>-0.06</v>
      </c>
      <c r="I3522">
        <v>2.2799999999999998</v>
      </c>
      <c r="J3522">
        <v>-2.67</v>
      </c>
      <c r="K3522" t="s">
        <v>3099</v>
      </c>
      <c r="L3522">
        <v>-1.07</v>
      </c>
      <c r="M3522" t="s">
        <v>14904</v>
      </c>
      <c r="N3522">
        <v>0</v>
      </c>
      <c r="O3522" t="s">
        <v>13773</v>
      </c>
      <c r="P3522" t="s">
        <v>13788</v>
      </c>
      <c r="Q3522">
        <v>-35.630000000000003</v>
      </c>
      <c r="R3522" t="s">
        <v>804</v>
      </c>
      <c r="S3522">
        <v>0.64</v>
      </c>
      <c r="T3522">
        <v>31.13</v>
      </c>
      <c r="U3522" t="s">
        <v>1012</v>
      </c>
      <c r="V3522" t="s">
        <v>3027</v>
      </c>
      <c r="W3522" t="s">
        <v>2844</v>
      </c>
      <c r="X3522">
        <v>-2.67</v>
      </c>
      <c r="Y3522" t="s">
        <v>1376</v>
      </c>
      <c r="Z3522" t="s">
        <v>443</v>
      </c>
      <c r="AA3522" t="s">
        <v>11239</v>
      </c>
      <c r="AB3522">
        <v>11.33</v>
      </c>
      <c r="AC3522" t="s">
        <v>3726</v>
      </c>
      <c r="AD3522">
        <v>72.59</v>
      </c>
      <c r="AE3522" t="s">
        <v>745</v>
      </c>
      <c r="AF3522">
        <v>0.52</v>
      </c>
      <c r="AG3522">
        <v>0</v>
      </c>
      <c r="AH3522">
        <v>0</v>
      </c>
      <c r="AI3522" s="4">
        <v>43074</v>
      </c>
    </row>
    <row r="3523" spans="1:35">
      <c r="A3523">
        <v>3522</v>
      </c>
      <c r="B3523" t="str">
        <f>"300525"</f>
        <v>300525</v>
      </c>
      <c r="C3523" t="s">
        <v>14905</v>
      </c>
      <c r="D3523" s="4">
        <v>43190</v>
      </c>
      <c r="E3523" t="s">
        <v>802</v>
      </c>
      <c r="F3523" t="s">
        <v>14906</v>
      </c>
      <c r="G3523">
        <v>4218</v>
      </c>
      <c r="H3523">
        <v>-0.1</v>
      </c>
      <c r="I3523">
        <v>3.5</v>
      </c>
      <c r="J3523">
        <v>-2.68</v>
      </c>
      <c r="K3523" t="s">
        <v>9409</v>
      </c>
      <c r="L3523">
        <v>69.44</v>
      </c>
      <c r="M3523" t="s">
        <v>14037</v>
      </c>
      <c r="N3523" t="s">
        <v>8580</v>
      </c>
      <c r="O3523" t="s">
        <v>14035</v>
      </c>
      <c r="P3523" t="s">
        <v>13805</v>
      </c>
      <c r="Q3523">
        <v>-115.8</v>
      </c>
      <c r="R3523" t="s">
        <v>1366</v>
      </c>
      <c r="S3523">
        <v>1.29</v>
      </c>
      <c r="T3523">
        <v>51.27</v>
      </c>
      <c r="U3523" t="s">
        <v>3544</v>
      </c>
      <c r="V3523" t="s">
        <v>4613</v>
      </c>
      <c r="W3523" t="s">
        <v>84</v>
      </c>
      <c r="X3523">
        <v>-2.68</v>
      </c>
      <c r="Y3523" t="s">
        <v>507</v>
      </c>
      <c r="Z3523" t="s">
        <v>1970</v>
      </c>
      <c r="AA3523" t="s">
        <v>1371</v>
      </c>
      <c r="AB3523">
        <v>5.65</v>
      </c>
      <c r="AC3523" t="s">
        <v>2686</v>
      </c>
      <c r="AD3523">
        <v>62.4</v>
      </c>
      <c r="AE3523" t="s">
        <v>89</v>
      </c>
      <c r="AF3523">
        <v>2.06</v>
      </c>
      <c r="AG3523">
        <v>0</v>
      </c>
      <c r="AH3523">
        <v>0</v>
      </c>
      <c r="AI3523" s="4">
        <v>42577</v>
      </c>
    </row>
    <row r="3524" spans="1:35">
      <c r="A3524">
        <v>3523</v>
      </c>
      <c r="B3524" t="str">
        <f>"002512"</f>
        <v>002512</v>
      </c>
      <c r="C3524" t="s">
        <v>14907</v>
      </c>
      <c r="D3524" s="4">
        <v>43190</v>
      </c>
      <c r="E3524" t="s">
        <v>602</v>
      </c>
      <c r="F3524" t="s">
        <v>359</v>
      </c>
      <c r="G3524" t="s">
        <v>6659</v>
      </c>
      <c r="H3524">
        <v>-7.0000000000000007E-2</v>
      </c>
      <c r="I3524">
        <v>2.6</v>
      </c>
      <c r="J3524">
        <v>-2.69</v>
      </c>
      <c r="K3524" t="s">
        <v>1408</v>
      </c>
      <c r="L3524">
        <v>12.86</v>
      </c>
      <c r="M3524" t="s">
        <v>14908</v>
      </c>
      <c r="N3524" t="s">
        <v>14909</v>
      </c>
      <c r="O3524" t="s">
        <v>14910</v>
      </c>
      <c r="P3524" t="s">
        <v>14911</v>
      </c>
      <c r="Q3524">
        <v>-252.65</v>
      </c>
      <c r="R3524" t="s">
        <v>1567</v>
      </c>
      <c r="S3524">
        <v>0.57999999999999996</v>
      </c>
      <c r="T3524">
        <v>10.07</v>
      </c>
      <c r="U3524" t="s">
        <v>3167</v>
      </c>
      <c r="V3524" t="s">
        <v>1313</v>
      </c>
      <c r="W3524" t="s">
        <v>4794</v>
      </c>
      <c r="X3524">
        <v>-2.69</v>
      </c>
      <c r="Y3524" t="s">
        <v>2005</v>
      </c>
      <c r="Z3524" t="s">
        <v>1164</v>
      </c>
      <c r="AA3524" t="s">
        <v>1747</v>
      </c>
      <c r="AB3524">
        <v>3.73</v>
      </c>
      <c r="AC3524" t="s">
        <v>685</v>
      </c>
      <c r="AD3524">
        <v>37.42</v>
      </c>
      <c r="AE3524" t="s">
        <v>699</v>
      </c>
      <c r="AF3524">
        <v>0.99</v>
      </c>
      <c r="AG3524">
        <v>0</v>
      </c>
      <c r="AH3524">
        <v>0</v>
      </c>
      <c r="AI3524" s="4">
        <v>40515</v>
      </c>
    </row>
    <row r="3525" spans="1:35">
      <c r="A3525">
        <v>3524</v>
      </c>
      <c r="B3525" t="str">
        <f>"600695"</f>
        <v>600695</v>
      </c>
      <c r="C3525" t="s">
        <v>14912</v>
      </c>
      <c r="D3525" s="4">
        <v>43190</v>
      </c>
      <c r="E3525" t="s">
        <v>2177</v>
      </c>
      <c r="F3525" t="s">
        <v>160</v>
      </c>
      <c r="G3525">
        <v>0</v>
      </c>
      <c r="H3525">
        <v>-0.03</v>
      </c>
      <c r="I3525">
        <v>0.92</v>
      </c>
      <c r="J3525">
        <v>-2.7</v>
      </c>
      <c r="K3525" t="s">
        <v>9532</v>
      </c>
      <c r="L3525">
        <v>3.9</v>
      </c>
      <c r="M3525" t="s">
        <v>14913</v>
      </c>
      <c r="N3525" t="s">
        <v>2372</v>
      </c>
      <c r="O3525" t="s">
        <v>14914</v>
      </c>
      <c r="P3525" t="s">
        <v>14915</v>
      </c>
      <c r="Q3525">
        <v>-166.05</v>
      </c>
      <c r="R3525" t="s">
        <v>14916</v>
      </c>
      <c r="S3525">
        <v>-0.98</v>
      </c>
      <c r="T3525">
        <v>80.150000000000006</v>
      </c>
      <c r="U3525" t="s">
        <v>1496</v>
      </c>
      <c r="V3525" t="s">
        <v>1733</v>
      </c>
      <c r="W3525" t="s">
        <v>10056</v>
      </c>
      <c r="X3525">
        <v>-2.7</v>
      </c>
      <c r="Y3525" t="s">
        <v>1359</v>
      </c>
      <c r="Z3525" t="s">
        <v>452</v>
      </c>
      <c r="AA3525" t="s">
        <v>1970</v>
      </c>
      <c r="AB3525">
        <v>4.9800000000000004</v>
      </c>
      <c r="AC3525" t="s">
        <v>190</v>
      </c>
      <c r="AD3525">
        <v>64.62</v>
      </c>
      <c r="AE3525" t="s">
        <v>479</v>
      </c>
      <c r="AF3525">
        <v>0.54</v>
      </c>
      <c r="AG3525" t="s">
        <v>1594</v>
      </c>
      <c r="AH3525">
        <v>0</v>
      </c>
      <c r="AI3525" s="4">
        <v>34295</v>
      </c>
    </row>
    <row r="3526" spans="1:35">
      <c r="A3526">
        <v>3525</v>
      </c>
      <c r="B3526" t="str">
        <f>"600654"</f>
        <v>600654</v>
      </c>
      <c r="C3526" t="s">
        <v>14917</v>
      </c>
      <c r="D3526" s="4">
        <v>43190</v>
      </c>
      <c r="E3526" t="s">
        <v>926</v>
      </c>
      <c r="F3526" t="s">
        <v>496</v>
      </c>
      <c r="G3526">
        <v>7505</v>
      </c>
      <c r="H3526">
        <v>-0.04</v>
      </c>
      <c r="I3526">
        <v>1.64</v>
      </c>
      <c r="J3526">
        <v>-2.7</v>
      </c>
      <c r="K3526" t="s">
        <v>391</v>
      </c>
      <c r="L3526">
        <v>144.26</v>
      </c>
      <c r="M3526" t="s">
        <v>14918</v>
      </c>
      <c r="N3526" t="s">
        <v>14919</v>
      </c>
      <c r="O3526" t="s">
        <v>14920</v>
      </c>
      <c r="P3526" t="s">
        <v>14921</v>
      </c>
      <c r="Q3526">
        <v>-69.03</v>
      </c>
      <c r="R3526" t="s">
        <v>14922</v>
      </c>
      <c r="S3526">
        <v>-0.28000000000000003</v>
      </c>
      <c r="T3526">
        <v>9.84</v>
      </c>
      <c r="U3526" t="s">
        <v>2395</v>
      </c>
      <c r="V3526" t="s">
        <v>369</v>
      </c>
      <c r="W3526" t="s">
        <v>104</v>
      </c>
      <c r="X3526">
        <v>-2.7</v>
      </c>
      <c r="Y3526" t="s">
        <v>2809</v>
      </c>
      <c r="Z3526" t="s">
        <v>447</v>
      </c>
      <c r="AA3526" t="s">
        <v>1678</v>
      </c>
      <c r="AB3526">
        <v>1.58</v>
      </c>
      <c r="AC3526" t="s">
        <v>876</v>
      </c>
      <c r="AD3526">
        <v>26.98</v>
      </c>
      <c r="AE3526" t="s">
        <v>1094</v>
      </c>
      <c r="AF3526">
        <v>0.79</v>
      </c>
      <c r="AG3526">
        <v>0</v>
      </c>
      <c r="AH3526">
        <v>0</v>
      </c>
      <c r="AI3526" s="4">
        <v>33226</v>
      </c>
    </row>
    <row r="3527" spans="1:35">
      <c r="A3527">
        <v>3526</v>
      </c>
      <c r="B3527" t="str">
        <f>"600990"</f>
        <v>600990</v>
      </c>
      <c r="C3527" t="s">
        <v>14923</v>
      </c>
      <c r="D3527" s="4">
        <v>43190</v>
      </c>
      <c r="E3527" t="s">
        <v>1689</v>
      </c>
      <c r="F3527" t="s">
        <v>993</v>
      </c>
      <c r="G3527">
        <v>7746</v>
      </c>
      <c r="H3527">
        <v>-0.37</v>
      </c>
      <c r="I3527">
        <v>13.15</v>
      </c>
      <c r="J3527">
        <v>-2.78</v>
      </c>
      <c r="K3527" t="s">
        <v>1402</v>
      </c>
      <c r="L3527">
        <v>-18.23</v>
      </c>
      <c r="M3527" t="s">
        <v>14924</v>
      </c>
      <c r="N3527">
        <v>0</v>
      </c>
      <c r="O3527" t="s">
        <v>14925</v>
      </c>
      <c r="P3527" t="s">
        <v>14926</v>
      </c>
      <c r="Q3527">
        <v>-76.94</v>
      </c>
      <c r="R3527" t="s">
        <v>2131</v>
      </c>
      <c r="S3527">
        <v>5.49</v>
      </c>
      <c r="T3527">
        <v>12.91</v>
      </c>
      <c r="U3527" t="s">
        <v>225</v>
      </c>
      <c r="V3527" t="s">
        <v>588</v>
      </c>
      <c r="W3527" t="s">
        <v>1121</v>
      </c>
      <c r="X3527">
        <v>-2.78</v>
      </c>
      <c r="Y3527" t="s">
        <v>511</v>
      </c>
      <c r="Z3527" t="s">
        <v>2136</v>
      </c>
      <c r="AA3527" t="s">
        <v>669</v>
      </c>
      <c r="AB3527">
        <v>3.52</v>
      </c>
      <c r="AC3527" t="s">
        <v>159</v>
      </c>
      <c r="AD3527">
        <v>34.25</v>
      </c>
      <c r="AE3527" t="s">
        <v>1833</v>
      </c>
      <c r="AF3527">
        <v>5.72</v>
      </c>
      <c r="AG3527">
        <v>0</v>
      </c>
      <c r="AH3527">
        <v>0</v>
      </c>
      <c r="AI3527" s="4">
        <v>38117</v>
      </c>
    </row>
    <row r="3528" spans="1:35">
      <c r="A3528">
        <v>3527</v>
      </c>
      <c r="B3528" t="str">
        <f>"300431"</f>
        <v>300431</v>
      </c>
      <c r="C3528" t="s">
        <v>14927</v>
      </c>
      <c r="D3528" s="4">
        <v>43190</v>
      </c>
      <c r="E3528" t="s">
        <v>47</v>
      </c>
      <c r="F3528" t="s">
        <v>669</v>
      </c>
      <c r="G3528">
        <v>2638</v>
      </c>
      <c r="H3528">
        <v>-0.09</v>
      </c>
      <c r="I3528">
        <v>3.17</v>
      </c>
      <c r="J3528">
        <v>-2.8</v>
      </c>
      <c r="K3528" t="s">
        <v>185</v>
      </c>
      <c r="L3528">
        <v>-13.7</v>
      </c>
      <c r="M3528" t="s">
        <v>12043</v>
      </c>
      <c r="N3528" t="s">
        <v>12844</v>
      </c>
      <c r="O3528" t="s">
        <v>14928</v>
      </c>
      <c r="P3528" t="s">
        <v>14929</v>
      </c>
      <c r="Q3528">
        <v>-79.27</v>
      </c>
      <c r="R3528" t="s">
        <v>344</v>
      </c>
      <c r="S3528">
        <v>1.03</v>
      </c>
      <c r="T3528">
        <v>6.02</v>
      </c>
      <c r="U3528" t="s">
        <v>946</v>
      </c>
      <c r="V3528" t="s">
        <v>1101</v>
      </c>
      <c r="W3528" t="s">
        <v>14930</v>
      </c>
      <c r="X3528">
        <v>-2.8</v>
      </c>
      <c r="Y3528" t="s">
        <v>1255</v>
      </c>
      <c r="Z3528" t="s">
        <v>1284</v>
      </c>
      <c r="AA3528" t="s">
        <v>5471</v>
      </c>
      <c r="AB3528">
        <v>4.55</v>
      </c>
      <c r="AC3528" t="s">
        <v>919</v>
      </c>
      <c r="AD3528">
        <v>33.880000000000003</v>
      </c>
      <c r="AE3528" t="s">
        <v>156</v>
      </c>
      <c r="AF3528">
        <v>1.1399999999999999</v>
      </c>
      <c r="AG3528">
        <v>0</v>
      </c>
      <c r="AH3528">
        <v>0</v>
      </c>
      <c r="AI3528" s="4">
        <v>42087</v>
      </c>
    </row>
    <row r="3529" spans="1:35">
      <c r="A3529">
        <v>3528</v>
      </c>
      <c r="B3529" t="str">
        <f>"300096"</f>
        <v>300096</v>
      </c>
      <c r="C3529" t="s">
        <v>14931</v>
      </c>
      <c r="D3529" s="4">
        <v>43190</v>
      </c>
      <c r="E3529" t="s">
        <v>914</v>
      </c>
      <c r="F3529" t="s">
        <v>137</v>
      </c>
      <c r="G3529" t="s">
        <v>1199</v>
      </c>
      <c r="H3529">
        <v>-0.05</v>
      </c>
      <c r="I3529">
        <v>1.64</v>
      </c>
      <c r="J3529">
        <v>-2.81</v>
      </c>
      <c r="K3529" t="s">
        <v>13888</v>
      </c>
      <c r="L3529">
        <v>59.23</v>
      </c>
      <c r="M3529" t="s">
        <v>14710</v>
      </c>
      <c r="N3529" t="s">
        <v>4610</v>
      </c>
      <c r="O3529" t="s">
        <v>14710</v>
      </c>
      <c r="P3529" t="s">
        <v>14032</v>
      </c>
      <c r="Q3529">
        <v>17.87</v>
      </c>
      <c r="R3529" t="s">
        <v>696</v>
      </c>
      <c r="S3529">
        <v>0.5</v>
      </c>
      <c r="T3529">
        <v>56.91</v>
      </c>
      <c r="U3529" t="s">
        <v>891</v>
      </c>
      <c r="V3529" t="s">
        <v>1082</v>
      </c>
      <c r="W3529" t="s">
        <v>14932</v>
      </c>
      <c r="X3529">
        <v>-2.81</v>
      </c>
      <c r="Y3529" t="s">
        <v>323</v>
      </c>
      <c r="Z3529" t="s">
        <v>353</v>
      </c>
      <c r="AA3529" t="s">
        <v>296</v>
      </c>
      <c r="AB3529">
        <v>5.25</v>
      </c>
      <c r="AC3529" t="s">
        <v>1770</v>
      </c>
      <c r="AD3529">
        <v>37.96</v>
      </c>
      <c r="AE3529" t="s">
        <v>5471</v>
      </c>
      <c r="AF3529">
        <v>0.08</v>
      </c>
      <c r="AG3529">
        <v>0</v>
      </c>
      <c r="AH3529">
        <v>0</v>
      </c>
      <c r="AI3529" s="4">
        <v>40387</v>
      </c>
    </row>
    <row r="3530" spans="1:35">
      <c r="A3530">
        <v>3529</v>
      </c>
      <c r="B3530" t="str">
        <f>"000993"</f>
        <v>000993</v>
      </c>
      <c r="C3530" t="s">
        <v>14933</v>
      </c>
      <c r="D3530" s="4">
        <v>43190</v>
      </c>
      <c r="E3530" t="s">
        <v>2625</v>
      </c>
      <c r="F3530" t="s">
        <v>2751</v>
      </c>
      <c r="G3530">
        <v>9614</v>
      </c>
      <c r="H3530">
        <v>-0.14000000000000001</v>
      </c>
      <c r="I3530">
        <v>4.75</v>
      </c>
      <c r="J3530">
        <v>-2.82</v>
      </c>
      <c r="K3530" t="s">
        <v>4780</v>
      </c>
      <c r="L3530">
        <v>-62.82</v>
      </c>
      <c r="M3530" t="s">
        <v>14934</v>
      </c>
      <c r="N3530" t="s">
        <v>14935</v>
      </c>
      <c r="O3530" t="s">
        <v>14936</v>
      </c>
      <c r="P3530" t="s">
        <v>14937</v>
      </c>
      <c r="Q3530">
        <v>-3537.76</v>
      </c>
      <c r="R3530" t="s">
        <v>12054</v>
      </c>
      <c r="S3530">
        <v>0.09</v>
      </c>
      <c r="T3530">
        <v>5.03</v>
      </c>
      <c r="U3530" t="s">
        <v>511</v>
      </c>
      <c r="V3530" t="s">
        <v>4345</v>
      </c>
      <c r="W3530" t="s">
        <v>1792</v>
      </c>
      <c r="X3530">
        <v>-2.82</v>
      </c>
      <c r="Y3530" t="s">
        <v>867</v>
      </c>
      <c r="Z3530" t="s">
        <v>6541</v>
      </c>
      <c r="AA3530" t="s">
        <v>3193</v>
      </c>
      <c r="AB3530">
        <v>1.1399999999999999</v>
      </c>
      <c r="AC3530" t="s">
        <v>2753</v>
      </c>
      <c r="AD3530">
        <v>54.34</v>
      </c>
      <c r="AE3530" t="s">
        <v>1052</v>
      </c>
      <c r="AF3530">
        <v>3.6</v>
      </c>
      <c r="AG3530">
        <v>0</v>
      </c>
      <c r="AH3530">
        <v>0</v>
      </c>
      <c r="AI3530" s="4">
        <v>36738</v>
      </c>
    </row>
    <row r="3531" spans="1:35">
      <c r="A3531">
        <v>3530</v>
      </c>
      <c r="B3531" t="str">
        <f>"300588"</f>
        <v>300588</v>
      </c>
      <c r="C3531" t="s">
        <v>14938</v>
      </c>
      <c r="D3531" s="4">
        <v>43190</v>
      </c>
      <c r="E3531" t="s">
        <v>1203</v>
      </c>
      <c r="F3531" t="s">
        <v>8275</v>
      </c>
      <c r="G3531">
        <v>2859</v>
      </c>
      <c r="H3531">
        <v>-0.04</v>
      </c>
      <c r="I3531">
        <v>2.2599999999999998</v>
      </c>
      <c r="J3531">
        <v>-2.85</v>
      </c>
      <c r="K3531" t="s">
        <v>7779</v>
      </c>
      <c r="L3531">
        <v>-59.34</v>
      </c>
      <c r="M3531" t="s">
        <v>14939</v>
      </c>
      <c r="N3531">
        <v>0</v>
      </c>
      <c r="O3531" t="s">
        <v>14940</v>
      </c>
      <c r="P3531" t="s">
        <v>14941</v>
      </c>
      <c r="Q3531">
        <v>-566.47</v>
      </c>
      <c r="R3531" t="s">
        <v>321</v>
      </c>
      <c r="S3531">
        <v>0.97</v>
      </c>
      <c r="T3531">
        <v>41.62</v>
      </c>
      <c r="U3531" t="s">
        <v>1094</v>
      </c>
      <c r="V3531" t="s">
        <v>1462</v>
      </c>
      <c r="W3531" t="s">
        <v>8198</v>
      </c>
      <c r="X3531">
        <v>-2.85</v>
      </c>
      <c r="Y3531" t="s">
        <v>2697</v>
      </c>
      <c r="Z3531" t="s">
        <v>2532</v>
      </c>
      <c r="AA3531" t="s">
        <v>1522</v>
      </c>
      <c r="AB3531">
        <v>10.050000000000001</v>
      </c>
      <c r="AC3531" t="s">
        <v>2751</v>
      </c>
      <c r="AD3531">
        <v>36.82</v>
      </c>
      <c r="AE3531" t="s">
        <v>14942</v>
      </c>
      <c r="AF3531">
        <v>0.22</v>
      </c>
      <c r="AG3531">
        <v>0</v>
      </c>
      <c r="AH3531">
        <v>0</v>
      </c>
      <c r="AI3531" s="4">
        <v>42740</v>
      </c>
    </row>
    <row r="3532" spans="1:35">
      <c r="A3532">
        <v>3531</v>
      </c>
      <c r="B3532" t="str">
        <f>"600416"</f>
        <v>600416</v>
      </c>
      <c r="C3532" t="s">
        <v>14943</v>
      </c>
      <c r="D3532" s="4">
        <v>43190</v>
      </c>
      <c r="E3532" t="s">
        <v>1676</v>
      </c>
      <c r="F3532" t="s">
        <v>1835</v>
      </c>
      <c r="G3532" t="s">
        <v>3704</v>
      </c>
      <c r="H3532">
        <v>-0.19</v>
      </c>
      <c r="I3532">
        <v>6.63</v>
      </c>
      <c r="J3532">
        <v>-2.86</v>
      </c>
      <c r="K3532" t="s">
        <v>3639</v>
      </c>
      <c r="L3532">
        <v>-40.98</v>
      </c>
      <c r="M3532" t="s">
        <v>14944</v>
      </c>
      <c r="N3532" t="s">
        <v>9608</v>
      </c>
      <c r="O3532" t="s">
        <v>14944</v>
      </c>
      <c r="P3532" t="s">
        <v>14945</v>
      </c>
      <c r="Q3532">
        <v>-375.77</v>
      </c>
      <c r="R3532" t="s">
        <v>234</v>
      </c>
      <c r="S3532">
        <v>0.27</v>
      </c>
      <c r="T3532">
        <v>8.2899999999999991</v>
      </c>
      <c r="U3532" t="s">
        <v>5503</v>
      </c>
      <c r="V3532" t="s">
        <v>310</v>
      </c>
      <c r="W3532" t="s">
        <v>867</v>
      </c>
      <c r="X3532">
        <v>-2.86</v>
      </c>
      <c r="Y3532" t="s">
        <v>571</v>
      </c>
      <c r="Z3532" t="s">
        <v>1149</v>
      </c>
      <c r="AA3532" t="s">
        <v>699</v>
      </c>
      <c r="AB3532">
        <v>1.0900000000000001</v>
      </c>
      <c r="AC3532" t="s">
        <v>367</v>
      </c>
      <c r="AD3532">
        <v>28.62</v>
      </c>
      <c r="AE3532" t="s">
        <v>777</v>
      </c>
      <c r="AF3532">
        <v>5.15</v>
      </c>
      <c r="AG3532">
        <v>0</v>
      </c>
      <c r="AH3532">
        <v>0</v>
      </c>
      <c r="AI3532" s="4">
        <v>37455</v>
      </c>
    </row>
    <row r="3533" spans="1:35">
      <c r="A3533">
        <v>3532</v>
      </c>
      <c r="B3533" t="str">
        <f>"002194"</f>
        <v>002194</v>
      </c>
      <c r="C3533" t="s">
        <v>14946</v>
      </c>
      <c r="D3533" s="4">
        <v>43190</v>
      </c>
      <c r="E3533" t="s">
        <v>106</v>
      </c>
      <c r="F3533" t="s">
        <v>2178</v>
      </c>
      <c r="G3533">
        <v>9317</v>
      </c>
      <c r="H3533">
        <v>-7.0000000000000007E-2</v>
      </c>
      <c r="I3533">
        <v>2.5499999999999998</v>
      </c>
      <c r="J3533">
        <v>-2.87</v>
      </c>
      <c r="K3533" t="s">
        <v>1489</v>
      </c>
      <c r="L3533">
        <v>-28.51</v>
      </c>
      <c r="M3533" t="s">
        <v>14947</v>
      </c>
      <c r="N3533">
        <v>0</v>
      </c>
      <c r="O3533" t="s">
        <v>14948</v>
      </c>
      <c r="P3533" t="s">
        <v>14949</v>
      </c>
      <c r="Q3533">
        <v>67.38</v>
      </c>
      <c r="R3533" t="s">
        <v>14950</v>
      </c>
      <c r="S3533">
        <v>-0.25</v>
      </c>
      <c r="T3533">
        <v>-0.36</v>
      </c>
      <c r="U3533" t="s">
        <v>516</v>
      </c>
      <c r="V3533" t="s">
        <v>1307</v>
      </c>
      <c r="W3533" t="s">
        <v>48</v>
      </c>
      <c r="X3533">
        <v>-2.87</v>
      </c>
      <c r="Y3533" t="s">
        <v>1295</v>
      </c>
      <c r="Z3533" t="s">
        <v>349</v>
      </c>
      <c r="AA3533" t="s">
        <v>6865</v>
      </c>
      <c r="AB3533">
        <v>1.77</v>
      </c>
      <c r="AC3533" t="s">
        <v>161</v>
      </c>
      <c r="AD3533">
        <v>76.930000000000007</v>
      </c>
      <c r="AE3533" t="s">
        <v>2595</v>
      </c>
      <c r="AF3533">
        <v>1.46</v>
      </c>
      <c r="AG3533">
        <v>0</v>
      </c>
      <c r="AH3533">
        <v>0</v>
      </c>
      <c r="AI3533" s="4">
        <v>39423</v>
      </c>
    </row>
    <row r="3534" spans="1:35">
      <c r="A3534">
        <v>3533</v>
      </c>
      <c r="B3534" t="str">
        <f>"300056"</f>
        <v>300056</v>
      </c>
      <c r="C3534" t="s">
        <v>14951</v>
      </c>
      <c r="D3534" s="4">
        <v>43190</v>
      </c>
      <c r="E3534" t="s">
        <v>479</v>
      </c>
      <c r="F3534" t="s">
        <v>454</v>
      </c>
      <c r="G3534">
        <v>9974</v>
      </c>
      <c r="H3534">
        <v>-0.1</v>
      </c>
      <c r="I3534">
        <v>3.53</v>
      </c>
      <c r="J3534">
        <v>-2.89</v>
      </c>
      <c r="K3534" t="s">
        <v>443</v>
      </c>
      <c r="L3534">
        <v>15.78</v>
      </c>
      <c r="M3534" t="s">
        <v>14952</v>
      </c>
      <c r="N3534">
        <v>0</v>
      </c>
      <c r="O3534" t="s">
        <v>14953</v>
      </c>
      <c r="P3534" t="s">
        <v>14954</v>
      </c>
      <c r="Q3534">
        <v>-111.66</v>
      </c>
      <c r="R3534" t="s">
        <v>10762</v>
      </c>
      <c r="S3534">
        <v>0.1</v>
      </c>
      <c r="T3534">
        <v>19</v>
      </c>
      <c r="U3534" t="s">
        <v>512</v>
      </c>
      <c r="V3534" t="s">
        <v>1214</v>
      </c>
      <c r="W3534" t="s">
        <v>2098</v>
      </c>
      <c r="X3534">
        <v>-2.89</v>
      </c>
      <c r="Y3534" t="s">
        <v>982</v>
      </c>
      <c r="Z3534" t="s">
        <v>323</v>
      </c>
      <c r="AA3534" t="s">
        <v>1627</v>
      </c>
      <c r="AB3534">
        <v>2.0099999999999998</v>
      </c>
      <c r="AC3534" t="s">
        <v>350</v>
      </c>
      <c r="AD3534">
        <v>52.59</v>
      </c>
      <c r="AE3534" t="s">
        <v>3290</v>
      </c>
      <c r="AF3534">
        <v>2.37</v>
      </c>
      <c r="AG3534">
        <v>0</v>
      </c>
      <c r="AH3534">
        <v>0</v>
      </c>
      <c r="AI3534" s="4">
        <v>40235</v>
      </c>
    </row>
    <row r="3535" spans="1:35">
      <c r="A3535">
        <v>3534</v>
      </c>
      <c r="B3535" t="str">
        <f>"002052"</f>
        <v>002052</v>
      </c>
      <c r="C3535" t="s">
        <v>14955</v>
      </c>
      <c r="D3535" s="4">
        <v>43190</v>
      </c>
      <c r="E3535" t="s">
        <v>627</v>
      </c>
      <c r="F3535" t="s">
        <v>627</v>
      </c>
      <c r="G3535">
        <v>9981</v>
      </c>
      <c r="H3535">
        <v>-0.04</v>
      </c>
      <c r="I3535">
        <v>1.21</v>
      </c>
      <c r="J3535">
        <v>-2.91</v>
      </c>
      <c r="K3535" t="s">
        <v>383</v>
      </c>
      <c r="L3535">
        <v>-1.55</v>
      </c>
      <c r="M3535" t="s">
        <v>14956</v>
      </c>
      <c r="N3535" t="s">
        <v>10374</v>
      </c>
      <c r="O3535" t="s">
        <v>14957</v>
      </c>
      <c r="P3535" t="s">
        <v>14958</v>
      </c>
      <c r="Q3535">
        <v>-1877.49</v>
      </c>
      <c r="R3535" t="s">
        <v>14959</v>
      </c>
      <c r="S3535">
        <v>-1.0900000000000001</v>
      </c>
      <c r="T3535">
        <v>12.33</v>
      </c>
      <c r="U3535" t="s">
        <v>115</v>
      </c>
      <c r="V3535" t="s">
        <v>1082</v>
      </c>
      <c r="W3535" t="s">
        <v>203</v>
      </c>
      <c r="X3535">
        <v>-2.91</v>
      </c>
      <c r="Y3535" t="s">
        <v>1021</v>
      </c>
      <c r="Z3535" t="s">
        <v>515</v>
      </c>
      <c r="AA3535" t="s">
        <v>8200</v>
      </c>
      <c r="AB3535">
        <v>3.16</v>
      </c>
      <c r="AC3535" t="s">
        <v>746</v>
      </c>
      <c r="AD3535">
        <v>53.42</v>
      </c>
      <c r="AE3535" t="s">
        <v>648</v>
      </c>
      <c r="AF3535">
        <v>1.18</v>
      </c>
      <c r="AG3535">
        <v>0</v>
      </c>
      <c r="AH3535">
        <v>0</v>
      </c>
      <c r="AI3535" s="4">
        <v>38895</v>
      </c>
    </row>
    <row r="3536" spans="1:35">
      <c r="A3536">
        <v>3535</v>
      </c>
      <c r="B3536" t="str">
        <f>"600512"</f>
        <v>600512</v>
      </c>
      <c r="C3536" t="s">
        <v>14960</v>
      </c>
      <c r="D3536" s="4">
        <v>43190</v>
      </c>
      <c r="E3536" t="s">
        <v>847</v>
      </c>
      <c r="F3536" t="s">
        <v>833</v>
      </c>
      <c r="G3536" t="s">
        <v>5500</v>
      </c>
      <c r="H3536">
        <v>-0.09</v>
      </c>
      <c r="I3536">
        <v>2.83</v>
      </c>
      <c r="J3536">
        <v>-2.94</v>
      </c>
      <c r="K3536" t="s">
        <v>1157</v>
      </c>
      <c r="L3536">
        <v>-10.88</v>
      </c>
      <c r="M3536" t="s">
        <v>14189</v>
      </c>
      <c r="N3536" t="s">
        <v>14961</v>
      </c>
      <c r="O3536" t="s">
        <v>14131</v>
      </c>
      <c r="P3536" t="s">
        <v>14834</v>
      </c>
      <c r="Q3536">
        <v>-487.05</v>
      </c>
      <c r="R3536" t="s">
        <v>1210</v>
      </c>
      <c r="S3536">
        <v>0.11</v>
      </c>
      <c r="T3536">
        <v>11.35</v>
      </c>
      <c r="U3536" t="s">
        <v>1159</v>
      </c>
      <c r="V3536" t="s">
        <v>825</v>
      </c>
      <c r="W3536" t="s">
        <v>382</v>
      </c>
      <c r="X3536">
        <v>-2.94</v>
      </c>
      <c r="Y3536" t="s">
        <v>4162</v>
      </c>
      <c r="Z3536" t="s">
        <v>1175</v>
      </c>
      <c r="AA3536" t="s">
        <v>370</v>
      </c>
      <c r="AB3536">
        <v>0.8</v>
      </c>
      <c r="AC3536" t="s">
        <v>2005</v>
      </c>
      <c r="AD3536">
        <v>42.35</v>
      </c>
      <c r="AE3536" t="s">
        <v>710</v>
      </c>
      <c r="AF3536">
        <v>1.61</v>
      </c>
      <c r="AG3536">
        <v>0</v>
      </c>
      <c r="AH3536">
        <v>0</v>
      </c>
      <c r="AI3536" s="4">
        <v>37616</v>
      </c>
    </row>
    <row r="3537" spans="1:35">
      <c r="A3537">
        <v>3536</v>
      </c>
      <c r="B3537" t="str">
        <f>"300663"</f>
        <v>300663</v>
      </c>
      <c r="C3537" t="s">
        <v>14962</v>
      </c>
      <c r="D3537" s="4">
        <v>43190</v>
      </c>
      <c r="E3537" t="s">
        <v>1853</v>
      </c>
      <c r="F3537" t="s">
        <v>804</v>
      </c>
      <c r="G3537">
        <v>2243</v>
      </c>
      <c r="H3537">
        <v>-0.1</v>
      </c>
      <c r="I3537">
        <v>3.31</v>
      </c>
      <c r="J3537">
        <v>-2.95</v>
      </c>
      <c r="K3537" t="s">
        <v>14963</v>
      </c>
      <c r="L3537">
        <v>13.52</v>
      </c>
      <c r="M3537" t="s">
        <v>14964</v>
      </c>
      <c r="N3537" t="s">
        <v>14965</v>
      </c>
      <c r="O3537" t="s">
        <v>14239</v>
      </c>
      <c r="P3537" t="s">
        <v>14966</v>
      </c>
      <c r="Q3537">
        <v>3.97</v>
      </c>
      <c r="R3537" t="s">
        <v>372</v>
      </c>
      <c r="S3537">
        <v>0.64</v>
      </c>
      <c r="T3537">
        <v>35.46</v>
      </c>
      <c r="U3537" t="s">
        <v>295</v>
      </c>
      <c r="V3537" t="s">
        <v>1496</v>
      </c>
      <c r="W3537" t="s">
        <v>1727</v>
      </c>
      <c r="X3537">
        <v>-2.95</v>
      </c>
      <c r="Y3537" t="s">
        <v>623</v>
      </c>
      <c r="Z3537" t="s">
        <v>623</v>
      </c>
      <c r="AA3537">
        <v>0</v>
      </c>
      <c r="AB3537">
        <v>5.97</v>
      </c>
      <c r="AC3537" t="s">
        <v>1408</v>
      </c>
      <c r="AD3537">
        <v>61.7</v>
      </c>
      <c r="AE3537" t="s">
        <v>2811</v>
      </c>
      <c r="AF3537">
        <v>1.75</v>
      </c>
      <c r="AG3537">
        <v>0</v>
      </c>
      <c r="AH3537">
        <v>0</v>
      </c>
      <c r="AI3537" s="4">
        <v>42894</v>
      </c>
    </row>
    <row r="3538" spans="1:35">
      <c r="A3538">
        <v>3537</v>
      </c>
      <c r="B3538" t="str">
        <f>"002473"</f>
        <v>002473</v>
      </c>
      <c r="C3538" t="s">
        <v>14967</v>
      </c>
      <c r="D3538" s="4">
        <v>43190</v>
      </c>
      <c r="E3538" t="s">
        <v>1203</v>
      </c>
      <c r="F3538" t="s">
        <v>1203</v>
      </c>
      <c r="G3538" t="s">
        <v>3475</v>
      </c>
      <c r="H3538">
        <v>-0.05</v>
      </c>
      <c r="I3538">
        <v>1.72</v>
      </c>
      <c r="J3538">
        <v>-2.96</v>
      </c>
      <c r="K3538" t="s">
        <v>9657</v>
      </c>
      <c r="L3538">
        <v>-17.27</v>
      </c>
      <c r="M3538" t="s">
        <v>14968</v>
      </c>
      <c r="N3538" t="s">
        <v>10516</v>
      </c>
      <c r="O3538" t="s">
        <v>14969</v>
      </c>
      <c r="P3538" t="s">
        <v>13723</v>
      </c>
      <c r="Q3538">
        <v>-46.62</v>
      </c>
      <c r="R3538" t="s">
        <v>13280</v>
      </c>
      <c r="S3538">
        <v>-0.75</v>
      </c>
      <c r="T3538">
        <v>5.99</v>
      </c>
      <c r="U3538" t="s">
        <v>5614</v>
      </c>
      <c r="V3538" t="s">
        <v>290</v>
      </c>
      <c r="W3538" t="s">
        <v>1459</v>
      </c>
      <c r="X3538">
        <v>-2.96</v>
      </c>
      <c r="Y3538" t="s">
        <v>14970</v>
      </c>
      <c r="Z3538" t="s">
        <v>14762</v>
      </c>
      <c r="AA3538" t="s">
        <v>14971</v>
      </c>
      <c r="AB3538">
        <v>3.49</v>
      </c>
      <c r="AC3538" t="s">
        <v>1732</v>
      </c>
      <c r="AD3538">
        <v>76.069999999999993</v>
      </c>
      <c r="AE3538" t="s">
        <v>1435</v>
      </c>
      <c r="AF3538">
        <v>1.39</v>
      </c>
      <c r="AG3538">
        <v>0</v>
      </c>
      <c r="AH3538">
        <v>0</v>
      </c>
      <c r="AI3538" s="4">
        <v>40431</v>
      </c>
    </row>
    <row r="3539" spans="1:35">
      <c r="A3539">
        <v>3538</v>
      </c>
      <c r="B3539" t="str">
        <f>"300111"</f>
        <v>300111</v>
      </c>
      <c r="C3539" t="s">
        <v>14972</v>
      </c>
      <c r="D3539" s="4">
        <v>43190</v>
      </c>
      <c r="E3539" t="s">
        <v>147</v>
      </c>
      <c r="F3539" t="s">
        <v>147</v>
      </c>
      <c r="G3539" t="s">
        <v>708</v>
      </c>
      <c r="H3539">
        <v>-0.03</v>
      </c>
      <c r="I3539">
        <v>1.1399999999999999</v>
      </c>
      <c r="J3539">
        <v>-2.99</v>
      </c>
      <c r="K3539" t="s">
        <v>255</v>
      </c>
      <c r="L3539">
        <v>-0.05</v>
      </c>
      <c r="M3539" t="s">
        <v>14973</v>
      </c>
      <c r="N3539">
        <v>0</v>
      </c>
      <c r="O3539" t="s">
        <v>14974</v>
      </c>
      <c r="P3539" t="s">
        <v>14975</v>
      </c>
      <c r="Q3539">
        <v>-50</v>
      </c>
      <c r="R3539" t="s">
        <v>14976</v>
      </c>
      <c r="S3539">
        <v>-0.11</v>
      </c>
      <c r="T3539">
        <v>4.55</v>
      </c>
      <c r="U3539" t="s">
        <v>981</v>
      </c>
      <c r="V3539" t="s">
        <v>1094</v>
      </c>
      <c r="W3539" t="s">
        <v>840</v>
      </c>
      <c r="X3539">
        <v>-2.99</v>
      </c>
      <c r="Y3539" t="s">
        <v>982</v>
      </c>
      <c r="Z3539" t="s">
        <v>513</v>
      </c>
      <c r="AA3539" t="s">
        <v>4871</v>
      </c>
      <c r="AB3539">
        <v>2.41</v>
      </c>
      <c r="AC3539" t="s">
        <v>1082</v>
      </c>
      <c r="AD3539">
        <v>51.04</v>
      </c>
      <c r="AE3539" t="s">
        <v>454</v>
      </c>
      <c r="AF3539">
        <v>0.19</v>
      </c>
      <c r="AG3539">
        <v>0</v>
      </c>
      <c r="AH3539">
        <v>0</v>
      </c>
      <c r="AI3539" s="4">
        <v>40417</v>
      </c>
    </row>
    <row r="3540" spans="1:35">
      <c r="A3540">
        <v>3539</v>
      </c>
      <c r="B3540" t="str">
        <f>"002830"</f>
        <v>002830</v>
      </c>
      <c r="C3540" t="s">
        <v>14977</v>
      </c>
      <c r="D3540" s="4">
        <v>43190</v>
      </c>
      <c r="E3540" t="s">
        <v>45</v>
      </c>
      <c r="F3540" t="s">
        <v>10665</v>
      </c>
      <c r="G3540">
        <v>2302</v>
      </c>
      <c r="H3540">
        <v>-0.14000000000000001</v>
      </c>
      <c r="I3540">
        <v>4.3099999999999996</v>
      </c>
      <c r="J3540">
        <v>-3.03</v>
      </c>
      <c r="K3540" t="s">
        <v>443</v>
      </c>
      <c r="L3540">
        <v>10.34</v>
      </c>
      <c r="M3540" t="s">
        <v>14978</v>
      </c>
      <c r="N3540" t="s">
        <v>4390</v>
      </c>
      <c r="O3540" t="s">
        <v>14979</v>
      </c>
      <c r="P3540" t="s">
        <v>14980</v>
      </c>
      <c r="Q3540">
        <v>-3.36</v>
      </c>
      <c r="R3540" t="s">
        <v>1995</v>
      </c>
      <c r="S3540">
        <v>1.85</v>
      </c>
      <c r="T3540">
        <v>17.46</v>
      </c>
      <c r="U3540" t="s">
        <v>521</v>
      </c>
      <c r="V3540" t="s">
        <v>2035</v>
      </c>
      <c r="W3540" t="s">
        <v>322</v>
      </c>
      <c r="X3540">
        <v>-3.03</v>
      </c>
      <c r="Y3540" t="s">
        <v>2112</v>
      </c>
      <c r="Z3540" t="s">
        <v>2112</v>
      </c>
      <c r="AA3540">
        <v>0</v>
      </c>
      <c r="AB3540">
        <v>4.95</v>
      </c>
      <c r="AC3540" t="s">
        <v>5084</v>
      </c>
      <c r="AD3540">
        <v>55.82</v>
      </c>
      <c r="AE3540" t="s">
        <v>136</v>
      </c>
      <c r="AF3540">
        <v>1.21</v>
      </c>
      <c r="AG3540">
        <v>0</v>
      </c>
      <c r="AH3540">
        <v>0</v>
      </c>
      <c r="AI3540" s="4">
        <v>42717</v>
      </c>
    </row>
    <row r="3541" spans="1:35">
      <c r="A3541">
        <v>3540</v>
      </c>
      <c r="B3541" t="str">
        <f>"002339"</f>
        <v>002339</v>
      </c>
      <c r="C3541" t="s">
        <v>14981</v>
      </c>
      <c r="D3541" s="4">
        <v>43190</v>
      </c>
      <c r="E3541" t="s">
        <v>1939</v>
      </c>
      <c r="F3541" t="s">
        <v>1791</v>
      </c>
      <c r="G3541">
        <v>5623</v>
      </c>
      <c r="H3541">
        <v>-0.13</v>
      </c>
      <c r="I3541">
        <v>4.26</v>
      </c>
      <c r="J3541">
        <v>-3.04</v>
      </c>
      <c r="K3541" t="s">
        <v>2123</v>
      </c>
      <c r="L3541">
        <v>86.09</v>
      </c>
      <c r="M3541" t="s">
        <v>14982</v>
      </c>
      <c r="N3541" t="s">
        <v>3524</v>
      </c>
      <c r="O3541" t="s">
        <v>14983</v>
      </c>
      <c r="P3541" t="s">
        <v>14984</v>
      </c>
      <c r="Q3541">
        <v>-2.37</v>
      </c>
      <c r="R3541" t="s">
        <v>3490</v>
      </c>
      <c r="S3541">
        <v>1.55</v>
      </c>
      <c r="T3541">
        <v>35.14</v>
      </c>
      <c r="U3541" t="s">
        <v>1127</v>
      </c>
      <c r="V3541" t="s">
        <v>2280</v>
      </c>
      <c r="W3541" t="s">
        <v>1995</v>
      </c>
      <c r="X3541">
        <v>-3.04</v>
      </c>
      <c r="Y3541" t="s">
        <v>759</v>
      </c>
      <c r="Z3541" t="s">
        <v>895</v>
      </c>
      <c r="AA3541" t="s">
        <v>347</v>
      </c>
      <c r="AB3541">
        <v>1.74</v>
      </c>
      <c r="AC3541" t="s">
        <v>115</v>
      </c>
      <c r="AD3541">
        <v>49.89</v>
      </c>
      <c r="AE3541" t="s">
        <v>3368</v>
      </c>
      <c r="AF3541">
        <v>1.53</v>
      </c>
      <c r="AG3541">
        <v>0</v>
      </c>
      <c r="AH3541">
        <v>0</v>
      </c>
      <c r="AI3541" s="4">
        <v>40200</v>
      </c>
    </row>
    <row r="3542" spans="1:35">
      <c r="A3542">
        <v>3541</v>
      </c>
      <c r="B3542" t="str">
        <f>"601118"</f>
        <v>601118</v>
      </c>
      <c r="C3542" t="s">
        <v>14985</v>
      </c>
      <c r="D3542" s="4">
        <v>43190</v>
      </c>
      <c r="E3542" t="s">
        <v>1291</v>
      </c>
      <c r="F3542" t="s">
        <v>230</v>
      </c>
      <c r="G3542" t="s">
        <v>7708</v>
      </c>
      <c r="H3542">
        <v>-0.06</v>
      </c>
      <c r="I3542">
        <v>2.1800000000000002</v>
      </c>
      <c r="J3542">
        <v>-3.06</v>
      </c>
      <c r="K3542" t="s">
        <v>1223</v>
      </c>
      <c r="L3542">
        <v>-27.36</v>
      </c>
      <c r="M3542" t="s">
        <v>8504</v>
      </c>
      <c r="N3542" t="s">
        <v>14986</v>
      </c>
      <c r="O3542" t="s">
        <v>14987</v>
      </c>
      <c r="P3542" t="s">
        <v>14988</v>
      </c>
      <c r="Q3542">
        <v>-1897.59</v>
      </c>
      <c r="R3542" t="s">
        <v>14989</v>
      </c>
      <c r="S3542">
        <v>-0.13</v>
      </c>
      <c r="T3542">
        <v>6.25</v>
      </c>
      <c r="U3542" t="s">
        <v>2654</v>
      </c>
      <c r="V3542" t="s">
        <v>2300</v>
      </c>
      <c r="W3542" t="s">
        <v>1062</v>
      </c>
      <c r="X3542">
        <v>-3.06</v>
      </c>
      <c r="Y3542" t="s">
        <v>1061</v>
      </c>
      <c r="Z3542" t="s">
        <v>1748</v>
      </c>
      <c r="AA3542" t="s">
        <v>148</v>
      </c>
      <c r="AB3542">
        <v>3.04</v>
      </c>
      <c r="AC3542" t="s">
        <v>1311</v>
      </c>
      <c r="AD3542">
        <v>64.08</v>
      </c>
      <c r="AE3542" t="s">
        <v>1338</v>
      </c>
      <c r="AF3542">
        <v>1.22</v>
      </c>
      <c r="AG3542">
        <v>0</v>
      </c>
      <c r="AH3542">
        <v>0</v>
      </c>
      <c r="AI3542" s="4">
        <v>40550</v>
      </c>
    </row>
    <row r="3543" spans="1:35">
      <c r="A3543">
        <v>3542</v>
      </c>
      <c r="B3543" t="str">
        <f>"000638"</f>
        <v>000638</v>
      </c>
      <c r="C3543" t="s">
        <v>14990</v>
      </c>
      <c r="D3543" s="4">
        <v>43190</v>
      </c>
      <c r="E3543" t="s">
        <v>3441</v>
      </c>
      <c r="F3543" t="s">
        <v>3441</v>
      </c>
      <c r="G3543">
        <v>6673</v>
      </c>
      <c r="H3543">
        <v>-0.03</v>
      </c>
      <c r="I3543">
        <v>0.83</v>
      </c>
      <c r="J3543">
        <v>-3.06</v>
      </c>
      <c r="K3543" t="s">
        <v>10903</v>
      </c>
      <c r="L3543">
        <v>-28.02</v>
      </c>
      <c r="M3543" t="s">
        <v>14991</v>
      </c>
      <c r="N3543" t="s">
        <v>14992</v>
      </c>
      <c r="O3543" t="s">
        <v>14991</v>
      </c>
      <c r="P3543" t="s">
        <v>14446</v>
      </c>
      <c r="Q3543">
        <v>-100.86</v>
      </c>
      <c r="R3543" t="s">
        <v>14993</v>
      </c>
      <c r="S3543">
        <v>-0.57999999999999996</v>
      </c>
      <c r="T3543">
        <v>39.93</v>
      </c>
      <c r="U3543" t="s">
        <v>3145</v>
      </c>
      <c r="V3543" t="s">
        <v>2230</v>
      </c>
      <c r="W3543" t="s">
        <v>8255</v>
      </c>
      <c r="X3543">
        <v>-3.06</v>
      </c>
      <c r="Y3543" t="s">
        <v>592</v>
      </c>
      <c r="Z3543" t="s">
        <v>1768</v>
      </c>
      <c r="AA3543" t="s">
        <v>1459</v>
      </c>
      <c r="AB3543">
        <v>6.95</v>
      </c>
      <c r="AC3543" t="s">
        <v>134</v>
      </c>
      <c r="AD3543">
        <v>29.26</v>
      </c>
      <c r="AE3543" t="s">
        <v>280</v>
      </c>
      <c r="AF3543">
        <v>0.39</v>
      </c>
      <c r="AG3543">
        <v>0</v>
      </c>
      <c r="AH3543">
        <v>0</v>
      </c>
      <c r="AI3543" s="4">
        <v>35395</v>
      </c>
    </row>
    <row r="3544" spans="1:35">
      <c r="A3544">
        <v>3543</v>
      </c>
      <c r="B3544" t="str">
        <f>"600890"</f>
        <v>600890</v>
      </c>
      <c r="C3544" t="s">
        <v>14994</v>
      </c>
      <c r="D3544" s="4">
        <v>43190</v>
      </c>
      <c r="E3544" t="s">
        <v>2571</v>
      </c>
      <c r="F3544" t="s">
        <v>2571</v>
      </c>
      <c r="G3544" t="s">
        <v>2980</v>
      </c>
      <c r="H3544">
        <v>-0.02</v>
      </c>
      <c r="I3544">
        <v>0.49</v>
      </c>
      <c r="J3544">
        <v>-3.09</v>
      </c>
      <c r="K3544" t="s">
        <v>14559</v>
      </c>
      <c r="L3544">
        <v>-52.58</v>
      </c>
      <c r="M3544" t="s">
        <v>14995</v>
      </c>
      <c r="N3544" t="s">
        <v>14996</v>
      </c>
      <c r="O3544" t="s">
        <v>14995</v>
      </c>
      <c r="P3544" t="s">
        <v>14995</v>
      </c>
      <c r="Q3544">
        <v>-0.74</v>
      </c>
      <c r="R3544" t="s">
        <v>14997</v>
      </c>
      <c r="S3544">
        <v>-0.69</v>
      </c>
      <c r="T3544">
        <v>-490.09</v>
      </c>
      <c r="U3544" t="s">
        <v>3297</v>
      </c>
      <c r="V3544" t="s">
        <v>262</v>
      </c>
      <c r="W3544" t="s">
        <v>3785</v>
      </c>
      <c r="X3544">
        <v>-3.09</v>
      </c>
      <c r="Y3544" t="s">
        <v>12708</v>
      </c>
      <c r="Z3544" t="s">
        <v>12708</v>
      </c>
      <c r="AA3544">
        <v>0</v>
      </c>
      <c r="AB3544">
        <v>14.17</v>
      </c>
      <c r="AC3544" t="s">
        <v>2729</v>
      </c>
      <c r="AD3544">
        <v>92.8</v>
      </c>
      <c r="AE3544" t="s">
        <v>6953</v>
      </c>
      <c r="AF3544">
        <v>0.04</v>
      </c>
      <c r="AG3544">
        <v>0</v>
      </c>
      <c r="AH3544">
        <v>0</v>
      </c>
      <c r="AI3544" s="4">
        <v>35142</v>
      </c>
    </row>
    <row r="3545" spans="1:35">
      <c r="A3545">
        <v>3544</v>
      </c>
      <c r="B3545" t="str">
        <f>"002655"</f>
        <v>002655</v>
      </c>
      <c r="C3545" t="s">
        <v>14998</v>
      </c>
      <c r="D3545" s="4">
        <v>43190</v>
      </c>
      <c r="E3545" t="s">
        <v>204</v>
      </c>
      <c r="F3545" t="s">
        <v>204</v>
      </c>
      <c r="G3545">
        <v>9792</v>
      </c>
      <c r="H3545">
        <v>-0.04</v>
      </c>
      <c r="I3545">
        <v>1.26</v>
      </c>
      <c r="J3545">
        <v>-3.15</v>
      </c>
      <c r="K3545" t="s">
        <v>1360</v>
      </c>
      <c r="L3545">
        <v>1.75</v>
      </c>
      <c r="M3545" t="s">
        <v>14999</v>
      </c>
      <c r="N3545">
        <v>0</v>
      </c>
      <c r="O3545" t="s">
        <v>14999</v>
      </c>
      <c r="P3545" t="s">
        <v>15000</v>
      </c>
      <c r="Q3545">
        <v>-830.26</v>
      </c>
      <c r="R3545" t="s">
        <v>12983</v>
      </c>
      <c r="S3545">
        <v>0.01</v>
      </c>
      <c r="T3545">
        <v>23.48</v>
      </c>
      <c r="U3545" t="s">
        <v>978</v>
      </c>
      <c r="V3545" t="s">
        <v>140</v>
      </c>
      <c r="W3545" t="s">
        <v>69</v>
      </c>
      <c r="X3545">
        <v>-3.15</v>
      </c>
      <c r="Y3545" t="s">
        <v>108</v>
      </c>
      <c r="Z3545" t="s">
        <v>2392</v>
      </c>
      <c r="AA3545" t="s">
        <v>4739</v>
      </c>
      <c r="AB3545">
        <v>5.94</v>
      </c>
      <c r="AC3545" t="s">
        <v>645</v>
      </c>
      <c r="AD3545">
        <v>43.82</v>
      </c>
      <c r="AE3545" t="s">
        <v>2844</v>
      </c>
      <c r="AF3545">
        <v>0.18</v>
      </c>
      <c r="AG3545">
        <v>0</v>
      </c>
      <c r="AH3545">
        <v>0</v>
      </c>
      <c r="AI3545" s="4">
        <v>40956</v>
      </c>
    </row>
    <row r="3546" spans="1:35">
      <c r="A3546">
        <v>3545</v>
      </c>
      <c r="B3546" t="str">
        <f>"300557"</f>
        <v>300557</v>
      </c>
      <c r="C3546" t="s">
        <v>15001</v>
      </c>
      <c r="D3546" s="4">
        <v>43190</v>
      </c>
      <c r="E3546" t="s">
        <v>10403</v>
      </c>
      <c r="F3546" t="s">
        <v>15002</v>
      </c>
      <c r="G3546">
        <v>3517</v>
      </c>
      <c r="H3546">
        <v>-0.27</v>
      </c>
      <c r="I3546">
        <v>7.87</v>
      </c>
      <c r="J3546">
        <v>-3.17</v>
      </c>
      <c r="K3546" t="s">
        <v>8477</v>
      </c>
      <c r="L3546">
        <v>-82.91</v>
      </c>
      <c r="M3546" t="s">
        <v>15003</v>
      </c>
      <c r="N3546" t="s">
        <v>11760</v>
      </c>
      <c r="O3546" t="s">
        <v>15003</v>
      </c>
      <c r="P3546" t="s">
        <v>15004</v>
      </c>
      <c r="Q3546">
        <v>-203.11</v>
      </c>
      <c r="R3546" t="s">
        <v>321</v>
      </c>
      <c r="S3546">
        <v>2.75</v>
      </c>
      <c r="T3546">
        <v>48.93</v>
      </c>
      <c r="U3546" t="s">
        <v>695</v>
      </c>
      <c r="V3546" t="s">
        <v>1695</v>
      </c>
      <c r="W3546" t="s">
        <v>8789</v>
      </c>
      <c r="X3546">
        <v>-3.17</v>
      </c>
      <c r="Y3546" t="s">
        <v>15005</v>
      </c>
      <c r="Z3546" t="s">
        <v>15006</v>
      </c>
      <c r="AA3546" t="s">
        <v>4880</v>
      </c>
      <c r="AB3546">
        <v>3.65</v>
      </c>
      <c r="AC3546" t="s">
        <v>153</v>
      </c>
      <c r="AD3546">
        <v>80.98</v>
      </c>
      <c r="AE3546" t="s">
        <v>148</v>
      </c>
      <c r="AF3546">
        <v>3.56</v>
      </c>
      <c r="AG3546">
        <v>0</v>
      </c>
      <c r="AH3546">
        <v>0</v>
      </c>
      <c r="AI3546" s="4">
        <v>42675</v>
      </c>
    </row>
    <row r="3547" spans="1:35">
      <c r="A3547">
        <v>3546</v>
      </c>
      <c r="B3547" t="str">
        <f>"600476"</f>
        <v>600476</v>
      </c>
      <c r="C3547" t="s">
        <v>15007</v>
      </c>
      <c r="D3547" s="4">
        <v>43190</v>
      </c>
      <c r="E3547" t="s">
        <v>136</v>
      </c>
      <c r="F3547" t="s">
        <v>136</v>
      </c>
      <c r="G3547">
        <v>7649</v>
      </c>
      <c r="H3547">
        <v>-0.04</v>
      </c>
      <c r="I3547">
        <v>1.2</v>
      </c>
      <c r="J3547">
        <v>-3.22</v>
      </c>
      <c r="K3547" t="s">
        <v>3485</v>
      </c>
      <c r="L3547">
        <v>-4.9000000000000004</v>
      </c>
      <c r="M3547" t="s">
        <v>15008</v>
      </c>
      <c r="N3547" t="s">
        <v>15009</v>
      </c>
      <c r="O3547" t="s">
        <v>15010</v>
      </c>
      <c r="P3547" t="s">
        <v>15010</v>
      </c>
      <c r="Q3547">
        <v>-1069.8499999999999</v>
      </c>
      <c r="R3547" t="s">
        <v>13281</v>
      </c>
      <c r="S3547">
        <v>-0.72</v>
      </c>
      <c r="T3547">
        <v>6.97</v>
      </c>
      <c r="U3547" t="s">
        <v>599</v>
      </c>
      <c r="V3547" t="s">
        <v>1378</v>
      </c>
      <c r="W3547" t="s">
        <v>2425</v>
      </c>
      <c r="X3547">
        <v>-3.22</v>
      </c>
      <c r="Y3547" t="s">
        <v>4614</v>
      </c>
      <c r="Z3547" t="s">
        <v>1004</v>
      </c>
      <c r="AA3547" t="s">
        <v>10281</v>
      </c>
      <c r="AB3547">
        <v>13.48</v>
      </c>
      <c r="AC3547" t="s">
        <v>3332</v>
      </c>
      <c r="AD3547">
        <v>45.66</v>
      </c>
      <c r="AE3547" t="s">
        <v>372</v>
      </c>
      <c r="AF3547">
        <v>0.84</v>
      </c>
      <c r="AG3547">
        <v>0</v>
      </c>
      <c r="AH3547">
        <v>0</v>
      </c>
      <c r="AI3547" s="4">
        <v>37965</v>
      </c>
    </row>
    <row r="3548" spans="1:35">
      <c r="A3548">
        <v>3547</v>
      </c>
      <c r="B3548" t="str">
        <f>"001896"</f>
        <v>001896</v>
      </c>
      <c r="C3548" t="s">
        <v>15011</v>
      </c>
      <c r="D3548" s="4">
        <v>43190</v>
      </c>
      <c r="E3548" t="s">
        <v>973</v>
      </c>
      <c r="F3548" t="s">
        <v>687</v>
      </c>
      <c r="G3548" t="s">
        <v>3640</v>
      </c>
      <c r="H3548">
        <v>-0.17</v>
      </c>
      <c r="I3548">
        <v>5.35</v>
      </c>
      <c r="J3548">
        <v>-3.22</v>
      </c>
      <c r="K3548" t="s">
        <v>1213</v>
      </c>
      <c r="L3548">
        <v>41.59</v>
      </c>
      <c r="M3548" t="s">
        <v>15012</v>
      </c>
      <c r="N3548" t="s">
        <v>15013</v>
      </c>
      <c r="O3548" t="s">
        <v>8377</v>
      </c>
      <c r="P3548" t="s">
        <v>15014</v>
      </c>
      <c r="Q3548">
        <v>-69.37</v>
      </c>
      <c r="R3548" t="s">
        <v>15015</v>
      </c>
      <c r="S3548">
        <v>-0.15</v>
      </c>
      <c r="T3548">
        <v>-5.77</v>
      </c>
      <c r="U3548" t="s">
        <v>4554</v>
      </c>
      <c r="V3548" t="s">
        <v>110</v>
      </c>
      <c r="W3548" t="s">
        <v>1929</v>
      </c>
      <c r="X3548">
        <v>-3.22</v>
      </c>
      <c r="Y3548" t="s">
        <v>1222</v>
      </c>
      <c r="Z3548" t="s">
        <v>4205</v>
      </c>
      <c r="AA3548" t="s">
        <v>3858</v>
      </c>
      <c r="AB3548">
        <v>0.66</v>
      </c>
      <c r="AC3548" t="s">
        <v>4683</v>
      </c>
      <c r="AD3548">
        <v>28.58</v>
      </c>
      <c r="AE3548" t="s">
        <v>573</v>
      </c>
      <c r="AF3548">
        <v>4.3499999999999996</v>
      </c>
      <c r="AG3548">
        <v>0</v>
      </c>
      <c r="AH3548">
        <v>0</v>
      </c>
      <c r="AI3548" s="4">
        <v>35817</v>
      </c>
    </row>
    <row r="3549" spans="1:35">
      <c r="A3549">
        <v>3548</v>
      </c>
      <c r="B3549" t="str">
        <f>"600166"</f>
        <v>600166</v>
      </c>
      <c r="C3549" t="s">
        <v>15016</v>
      </c>
      <c r="D3549" s="4">
        <v>43190</v>
      </c>
      <c r="E3549" t="s">
        <v>1591</v>
      </c>
      <c r="F3549" t="s">
        <v>1591</v>
      </c>
      <c r="G3549" t="s">
        <v>925</v>
      </c>
      <c r="H3549">
        <v>-0.09</v>
      </c>
      <c r="I3549">
        <v>2.76</v>
      </c>
      <c r="J3549">
        <v>-3.24</v>
      </c>
      <c r="K3549" t="s">
        <v>4913</v>
      </c>
      <c r="L3549">
        <v>-14.22</v>
      </c>
      <c r="M3549" t="s">
        <v>15017</v>
      </c>
      <c r="N3549" t="s">
        <v>2360</v>
      </c>
      <c r="O3549" t="s">
        <v>15018</v>
      </c>
      <c r="P3549" t="s">
        <v>15019</v>
      </c>
      <c r="Q3549">
        <v>-792.75</v>
      </c>
      <c r="R3549" t="s">
        <v>820</v>
      </c>
      <c r="S3549">
        <v>0.25</v>
      </c>
      <c r="T3549">
        <v>13.11</v>
      </c>
      <c r="U3549" t="s">
        <v>15020</v>
      </c>
      <c r="V3549" t="s">
        <v>2357</v>
      </c>
      <c r="W3549" t="s">
        <v>1929</v>
      </c>
      <c r="X3549">
        <v>-3.24</v>
      </c>
      <c r="Y3549" t="s">
        <v>8683</v>
      </c>
      <c r="Z3549" t="s">
        <v>5502</v>
      </c>
      <c r="AA3549" t="s">
        <v>2196</v>
      </c>
      <c r="AB3549">
        <v>0.68</v>
      </c>
      <c r="AC3549" t="s">
        <v>962</v>
      </c>
      <c r="AD3549">
        <v>27.72</v>
      </c>
      <c r="AE3549" t="s">
        <v>231</v>
      </c>
      <c r="AF3549">
        <v>1.18</v>
      </c>
      <c r="AG3549">
        <v>0</v>
      </c>
      <c r="AH3549">
        <v>0</v>
      </c>
      <c r="AI3549" s="4">
        <v>35948</v>
      </c>
    </row>
    <row r="3550" spans="1:35">
      <c r="A3550">
        <v>3549</v>
      </c>
      <c r="B3550" t="str">
        <f>"603886"</f>
        <v>603886</v>
      </c>
      <c r="C3550" t="s">
        <v>15021</v>
      </c>
      <c r="D3550" s="4">
        <v>43190</v>
      </c>
      <c r="E3550" t="s">
        <v>94</v>
      </c>
      <c r="F3550" t="s">
        <v>1525</v>
      </c>
      <c r="G3550">
        <v>6258</v>
      </c>
      <c r="H3550">
        <v>-0.12</v>
      </c>
      <c r="I3550">
        <v>4.53</v>
      </c>
      <c r="J3550">
        <v>-3.25</v>
      </c>
      <c r="K3550" t="s">
        <v>2774</v>
      </c>
      <c r="L3550">
        <v>2.4500000000000002</v>
      </c>
      <c r="M3550" t="s">
        <v>15022</v>
      </c>
      <c r="N3550" t="s">
        <v>7877</v>
      </c>
      <c r="O3550" t="s">
        <v>15023</v>
      </c>
      <c r="P3550" t="s">
        <v>15024</v>
      </c>
      <c r="Q3550">
        <v>-57.23</v>
      </c>
      <c r="R3550" t="s">
        <v>144</v>
      </c>
      <c r="S3550">
        <v>0.89</v>
      </c>
      <c r="T3550">
        <v>60.52</v>
      </c>
      <c r="U3550" t="s">
        <v>419</v>
      </c>
      <c r="V3550" t="s">
        <v>973</v>
      </c>
      <c r="W3550" t="s">
        <v>301</v>
      </c>
      <c r="X3550">
        <v>-3.25</v>
      </c>
      <c r="Y3550" t="s">
        <v>1938</v>
      </c>
      <c r="Z3550" t="s">
        <v>2913</v>
      </c>
      <c r="AA3550" t="s">
        <v>7565</v>
      </c>
      <c r="AB3550">
        <v>3.97</v>
      </c>
      <c r="AC3550" t="s">
        <v>625</v>
      </c>
      <c r="AD3550">
        <v>61.26</v>
      </c>
      <c r="AE3550" t="s">
        <v>944</v>
      </c>
      <c r="AF3550">
        <v>2.15</v>
      </c>
      <c r="AG3550">
        <v>0</v>
      </c>
      <c r="AH3550">
        <v>0</v>
      </c>
      <c r="AI3550" s="4">
        <v>42732</v>
      </c>
    </row>
    <row r="3551" spans="1:35">
      <c r="A3551">
        <v>3550</v>
      </c>
      <c r="B3551" t="str">
        <f>"600595"</f>
        <v>600595</v>
      </c>
      <c r="C3551" t="s">
        <v>15025</v>
      </c>
      <c r="D3551" s="4">
        <v>43190</v>
      </c>
      <c r="E3551" t="s">
        <v>419</v>
      </c>
      <c r="F3551" t="s">
        <v>867</v>
      </c>
      <c r="G3551" t="s">
        <v>4665</v>
      </c>
      <c r="H3551">
        <v>-0.09</v>
      </c>
      <c r="I3551">
        <v>2.89</v>
      </c>
      <c r="J3551">
        <v>-3.37</v>
      </c>
      <c r="K3551" t="s">
        <v>1908</v>
      </c>
      <c r="L3551">
        <v>-4.8600000000000003</v>
      </c>
      <c r="M3551" t="s">
        <v>15026</v>
      </c>
      <c r="N3551" t="s">
        <v>631</v>
      </c>
      <c r="O3551" t="s">
        <v>11932</v>
      </c>
      <c r="P3551" t="s">
        <v>15027</v>
      </c>
      <c r="Q3551">
        <v>-5095.9399999999996</v>
      </c>
      <c r="R3551" t="s">
        <v>15028</v>
      </c>
      <c r="S3551">
        <v>-0.18</v>
      </c>
      <c r="T3551">
        <v>-0.84</v>
      </c>
      <c r="U3551" t="s">
        <v>1290</v>
      </c>
      <c r="V3551" t="s">
        <v>2447</v>
      </c>
      <c r="W3551" t="s">
        <v>310</v>
      </c>
      <c r="X3551">
        <v>-3.37</v>
      </c>
      <c r="Y3551" t="s">
        <v>4304</v>
      </c>
      <c r="Z3551" t="s">
        <v>1820</v>
      </c>
      <c r="AA3551" t="s">
        <v>4911</v>
      </c>
      <c r="AB3551">
        <v>0.92</v>
      </c>
      <c r="AC3551" t="s">
        <v>2419</v>
      </c>
      <c r="AD3551">
        <v>22.43</v>
      </c>
      <c r="AE3551" t="s">
        <v>1419</v>
      </c>
      <c r="AF3551">
        <v>1.94</v>
      </c>
      <c r="AG3551">
        <v>0</v>
      </c>
      <c r="AH3551">
        <v>0</v>
      </c>
      <c r="AI3551" s="4">
        <v>37433</v>
      </c>
    </row>
    <row r="3552" spans="1:35">
      <c r="A3552">
        <v>3551</v>
      </c>
      <c r="B3552" t="str">
        <f>"002159"</f>
        <v>002159</v>
      </c>
      <c r="C3552" t="s">
        <v>15029</v>
      </c>
      <c r="D3552" s="4">
        <v>43190</v>
      </c>
      <c r="E3552" t="s">
        <v>657</v>
      </c>
      <c r="F3552" t="s">
        <v>657</v>
      </c>
      <c r="G3552" t="s">
        <v>5615</v>
      </c>
      <c r="H3552">
        <v>-0.2</v>
      </c>
      <c r="I3552">
        <v>5.76</v>
      </c>
      <c r="J3552">
        <v>-3.39</v>
      </c>
      <c r="K3552" t="s">
        <v>804</v>
      </c>
      <c r="L3552">
        <v>19.25</v>
      </c>
      <c r="M3552" t="s">
        <v>14408</v>
      </c>
      <c r="N3552" t="s">
        <v>13423</v>
      </c>
      <c r="O3552" t="s">
        <v>15030</v>
      </c>
      <c r="P3552" t="s">
        <v>15031</v>
      </c>
      <c r="Q3552">
        <v>6.68</v>
      </c>
      <c r="R3552" t="s">
        <v>711</v>
      </c>
      <c r="S3552">
        <v>1</v>
      </c>
      <c r="T3552">
        <v>44.42</v>
      </c>
      <c r="U3552" t="s">
        <v>1308</v>
      </c>
      <c r="V3552" t="s">
        <v>338</v>
      </c>
      <c r="W3552" t="s">
        <v>926</v>
      </c>
      <c r="X3552">
        <v>-3.39</v>
      </c>
      <c r="Y3552" t="s">
        <v>754</v>
      </c>
      <c r="Z3552" t="s">
        <v>973</v>
      </c>
      <c r="AA3552" t="s">
        <v>5080</v>
      </c>
      <c r="AB3552">
        <v>3.29</v>
      </c>
      <c r="AC3552" t="s">
        <v>2908</v>
      </c>
      <c r="AD3552">
        <v>30.02</v>
      </c>
      <c r="AE3552" t="s">
        <v>856</v>
      </c>
      <c r="AF3552">
        <v>3.31</v>
      </c>
      <c r="AG3552">
        <v>0</v>
      </c>
      <c r="AH3552">
        <v>0</v>
      </c>
      <c r="AI3552" s="4">
        <v>39311</v>
      </c>
    </row>
    <row r="3553" spans="1:35">
      <c r="A3553">
        <v>3552</v>
      </c>
      <c r="B3553" t="str">
        <f>"002387"</f>
        <v>002387</v>
      </c>
      <c r="C3553" t="s">
        <v>15032</v>
      </c>
      <c r="D3553" s="4">
        <v>43190</v>
      </c>
      <c r="E3553" t="s">
        <v>971</v>
      </c>
      <c r="F3553" t="s">
        <v>2661</v>
      </c>
      <c r="G3553">
        <v>9211</v>
      </c>
      <c r="H3553">
        <v>-0.14000000000000001</v>
      </c>
      <c r="I3553">
        <v>11.33</v>
      </c>
      <c r="J3553">
        <v>-3.4</v>
      </c>
      <c r="K3553" t="s">
        <v>3140</v>
      </c>
      <c r="L3553">
        <v>110.36</v>
      </c>
      <c r="M3553" t="s">
        <v>15033</v>
      </c>
      <c r="N3553">
        <v>0</v>
      </c>
      <c r="O3553" t="s">
        <v>15033</v>
      </c>
      <c r="P3553" t="s">
        <v>15033</v>
      </c>
      <c r="Q3553">
        <v>-540.38</v>
      </c>
      <c r="R3553" t="s">
        <v>15034</v>
      </c>
      <c r="S3553">
        <v>-0.33</v>
      </c>
      <c r="T3553">
        <v>22.6</v>
      </c>
      <c r="U3553" t="s">
        <v>6007</v>
      </c>
      <c r="V3553" t="s">
        <v>434</v>
      </c>
      <c r="W3553" t="s">
        <v>449</v>
      </c>
      <c r="X3553">
        <v>-3.4</v>
      </c>
      <c r="Y3553" t="s">
        <v>432</v>
      </c>
      <c r="Z3553" t="s">
        <v>1171</v>
      </c>
      <c r="AA3553" t="s">
        <v>4707</v>
      </c>
      <c r="AB3553">
        <v>1.22</v>
      </c>
      <c r="AC3553" t="s">
        <v>788</v>
      </c>
      <c r="AD3553">
        <v>37.33</v>
      </c>
      <c r="AE3553" t="s">
        <v>2654</v>
      </c>
      <c r="AF3553">
        <v>10.65</v>
      </c>
      <c r="AG3553">
        <v>0</v>
      </c>
      <c r="AH3553">
        <v>0</v>
      </c>
      <c r="AI3553" s="4">
        <v>40281</v>
      </c>
    </row>
    <row r="3554" spans="1:35">
      <c r="A3554">
        <v>3553</v>
      </c>
      <c r="B3554" t="str">
        <f>"603099"</f>
        <v>603099</v>
      </c>
      <c r="C3554" t="s">
        <v>15035</v>
      </c>
      <c r="D3554" s="4">
        <v>43190</v>
      </c>
      <c r="E3554" t="s">
        <v>122</v>
      </c>
      <c r="F3554" t="s">
        <v>122</v>
      </c>
      <c r="G3554" t="s">
        <v>5706</v>
      </c>
      <c r="H3554">
        <v>-0.12</v>
      </c>
      <c r="I3554">
        <v>3.45</v>
      </c>
      <c r="J3554">
        <v>-3.41</v>
      </c>
      <c r="K3554" t="s">
        <v>13831</v>
      </c>
      <c r="L3554">
        <v>66.739999999999995</v>
      </c>
      <c r="M3554" t="s">
        <v>15036</v>
      </c>
      <c r="N3554">
        <v>0</v>
      </c>
      <c r="O3554" t="s">
        <v>15037</v>
      </c>
      <c r="P3554" t="s">
        <v>15038</v>
      </c>
      <c r="Q3554">
        <v>-13.62</v>
      </c>
      <c r="R3554" t="s">
        <v>145</v>
      </c>
      <c r="S3554">
        <v>1.1399999999999999</v>
      </c>
      <c r="T3554">
        <v>-39.54</v>
      </c>
      <c r="U3554" t="s">
        <v>147</v>
      </c>
      <c r="V3554" t="s">
        <v>3111</v>
      </c>
      <c r="W3554" t="s">
        <v>1651</v>
      </c>
      <c r="X3554">
        <v>-3.41</v>
      </c>
      <c r="Y3554" t="s">
        <v>844</v>
      </c>
      <c r="Z3554" t="s">
        <v>2424</v>
      </c>
      <c r="AA3554" t="s">
        <v>6313</v>
      </c>
      <c r="AB3554">
        <v>3.39</v>
      </c>
      <c r="AC3554" t="s">
        <v>1506</v>
      </c>
      <c r="AD3554">
        <v>81.75</v>
      </c>
      <c r="AE3554" t="s">
        <v>2507</v>
      </c>
      <c r="AF3554">
        <v>1.07</v>
      </c>
      <c r="AG3554">
        <v>0</v>
      </c>
      <c r="AH3554">
        <v>0</v>
      </c>
      <c r="AI3554" s="4">
        <v>41873</v>
      </c>
    </row>
    <row r="3555" spans="1:35">
      <c r="A3555">
        <v>3554</v>
      </c>
      <c r="B3555" t="str">
        <f>"002689"</f>
        <v>002689</v>
      </c>
      <c r="C3555" t="s">
        <v>15039</v>
      </c>
      <c r="D3555" s="4">
        <v>43190</v>
      </c>
      <c r="E3555" t="s">
        <v>4224</v>
      </c>
      <c r="F3555" t="s">
        <v>3161</v>
      </c>
      <c r="G3555" t="s">
        <v>3091</v>
      </c>
      <c r="H3555">
        <v>-0.05</v>
      </c>
      <c r="I3555">
        <v>1.5</v>
      </c>
      <c r="J3555">
        <v>-3.57</v>
      </c>
      <c r="K3555" t="s">
        <v>745</v>
      </c>
      <c r="L3555">
        <v>5.2</v>
      </c>
      <c r="M3555" t="s">
        <v>15040</v>
      </c>
      <c r="N3555">
        <v>0</v>
      </c>
      <c r="O3555" t="s">
        <v>15041</v>
      </c>
      <c r="P3555" t="s">
        <v>15042</v>
      </c>
      <c r="Q3555">
        <v>-37.46</v>
      </c>
      <c r="R3555" t="s">
        <v>798</v>
      </c>
      <c r="S3555">
        <v>0.28999999999999998</v>
      </c>
      <c r="T3555">
        <v>15.97</v>
      </c>
      <c r="U3555" t="s">
        <v>981</v>
      </c>
      <c r="V3555" t="s">
        <v>848</v>
      </c>
      <c r="W3555" t="s">
        <v>542</v>
      </c>
      <c r="X3555">
        <v>-3.57</v>
      </c>
      <c r="Y3555" t="s">
        <v>699</v>
      </c>
      <c r="Z3555" t="s">
        <v>1946</v>
      </c>
      <c r="AA3555" t="s">
        <v>136</v>
      </c>
      <c r="AB3555">
        <v>2.4</v>
      </c>
      <c r="AC3555" t="s">
        <v>173</v>
      </c>
      <c r="AD3555">
        <v>56.98</v>
      </c>
      <c r="AE3555" t="s">
        <v>1626</v>
      </c>
      <c r="AF3555">
        <v>0.12</v>
      </c>
      <c r="AG3555">
        <v>0</v>
      </c>
      <c r="AH3555">
        <v>0</v>
      </c>
      <c r="AI3555" s="4">
        <v>41107</v>
      </c>
    </row>
    <row r="3556" spans="1:35">
      <c r="A3556">
        <v>3555</v>
      </c>
      <c r="B3556" t="str">
        <f>"002506"</f>
        <v>002506</v>
      </c>
      <c r="C3556" t="s">
        <v>15043</v>
      </c>
      <c r="D3556" s="4">
        <v>43190</v>
      </c>
      <c r="E3556" t="s">
        <v>1061</v>
      </c>
      <c r="F3556" t="s">
        <v>1347</v>
      </c>
      <c r="G3556" t="s">
        <v>1763</v>
      </c>
      <c r="H3556">
        <v>-0.03</v>
      </c>
      <c r="I3556">
        <v>0.81</v>
      </c>
      <c r="J3556">
        <v>-3.58</v>
      </c>
      <c r="K3556" t="s">
        <v>418</v>
      </c>
      <c r="L3556">
        <v>-18.38</v>
      </c>
      <c r="M3556" t="s">
        <v>14859</v>
      </c>
      <c r="N3556" t="s">
        <v>6021</v>
      </c>
      <c r="O3556" t="s">
        <v>15044</v>
      </c>
      <c r="P3556" t="s">
        <v>11948</v>
      </c>
      <c r="Q3556">
        <v>-16.91</v>
      </c>
      <c r="R3556" t="s">
        <v>15045</v>
      </c>
      <c r="S3556">
        <v>-0.74</v>
      </c>
      <c r="T3556">
        <v>12.03</v>
      </c>
      <c r="U3556" t="s">
        <v>2599</v>
      </c>
      <c r="V3556" t="s">
        <v>814</v>
      </c>
      <c r="W3556" t="s">
        <v>2568</v>
      </c>
      <c r="X3556">
        <v>-3.58</v>
      </c>
      <c r="Y3556" t="s">
        <v>2050</v>
      </c>
      <c r="Z3556" t="s">
        <v>1741</v>
      </c>
      <c r="AA3556" t="s">
        <v>980</v>
      </c>
      <c r="AB3556">
        <v>6.14</v>
      </c>
      <c r="AC3556" t="s">
        <v>1545</v>
      </c>
      <c r="AD3556">
        <v>19.48</v>
      </c>
      <c r="AE3556" t="s">
        <v>1308</v>
      </c>
      <c r="AF3556">
        <v>0.53</v>
      </c>
      <c r="AG3556">
        <v>0</v>
      </c>
      <c r="AH3556">
        <v>0</v>
      </c>
      <c r="AI3556" s="4">
        <v>40500</v>
      </c>
    </row>
    <row r="3557" spans="1:35">
      <c r="A3557">
        <v>3556</v>
      </c>
      <c r="B3557" t="str">
        <f>"600385"</f>
        <v>600385</v>
      </c>
      <c r="C3557" t="s">
        <v>15046</v>
      </c>
      <c r="D3557" s="4">
        <v>43190</v>
      </c>
      <c r="E3557" t="s">
        <v>3111</v>
      </c>
      <c r="F3557" t="s">
        <v>326</v>
      </c>
      <c r="G3557" t="s">
        <v>2449</v>
      </c>
      <c r="H3557">
        <v>-0.01</v>
      </c>
      <c r="I3557">
        <v>0.38</v>
      </c>
      <c r="J3557">
        <v>-3.62</v>
      </c>
      <c r="K3557" t="s">
        <v>854</v>
      </c>
      <c r="L3557">
        <v>70.83</v>
      </c>
      <c r="M3557" t="s">
        <v>14670</v>
      </c>
      <c r="N3557">
        <v>0</v>
      </c>
      <c r="O3557" t="s">
        <v>7463</v>
      </c>
      <c r="P3557" t="s">
        <v>7463</v>
      </c>
      <c r="Q3557">
        <v>9.44</v>
      </c>
      <c r="R3557" t="s">
        <v>15047</v>
      </c>
      <c r="S3557">
        <v>-2.77</v>
      </c>
      <c r="T3557">
        <v>93.36</v>
      </c>
      <c r="U3557" t="s">
        <v>136</v>
      </c>
      <c r="V3557" t="s">
        <v>93</v>
      </c>
      <c r="W3557" t="s">
        <v>15048</v>
      </c>
      <c r="X3557">
        <v>-3.62</v>
      </c>
      <c r="Y3557" t="s">
        <v>1475</v>
      </c>
      <c r="Z3557" t="s">
        <v>1475</v>
      </c>
      <c r="AA3557">
        <v>0</v>
      </c>
      <c r="AB3557">
        <v>21.01</v>
      </c>
      <c r="AC3557" t="s">
        <v>15049</v>
      </c>
      <c r="AD3557">
        <v>34.64</v>
      </c>
      <c r="AE3557" t="s">
        <v>1621</v>
      </c>
      <c r="AF3557">
        <v>2.02</v>
      </c>
      <c r="AG3557">
        <v>0</v>
      </c>
      <c r="AH3557">
        <v>0</v>
      </c>
      <c r="AI3557" s="4">
        <v>37095</v>
      </c>
    </row>
    <row r="3558" spans="1:35">
      <c r="A3558">
        <v>3557</v>
      </c>
      <c r="B3558" t="str">
        <f>"000633"</f>
        <v>000633</v>
      </c>
      <c r="C3558" t="s">
        <v>15050</v>
      </c>
      <c r="D3558" s="4">
        <v>43190</v>
      </c>
      <c r="E3558" t="s">
        <v>479</v>
      </c>
      <c r="F3558" t="s">
        <v>479</v>
      </c>
      <c r="G3558" t="s">
        <v>3215</v>
      </c>
      <c r="H3558">
        <v>-0.01</v>
      </c>
      <c r="I3558">
        <v>0.4</v>
      </c>
      <c r="J3558">
        <v>-3.63</v>
      </c>
      <c r="K3558" t="s">
        <v>15051</v>
      </c>
      <c r="L3558">
        <v>57.09</v>
      </c>
      <c r="M3558" t="s">
        <v>15052</v>
      </c>
      <c r="N3558">
        <v>0</v>
      </c>
      <c r="O3558" t="s">
        <v>15052</v>
      </c>
      <c r="P3558" t="s">
        <v>15053</v>
      </c>
      <c r="Q3558">
        <v>26.95</v>
      </c>
      <c r="R3558" t="s">
        <v>15054</v>
      </c>
      <c r="S3558">
        <v>-0.9</v>
      </c>
      <c r="T3558">
        <v>11.86</v>
      </c>
      <c r="U3558" t="s">
        <v>6194</v>
      </c>
      <c r="V3558" t="s">
        <v>66</v>
      </c>
      <c r="W3558" t="s">
        <v>2307</v>
      </c>
      <c r="X3558">
        <v>-3.63</v>
      </c>
      <c r="Y3558" t="s">
        <v>5930</v>
      </c>
      <c r="Z3558" t="s">
        <v>15055</v>
      </c>
      <c r="AA3558" t="s">
        <v>3632</v>
      </c>
      <c r="AB3558">
        <v>19.57</v>
      </c>
      <c r="AC3558" t="s">
        <v>452</v>
      </c>
      <c r="AD3558">
        <v>15.38</v>
      </c>
      <c r="AE3558" t="s">
        <v>12666</v>
      </c>
      <c r="AF3558">
        <v>0.12</v>
      </c>
      <c r="AG3558">
        <v>0</v>
      </c>
      <c r="AH3558">
        <v>0</v>
      </c>
      <c r="AI3558" s="4">
        <v>35381</v>
      </c>
    </row>
    <row r="3559" spans="1:35">
      <c r="A3559">
        <v>3558</v>
      </c>
      <c r="B3559" t="str">
        <f>"300657"</f>
        <v>300657</v>
      </c>
      <c r="C3559" t="s">
        <v>15056</v>
      </c>
      <c r="D3559" s="4">
        <v>43190</v>
      </c>
      <c r="E3559" t="s">
        <v>1119</v>
      </c>
      <c r="F3559" t="s">
        <v>15057</v>
      </c>
      <c r="G3559">
        <v>2285</v>
      </c>
      <c r="H3559">
        <v>-0.18</v>
      </c>
      <c r="I3559">
        <v>4.43</v>
      </c>
      <c r="J3559">
        <v>-3.64</v>
      </c>
      <c r="K3559" t="s">
        <v>2661</v>
      </c>
      <c r="L3559">
        <v>-8.81</v>
      </c>
      <c r="M3559" t="s">
        <v>14665</v>
      </c>
      <c r="N3559" t="s">
        <v>3847</v>
      </c>
      <c r="O3559" t="s">
        <v>15058</v>
      </c>
      <c r="P3559" t="s">
        <v>15059</v>
      </c>
      <c r="Q3559">
        <v>-200.73</v>
      </c>
      <c r="R3559" t="s">
        <v>383</v>
      </c>
      <c r="S3559">
        <v>1.45</v>
      </c>
      <c r="T3559">
        <v>0.63</v>
      </c>
      <c r="U3559" t="s">
        <v>516</v>
      </c>
      <c r="V3559" t="s">
        <v>521</v>
      </c>
      <c r="W3559" t="s">
        <v>1671</v>
      </c>
      <c r="X3559">
        <v>-3.64</v>
      </c>
      <c r="Y3559" t="s">
        <v>971</v>
      </c>
      <c r="Z3559" t="s">
        <v>1033</v>
      </c>
      <c r="AA3559" t="s">
        <v>1366</v>
      </c>
      <c r="AB3559">
        <v>7.11</v>
      </c>
      <c r="AC3559" t="s">
        <v>1596</v>
      </c>
      <c r="AD3559">
        <v>26.53</v>
      </c>
      <c r="AE3559" t="s">
        <v>345</v>
      </c>
      <c r="AF3559">
        <v>1.72</v>
      </c>
      <c r="AG3559">
        <v>0</v>
      </c>
      <c r="AH3559">
        <v>0</v>
      </c>
      <c r="AI3559" s="4">
        <v>42878</v>
      </c>
    </row>
    <row r="3560" spans="1:35">
      <c r="A3560">
        <v>3559</v>
      </c>
      <c r="B3560" t="str">
        <f>"600310"</f>
        <v>600310</v>
      </c>
      <c r="C3560" t="s">
        <v>15060</v>
      </c>
      <c r="D3560" s="4">
        <v>43190</v>
      </c>
      <c r="E3560" t="s">
        <v>619</v>
      </c>
      <c r="F3560" t="s">
        <v>619</v>
      </c>
      <c r="G3560" t="s">
        <v>9465</v>
      </c>
      <c r="H3560">
        <v>-0.09</v>
      </c>
      <c r="I3560">
        <v>2.23</v>
      </c>
      <c r="J3560">
        <v>-3.73</v>
      </c>
      <c r="K3560" t="s">
        <v>457</v>
      </c>
      <c r="L3560">
        <v>97.18</v>
      </c>
      <c r="M3560" t="s">
        <v>15061</v>
      </c>
      <c r="N3560" t="s">
        <v>13588</v>
      </c>
      <c r="O3560" t="s">
        <v>15062</v>
      </c>
      <c r="P3560" t="s">
        <v>15063</v>
      </c>
      <c r="Q3560">
        <v>4.55</v>
      </c>
      <c r="R3560" t="s">
        <v>2360</v>
      </c>
      <c r="S3560">
        <v>0.12</v>
      </c>
      <c r="T3560">
        <v>3.35</v>
      </c>
      <c r="U3560" t="s">
        <v>1279</v>
      </c>
      <c r="V3560" t="s">
        <v>762</v>
      </c>
      <c r="W3560" t="s">
        <v>1542</v>
      </c>
      <c r="X3560">
        <v>-3.73</v>
      </c>
      <c r="Y3560" t="s">
        <v>404</v>
      </c>
      <c r="Z3560" t="s">
        <v>2003</v>
      </c>
      <c r="AA3560" t="s">
        <v>693</v>
      </c>
      <c r="AB3560">
        <v>1.84</v>
      </c>
      <c r="AC3560" t="s">
        <v>891</v>
      </c>
      <c r="AD3560">
        <v>13.56</v>
      </c>
      <c r="AE3560" t="s">
        <v>594</v>
      </c>
      <c r="AF3560">
        <v>0.33</v>
      </c>
      <c r="AG3560">
        <v>0</v>
      </c>
      <c r="AH3560">
        <v>0</v>
      </c>
      <c r="AI3560" s="4">
        <v>36950</v>
      </c>
    </row>
    <row r="3561" spans="1:35">
      <c r="A3561">
        <v>3560</v>
      </c>
      <c r="B3561" t="str">
        <f>"000948"</f>
        <v>000948</v>
      </c>
      <c r="C3561" t="s">
        <v>15064</v>
      </c>
      <c r="D3561" s="4">
        <v>43190</v>
      </c>
      <c r="E3561" t="s">
        <v>2142</v>
      </c>
      <c r="F3561" t="s">
        <v>219</v>
      </c>
      <c r="G3561">
        <v>6962</v>
      </c>
      <c r="H3561">
        <v>-0.22</v>
      </c>
      <c r="I3561">
        <v>5.67</v>
      </c>
      <c r="J3561">
        <v>-3.73</v>
      </c>
      <c r="K3561" t="s">
        <v>3197</v>
      </c>
      <c r="L3561">
        <v>36.1</v>
      </c>
      <c r="M3561" t="s">
        <v>15065</v>
      </c>
      <c r="N3561" t="s">
        <v>8659</v>
      </c>
      <c r="O3561" t="s">
        <v>15066</v>
      </c>
      <c r="P3561" t="s">
        <v>14983</v>
      </c>
      <c r="Q3561">
        <v>-16.73</v>
      </c>
      <c r="R3561" t="s">
        <v>1977</v>
      </c>
      <c r="S3561">
        <v>1.07</v>
      </c>
      <c r="T3561">
        <v>18.71</v>
      </c>
      <c r="U3561" t="s">
        <v>1308</v>
      </c>
      <c r="V3561" t="s">
        <v>754</v>
      </c>
      <c r="W3561" t="s">
        <v>470</v>
      </c>
      <c r="X3561">
        <v>-3.73</v>
      </c>
      <c r="Y3561" t="s">
        <v>300</v>
      </c>
      <c r="Z3561" t="s">
        <v>982</v>
      </c>
      <c r="AA3561" t="s">
        <v>2426</v>
      </c>
      <c r="AB3561">
        <v>1.8</v>
      </c>
      <c r="AC3561" t="s">
        <v>538</v>
      </c>
      <c r="AD3561">
        <v>52.79</v>
      </c>
      <c r="AE3561" t="s">
        <v>1868</v>
      </c>
      <c r="AF3561">
        <v>3.28</v>
      </c>
      <c r="AG3561">
        <v>0</v>
      </c>
      <c r="AH3561">
        <v>0</v>
      </c>
      <c r="AI3561" s="4">
        <v>36447</v>
      </c>
    </row>
    <row r="3562" spans="1:35">
      <c r="A3562">
        <v>3561</v>
      </c>
      <c r="B3562" t="str">
        <f>"000835"</f>
        <v>000835</v>
      </c>
      <c r="C3562" t="s">
        <v>15067</v>
      </c>
      <c r="D3562" s="4">
        <v>43190</v>
      </c>
      <c r="E3562" t="s">
        <v>1400</v>
      </c>
      <c r="F3562" t="s">
        <v>1791</v>
      </c>
      <c r="G3562">
        <v>6681</v>
      </c>
      <c r="H3562">
        <v>-0.05</v>
      </c>
      <c r="I3562">
        <v>1.41</v>
      </c>
      <c r="J3562">
        <v>-3.74</v>
      </c>
      <c r="K3562" t="s">
        <v>4701</v>
      </c>
      <c r="L3562">
        <v>-32.83</v>
      </c>
      <c r="M3562" t="s">
        <v>15068</v>
      </c>
      <c r="N3562" t="s">
        <v>6956</v>
      </c>
      <c r="O3562" t="s">
        <v>15069</v>
      </c>
      <c r="P3562" t="s">
        <v>14914</v>
      </c>
      <c r="Q3562">
        <v>-180.71</v>
      </c>
      <c r="R3562" t="s">
        <v>10072</v>
      </c>
      <c r="S3562">
        <v>0.13</v>
      </c>
      <c r="T3562">
        <v>42.46</v>
      </c>
      <c r="U3562" t="s">
        <v>971</v>
      </c>
      <c r="V3562" t="s">
        <v>89</v>
      </c>
      <c r="W3562" t="s">
        <v>1974</v>
      </c>
      <c r="X3562">
        <v>-3.74</v>
      </c>
      <c r="Y3562" t="s">
        <v>1833</v>
      </c>
      <c r="Z3562" t="s">
        <v>133</v>
      </c>
      <c r="AA3562" t="s">
        <v>647</v>
      </c>
      <c r="AB3562">
        <v>4.29</v>
      </c>
      <c r="AC3562" t="s">
        <v>348</v>
      </c>
      <c r="AD3562">
        <v>33.619999999999997</v>
      </c>
      <c r="AE3562" t="s">
        <v>10497</v>
      </c>
      <c r="AF3562">
        <v>0.28000000000000003</v>
      </c>
      <c r="AG3562">
        <v>0</v>
      </c>
      <c r="AH3562">
        <v>0</v>
      </c>
      <c r="AI3562" s="4">
        <v>36336</v>
      </c>
    </row>
    <row r="3563" spans="1:35">
      <c r="A3563">
        <v>3562</v>
      </c>
      <c r="B3563" t="str">
        <f>"600860"</f>
        <v>600860</v>
      </c>
      <c r="C3563" t="s">
        <v>15070</v>
      </c>
      <c r="D3563" s="4">
        <v>43190</v>
      </c>
      <c r="E3563" t="s">
        <v>662</v>
      </c>
      <c r="F3563" t="s">
        <v>1320</v>
      </c>
      <c r="G3563">
        <v>0</v>
      </c>
      <c r="H3563">
        <v>-0.05</v>
      </c>
      <c r="I3563">
        <v>1.34</v>
      </c>
      <c r="J3563">
        <v>-3.75</v>
      </c>
      <c r="K3563" t="s">
        <v>916</v>
      </c>
      <c r="L3563">
        <v>-12.82</v>
      </c>
      <c r="M3563" t="s">
        <v>15071</v>
      </c>
      <c r="N3563" t="s">
        <v>15072</v>
      </c>
      <c r="O3563" t="s">
        <v>15073</v>
      </c>
      <c r="P3563" t="s">
        <v>15074</v>
      </c>
      <c r="Q3563">
        <v>-14.86</v>
      </c>
      <c r="R3563" t="s">
        <v>15075</v>
      </c>
      <c r="S3563">
        <v>-1.4</v>
      </c>
      <c r="T3563">
        <v>9.44</v>
      </c>
      <c r="U3563" t="s">
        <v>2328</v>
      </c>
      <c r="V3563" t="s">
        <v>895</v>
      </c>
      <c r="W3563" t="s">
        <v>2001</v>
      </c>
      <c r="X3563">
        <v>-3.75</v>
      </c>
      <c r="Y3563" t="s">
        <v>6052</v>
      </c>
      <c r="Z3563" t="s">
        <v>2790</v>
      </c>
      <c r="AA3563" t="s">
        <v>136</v>
      </c>
      <c r="AB3563">
        <v>3.63</v>
      </c>
      <c r="AC3563" t="s">
        <v>3420</v>
      </c>
      <c r="AD3563">
        <v>29.29</v>
      </c>
      <c r="AE3563" t="s">
        <v>475</v>
      </c>
      <c r="AF3563">
        <v>1.63</v>
      </c>
      <c r="AG3563">
        <v>0</v>
      </c>
      <c r="AH3563" t="s">
        <v>2307</v>
      </c>
      <c r="AI3563" s="4">
        <v>34460</v>
      </c>
    </row>
    <row r="3564" spans="1:35">
      <c r="A3564">
        <v>3563</v>
      </c>
      <c r="B3564" t="str">
        <f>"002848"</f>
        <v>002848</v>
      </c>
      <c r="C3564" t="s">
        <v>15076</v>
      </c>
      <c r="D3564" s="4">
        <v>43190</v>
      </c>
      <c r="E3564" t="s">
        <v>321</v>
      </c>
      <c r="F3564" t="s">
        <v>15077</v>
      </c>
      <c r="G3564">
        <v>3945</v>
      </c>
      <c r="H3564">
        <v>-0.15</v>
      </c>
      <c r="I3564">
        <v>3.73</v>
      </c>
      <c r="J3564">
        <v>-3.9</v>
      </c>
      <c r="K3564" t="s">
        <v>64</v>
      </c>
      <c r="L3564">
        <v>-35.08</v>
      </c>
      <c r="M3564" t="s">
        <v>15078</v>
      </c>
      <c r="N3564" t="s">
        <v>15079</v>
      </c>
      <c r="O3564" t="s">
        <v>15080</v>
      </c>
      <c r="P3564" t="s">
        <v>15081</v>
      </c>
      <c r="Q3564">
        <v>-1015.87</v>
      </c>
      <c r="R3564" t="s">
        <v>824</v>
      </c>
      <c r="S3564">
        <v>1.91</v>
      </c>
      <c r="T3564">
        <v>19.690000000000001</v>
      </c>
      <c r="U3564" t="s">
        <v>1384</v>
      </c>
      <c r="V3564" t="s">
        <v>1496</v>
      </c>
      <c r="W3564" t="s">
        <v>452</v>
      </c>
      <c r="X3564">
        <v>-3.9</v>
      </c>
      <c r="Y3564" t="s">
        <v>776</v>
      </c>
      <c r="Z3564" t="s">
        <v>1903</v>
      </c>
      <c r="AA3564" t="s">
        <v>2611</v>
      </c>
      <c r="AB3564">
        <v>3.27</v>
      </c>
      <c r="AC3564" t="s">
        <v>3250</v>
      </c>
      <c r="AD3564">
        <v>44.34</v>
      </c>
      <c r="AE3564" t="s">
        <v>1119</v>
      </c>
      <c r="AF3564">
        <v>0.63</v>
      </c>
      <c r="AG3564">
        <v>0</v>
      </c>
      <c r="AH3564">
        <v>0</v>
      </c>
      <c r="AI3564" s="4">
        <v>42779</v>
      </c>
    </row>
    <row r="3565" spans="1:35">
      <c r="A3565">
        <v>3564</v>
      </c>
      <c r="B3565" t="str">
        <f>"603083"</f>
        <v>603083</v>
      </c>
      <c r="C3565" t="s">
        <v>15082</v>
      </c>
      <c r="D3565" s="4">
        <v>43190</v>
      </c>
      <c r="E3565" t="s">
        <v>15083</v>
      </c>
      <c r="F3565" t="s">
        <v>15084</v>
      </c>
      <c r="G3565">
        <v>1424</v>
      </c>
      <c r="H3565">
        <v>-0.42</v>
      </c>
      <c r="I3565">
        <v>10.41</v>
      </c>
      <c r="J3565">
        <v>-3.95</v>
      </c>
      <c r="K3565" t="s">
        <v>487</v>
      </c>
      <c r="L3565">
        <v>49.08</v>
      </c>
      <c r="M3565" t="s">
        <v>15085</v>
      </c>
      <c r="N3565">
        <v>0</v>
      </c>
      <c r="O3565" t="s">
        <v>15085</v>
      </c>
      <c r="P3565" t="s">
        <v>15085</v>
      </c>
      <c r="Q3565">
        <v>-230.24</v>
      </c>
      <c r="R3565" t="s">
        <v>342</v>
      </c>
      <c r="S3565">
        <v>3.11</v>
      </c>
      <c r="T3565">
        <v>5.77</v>
      </c>
      <c r="U3565" t="s">
        <v>865</v>
      </c>
      <c r="V3565" t="s">
        <v>747</v>
      </c>
      <c r="W3565" t="s">
        <v>1939</v>
      </c>
      <c r="X3565">
        <v>-3.95</v>
      </c>
      <c r="Y3565" t="s">
        <v>1082</v>
      </c>
      <c r="Z3565" t="s">
        <v>405</v>
      </c>
      <c r="AA3565" t="s">
        <v>11836</v>
      </c>
      <c r="AB3565">
        <v>3.07</v>
      </c>
      <c r="AC3565" t="s">
        <v>1496</v>
      </c>
      <c r="AD3565">
        <v>44.46</v>
      </c>
      <c r="AE3565" t="s">
        <v>2094</v>
      </c>
      <c r="AF3565">
        <v>5.96</v>
      </c>
      <c r="AG3565">
        <v>0</v>
      </c>
      <c r="AH3565">
        <v>0</v>
      </c>
      <c r="AI3565" s="4">
        <v>43049</v>
      </c>
    </row>
    <row r="3566" spans="1:35">
      <c r="A3566">
        <v>3565</v>
      </c>
      <c r="B3566" t="str">
        <f>"002417"</f>
        <v>002417</v>
      </c>
      <c r="C3566" t="s">
        <v>15086</v>
      </c>
      <c r="D3566" s="4">
        <v>43190</v>
      </c>
      <c r="E3566" t="s">
        <v>1977</v>
      </c>
      <c r="F3566" t="s">
        <v>509</v>
      </c>
      <c r="G3566">
        <v>9918</v>
      </c>
      <c r="H3566">
        <v>-0.05</v>
      </c>
      <c r="I3566">
        <v>1.24</v>
      </c>
      <c r="J3566">
        <v>-3.96</v>
      </c>
      <c r="K3566" t="s">
        <v>7623</v>
      </c>
      <c r="L3566">
        <v>-81.290000000000006</v>
      </c>
      <c r="M3566" t="s">
        <v>15087</v>
      </c>
      <c r="N3566" t="s">
        <v>14314</v>
      </c>
      <c r="O3566" t="s">
        <v>15087</v>
      </c>
      <c r="P3566" t="s">
        <v>15087</v>
      </c>
      <c r="Q3566">
        <v>-427.01</v>
      </c>
      <c r="R3566" t="s">
        <v>15088</v>
      </c>
      <c r="S3566">
        <v>-1.37</v>
      </c>
      <c r="T3566">
        <v>93.3</v>
      </c>
      <c r="U3566" t="s">
        <v>750</v>
      </c>
      <c r="V3566" t="s">
        <v>1682</v>
      </c>
      <c r="W3566" t="s">
        <v>2748</v>
      </c>
      <c r="X3566">
        <v>-3.96</v>
      </c>
      <c r="Y3566" t="s">
        <v>7998</v>
      </c>
      <c r="Z3566" t="s">
        <v>7998</v>
      </c>
      <c r="AA3566">
        <v>0</v>
      </c>
      <c r="AB3566">
        <v>7.55</v>
      </c>
      <c r="AC3566" t="s">
        <v>52</v>
      </c>
      <c r="AD3566">
        <v>85.3</v>
      </c>
      <c r="AE3566" t="s">
        <v>2811</v>
      </c>
      <c r="AF3566">
        <v>1.51</v>
      </c>
      <c r="AG3566">
        <v>0</v>
      </c>
      <c r="AH3566">
        <v>0</v>
      </c>
      <c r="AI3566" s="4">
        <v>40330</v>
      </c>
    </row>
    <row r="3567" spans="1:35">
      <c r="A3567">
        <v>3566</v>
      </c>
      <c r="B3567" t="str">
        <f>"002175"</f>
        <v>002175</v>
      </c>
      <c r="C3567" t="s">
        <v>15089</v>
      </c>
      <c r="D3567" s="4">
        <v>43190</v>
      </c>
      <c r="E3567" t="s">
        <v>4306</v>
      </c>
      <c r="F3567" t="s">
        <v>5842</v>
      </c>
      <c r="G3567">
        <v>6444</v>
      </c>
      <c r="H3567">
        <v>-0.05</v>
      </c>
      <c r="I3567">
        <v>1.34</v>
      </c>
      <c r="J3567">
        <v>-3.98</v>
      </c>
      <c r="K3567" t="s">
        <v>5521</v>
      </c>
      <c r="L3567">
        <v>-76.55</v>
      </c>
      <c r="M3567" t="s">
        <v>15090</v>
      </c>
      <c r="N3567" t="s">
        <v>2184</v>
      </c>
      <c r="O3567" t="s">
        <v>15091</v>
      </c>
      <c r="P3567" t="s">
        <v>15092</v>
      </c>
      <c r="Q3567">
        <v>-228.54</v>
      </c>
      <c r="R3567" t="s">
        <v>15093</v>
      </c>
      <c r="S3567">
        <v>-0.21</v>
      </c>
      <c r="T3567">
        <v>-3.82</v>
      </c>
      <c r="U3567" t="s">
        <v>1920</v>
      </c>
      <c r="V3567" t="s">
        <v>226</v>
      </c>
      <c r="W3567" t="s">
        <v>204</v>
      </c>
      <c r="X3567">
        <v>-3.98</v>
      </c>
      <c r="Y3567" t="s">
        <v>4539</v>
      </c>
      <c r="Z3567" t="s">
        <v>5703</v>
      </c>
      <c r="AA3567" t="s">
        <v>15094</v>
      </c>
      <c r="AB3567">
        <v>2.7</v>
      </c>
      <c r="AC3567" t="s">
        <v>1094</v>
      </c>
      <c r="AD3567">
        <v>49.02</v>
      </c>
      <c r="AE3567" t="s">
        <v>165</v>
      </c>
      <c r="AF3567">
        <v>0.51</v>
      </c>
      <c r="AG3567">
        <v>0</v>
      </c>
      <c r="AH3567">
        <v>0</v>
      </c>
      <c r="AI3567" s="4">
        <v>39367</v>
      </c>
    </row>
    <row r="3568" spans="1:35">
      <c r="A3568">
        <v>3567</v>
      </c>
      <c r="B3568" t="str">
        <f>"600556"</f>
        <v>600556</v>
      </c>
      <c r="C3568" t="s">
        <v>15095</v>
      </c>
      <c r="D3568" s="4">
        <v>43190</v>
      </c>
      <c r="E3568" t="s">
        <v>2468</v>
      </c>
      <c r="F3568" t="s">
        <v>2468</v>
      </c>
      <c r="G3568" t="s">
        <v>4418</v>
      </c>
      <c r="H3568">
        <v>-0.01</v>
      </c>
      <c r="I3568">
        <v>0.19</v>
      </c>
      <c r="J3568">
        <v>-3.99</v>
      </c>
      <c r="K3568" t="s">
        <v>55</v>
      </c>
      <c r="L3568">
        <v>211.96</v>
      </c>
      <c r="M3568" t="s">
        <v>14490</v>
      </c>
      <c r="N3568">
        <v>1</v>
      </c>
      <c r="O3568" t="s">
        <v>15096</v>
      </c>
      <c r="P3568" t="s">
        <v>13479</v>
      </c>
      <c r="Q3568">
        <v>-58.27</v>
      </c>
      <c r="R3568" t="s">
        <v>15097</v>
      </c>
      <c r="S3568">
        <v>-2.06</v>
      </c>
      <c r="T3568">
        <v>3.7</v>
      </c>
      <c r="U3568" t="s">
        <v>209</v>
      </c>
      <c r="V3568" t="s">
        <v>1459</v>
      </c>
      <c r="W3568" t="s">
        <v>9606</v>
      </c>
      <c r="X3568">
        <v>-3.99</v>
      </c>
      <c r="Y3568" t="s">
        <v>13405</v>
      </c>
      <c r="Z3568" t="s">
        <v>7676</v>
      </c>
      <c r="AA3568" t="s">
        <v>8216</v>
      </c>
      <c r="AB3568">
        <v>21.8</v>
      </c>
      <c r="AC3568" t="s">
        <v>11727</v>
      </c>
      <c r="AD3568">
        <v>60.99</v>
      </c>
      <c r="AE3568" t="s">
        <v>2222</v>
      </c>
      <c r="AF3568">
        <v>1.1499999999999999</v>
      </c>
      <c r="AG3568">
        <v>0</v>
      </c>
      <c r="AH3568">
        <v>0</v>
      </c>
      <c r="AI3568" s="4">
        <v>37110</v>
      </c>
    </row>
    <row r="3569" spans="1:35">
      <c r="A3569">
        <v>3568</v>
      </c>
      <c r="B3569" t="str">
        <f>"300216"</f>
        <v>300216</v>
      </c>
      <c r="C3569" t="s">
        <v>15098</v>
      </c>
      <c r="D3569" s="4">
        <v>43190</v>
      </c>
      <c r="E3569" t="s">
        <v>265</v>
      </c>
      <c r="F3569" t="s">
        <v>478</v>
      </c>
      <c r="G3569">
        <v>4762</v>
      </c>
      <c r="H3569">
        <v>-0.22</v>
      </c>
      <c r="I3569">
        <v>1.64</v>
      </c>
      <c r="J3569">
        <v>-4.0199999999999996</v>
      </c>
      <c r="K3569" t="s">
        <v>13073</v>
      </c>
      <c r="L3569">
        <v>-7.18</v>
      </c>
      <c r="M3569" t="s">
        <v>15099</v>
      </c>
      <c r="N3569" t="s">
        <v>13414</v>
      </c>
      <c r="O3569" t="s">
        <v>15100</v>
      </c>
      <c r="P3569" t="s">
        <v>15101</v>
      </c>
      <c r="Q3569">
        <v>-21.17</v>
      </c>
      <c r="R3569" t="s">
        <v>15102</v>
      </c>
      <c r="S3569">
        <v>-0.17</v>
      </c>
      <c r="T3569">
        <v>29.72</v>
      </c>
      <c r="U3569" t="s">
        <v>3016</v>
      </c>
      <c r="V3569" t="s">
        <v>1546</v>
      </c>
      <c r="W3569" t="s">
        <v>456</v>
      </c>
      <c r="X3569">
        <v>-4.0199999999999996</v>
      </c>
      <c r="Y3569" t="s">
        <v>1486</v>
      </c>
      <c r="Z3569" t="s">
        <v>423</v>
      </c>
      <c r="AA3569" t="s">
        <v>3368</v>
      </c>
      <c r="AB3569">
        <v>3.38</v>
      </c>
      <c r="AC3569" t="s">
        <v>456</v>
      </c>
      <c r="AD3569">
        <v>13.41</v>
      </c>
      <c r="AE3569" t="s">
        <v>1484</v>
      </c>
      <c r="AF3569">
        <v>0.62</v>
      </c>
      <c r="AG3569">
        <v>0</v>
      </c>
      <c r="AH3569">
        <v>0</v>
      </c>
      <c r="AI3569" s="4">
        <v>40674</v>
      </c>
    </row>
    <row r="3570" spans="1:35">
      <c r="A3570">
        <v>3569</v>
      </c>
      <c r="B3570" t="str">
        <f>"300672"</f>
        <v>300672</v>
      </c>
      <c r="C3570" t="s">
        <v>15103</v>
      </c>
      <c r="D3570" s="4">
        <v>43190</v>
      </c>
      <c r="E3570" t="s">
        <v>355</v>
      </c>
      <c r="F3570" t="s">
        <v>3781</v>
      </c>
      <c r="G3570">
        <v>1858</v>
      </c>
      <c r="H3570">
        <v>-0.34</v>
      </c>
      <c r="I3570">
        <v>8.33</v>
      </c>
      <c r="J3570">
        <v>-4.03</v>
      </c>
      <c r="K3570" t="s">
        <v>7923</v>
      </c>
      <c r="L3570">
        <v>-5.15</v>
      </c>
      <c r="M3570" t="s">
        <v>15104</v>
      </c>
      <c r="N3570" t="s">
        <v>6628</v>
      </c>
      <c r="O3570" t="s">
        <v>15104</v>
      </c>
      <c r="P3570" t="s">
        <v>15105</v>
      </c>
      <c r="Q3570">
        <v>-40.79</v>
      </c>
      <c r="R3570" t="s">
        <v>804</v>
      </c>
      <c r="S3570">
        <v>0.99</v>
      </c>
      <c r="T3570">
        <v>28.62</v>
      </c>
      <c r="U3570" t="s">
        <v>5864</v>
      </c>
      <c r="V3570" t="s">
        <v>2295</v>
      </c>
      <c r="W3570" t="s">
        <v>15106</v>
      </c>
      <c r="X3570">
        <v>-4.03</v>
      </c>
      <c r="Y3570" t="s">
        <v>15107</v>
      </c>
      <c r="Z3570" t="s">
        <v>14340</v>
      </c>
      <c r="AA3570" t="s">
        <v>9140</v>
      </c>
      <c r="AB3570">
        <v>6.24</v>
      </c>
      <c r="AC3570" t="s">
        <v>903</v>
      </c>
      <c r="AD3570">
        <v>97.51</v>
      </c>
      <c r="AE3570" t="s">
        <v>1493</v>
      </c>
      <c r="AF3570">
        <v>6.21</v>
      </c>
      <c r="AG3570">
        <v>0</v>
      </c>
      <c r="AH3570">
        <v>0</v>
      </c>
      <c r="AI3570" s="4">
        <v>42928</v>
      </c>
    </row>
    <row r="3571" spans="1:35">
      <c r="A3571">
        <v>3570</v>
      </c>
      <c r="B3571" t="str">
        <f>"000010"</f>
        <v>000010</v>
      </c>
      <c r="C3571" t="s">
        <v>15108</v>
      </c>
      <c r="D3571" s="4">
        <v>43190</v>
      </c>
      <c r="E3571" t="s">
        <v>4354</v>
      </c>
      <c r="F3571" t="s">
        <v>4427</v>
      </c>
      <c r="G3571">
        <v>9354</v>
      </c>
      <c r="H3571">
        <v>-0.06</v>
      </c>
      <c r="I3571">
        <v>1.35</v>
      </c>
      <c r="J3571">
        <v>-4.12</v>
      </c>
      <c r="K3571" t="s">
        <v>15109</v>
      </c>
      <c r="L3571">
        <v>-22.87</v>
      </c>
      <c r="M3571" t="s">
        <v>15110</v>
      </c>
      <c r="N3571" t="s">
        <v>3842</v>
      </c>
      <c r="O3571" t="s">
        <v>15110</v>
      </c>
      <c r="P3571" t="s">
        <v>15111</v>
      </c>
      <c r="Q3571">
        <v>-82.55</v>
      </c>
      <c r="R3571" t="s">
        <v>15112</v>
      </c>
      <c r="S3571">
        <v>-1.49</v>
      </c>
      <c r="T3571">
        <v>9.16</v>
      </c>
      <c r="U3571" t="s">
        <v>2499</v>
      </c>
      <c r="V3571" t="s">
        <v>451</v>
      </c>
      <c r="W3571" t="s">
        <v>15113</v>
      </c>
      <c r="X3571">
        <v>-4.12</v>
      </c>
      <c r="Y3571" t="s">
        <v>1343</v>
      </c>
      <c r="Z3571" t="s">
        <v>1052</v>
      </c>
      <c r="AA3571" t="s">
        <v>15114</v>
      </c>
      <c r="AB3571">
        <v>2.8</v>
      </c>
      <c r="AC3571" t="s">
        <v>323</v>
      </c>
      <c r="AD3571">
        <v>38.380000000000003</v>
      </c>
      <c r="AE3571" t="s">
        <v>855</v>
      </c>
      <c r="AF3571">
        <v>1.82</v>
      </c>
      <c r="AG3571">
        <v>0</v>
      </c>
      <c r="AH3571">
        <v>0</v>
      </c>
      <c r="AI3571" s="4">
        <v>34999</v>
      </c>
    </row>
    <row r="3572" spans="1:35">
      <c r="A3572">
        <v>3571</v>
      </c>
      <c r="B3572" t="str">
        <f>"600768"</f>
        <v>600768</v>
      </c>
      <c r="C3572" t="s">
        <v>15115</v>
      </c>
      <c r="D3572" s="4">
        <v>43190</v>
      </c>
      <c r="E3572" t="s">
        <v>595</v>
      </c>
      <c r="F3572" t="s">
        <v>595</v>
      </c>
      <c r="G3572" t="s">
        <v>4763</v>
      </c>
      <c r="H3572">
        <v>-0.04</v>
      </c>
      <c r="I3572">
        <v>0.97</v>
      </c>
      <c r="J3572">
        <v>-4.1900000000000004</v>
      </c>
      <c r="K3572" t="s">
        <v>1936</v>
      </c>
      <c r="L3572">
        <v>-12.51</v>
      </c>
      <c r="M3572" t="s">
        <v>13688</v>
      </c>
      <c r="N3572">
        <v>0</v>
      </c>
      <c r="O3572" t="s">
        <v>13688</v>
      </c>
      <c r="P3572" t="s">
        <v>15116</v>
      </c>
      <c r="Q3572">
        <v>33.840000000000003</v>
      </c>
      <c r="R3572" t="s">
        <v>14184</v>
      </c>
      <c r="S3572">
        <v>-0.16</v>
      </c>
      <c r="T3572">
        <v>1.69</v>
      </c>
      <c r="U3572" t="s">
        <v>2922</v>
      </c>
      <c r="V3572" t="s">
        <v>325</v>
      </c>
      <c r="W3572" t="s">
        <v>1203</v>
      </c>
      <c r="X3572">
        <v>-4.1900000000000004</v>
      </c>
      <c r="Y3572" t="s">
        <v>349</v>
      </c>
      <c r="Z3572" t="s">
        <v>3197</v>
      </c>
      <c r="AA3572" t="s">
        <v>15117</v>
      </c>
      <c r="AB3572">
        <v>11.4</v>
      </c>
      <c r="AC3572" t="s">
        <v>802</v>
      </c>
      <c r="AD3572">
        <v>23.92</v>
      </c>
      <c r="AE3572" t="s">
        <v>15118</v>
      </c>
      <c r="AF3572">
        <v>0.03</v>
      </c>
      <c r="AG3572">
        <v>0</v>
      </c>
      <c r="AH3572">
        <v>0</v>
      </c>
      <c r="AI3572" s="4">
        <v>35380</v>
      </c>
    </row>
    <row r="3573" spans="1:35">
      <c r="A3573">
        <v>3572</v>
      </c>
      <c r="B3573" t="str">
        <f>"000503"</f>
        <v>000503</v>
      </c>
      <c r="C3573" t="s">
        <v>15119</v>
      </c>
      <c r="D3573" s="4">
        <v>43190</v>
      </c>
      <c r="E3573" t="s">
        <v>1215</v>
      </c>
      <c r="F3573" t="s">
        <v>1215</v>
      </c>
      <c r="G3573" t="s">
        <v>987</v>
      </c>
      <c r="H3573">
        <v>-7.0000000000000007E-2</v>
      </c>
      <c r="I3573">
        <v>1.48</v>
      </c>
      <c r="J3573">
        <v>-4.26</v>
      </c>
      <c r="K3573" t="s">
        <v>5828</v>
      </c>
      <c r="L3573">
        <v>-68.98</v>
      </c>
      <c r="M3573" t="s">
        <v>15120</v>
      </c>
      <c r="N3573" t="s">
        <v>15121</v>
      </c>
      <c r="O3573" t="s">
        <v>15122</v>
      </c>
      <c r="P3573" t="s">
        <v>15123</v>
      </c>
      <c r="Q3573">
        <v>-50.98</v>
      </c>
      <c r="R3573" t="s">
        <v>2392</v>
      </c>
      <c r="S3573">
        <v>0.62</v>
      </c>
      <c r="T3573">
        <v>-167.17</v>
      </c>
      <c r="U3573" t="s">
        <v>350</v>
      </c>
      <c r="V3573" t="s">
        <v>519</v>
      </c>
      <c r="W3573" t="s">
        <v>5407</v>
      </c>
      <c r="X3573">
        <v>-4.26</v>
      </c>
      <c r="Y3573" t="s">
        <v>15124</v>
      </c>
      <c r="Z3573" t="s">
        <v>15124</v>
      </c>
      <c r="AA3573">
        <v>0</v>
      </c>
      <c r="AB3573">
        <v>21.22</v>
      </c>
      <c r="AC3573" t="s">
        <v>124</v>
      </c>
      <c r="AD3573">
        <v>98</v>
      </c>
      <c r="AE3573" t="s">
        <v>2473</v>
      </c>
      <c r="AF3573">
        <v>0</v>
      </c>
      <c r="AG3573">
        <v>0</v>
      </c>
      <c r="AH3573">
        <v>0</v>
      </c>
      <c r="AI3573" s="4">
        <v>33938</v>
      </c>
    </row>
    <row r="3574" spans="1:35">
      <c r="A3574">
        <v>3573</v>
      </c>
      <c r="B3574" t="str">
        <f>"000979"</f>
        <v>000979</v>
      </c>
      <c r="C3574" t="s">
        <v>15125</v>
      </c>
      <c r="D3574" s="4">
        <v>43190</v>
      </c>
      <c r="E3574" t="s">
        <v>3536</v>
      </c>
      <c r="F3574" t="s">
        <v>3536</v>
      </c>
      <c r="G3574" t="s">
        <v>10730</v>
      </c>
      <c r="H3574">
        <v>-0.04</v>
      </c>
      <c r="I3574">
        <v>0.85</v>
      </c>
      <c r="J3574">
        <v>-4.32</v>
      </c>
      <c r="K3574" t="s">
        <v>973</v>
      </c>
      <c r="L3574">
        <v>19.36</v>
      </c>
      <c r="M3574" t="s">
        <v>15126</v>
      </c>
      <c r="N3574" t="s">
        <v>15127</v>
      </c>
      <c r="O3574" t="s">
        <v>15128</v>
      </c>
      <c r="P3574" t="s">
        <v>15129</v>
      </c>
      <c r="Q3574">
        <v>-3621.71</v>
      </c>
      <c r="R3574" t="s">
        <v>15130</v>
      </c>
      <c r="S3574">
        <v>-0.23</v>
      </c>
      <c r="T3574">
        <v>20.99</v>
      </c>
      <c r="U3574" t="s">
        <v>1538</v>
      </c>
      <c r="V3574" t="s">
        <v>5668</v>
      </c>
      <c r="W3574" t="s">
        <v>2921</v>
      </c>
      <c r="X3574">
        <v>-4.32</v>
      </c>
      <c r="Y3574" t="s">
        <v>8424</v>
      </c>
      <c r="Z3574" t="s">
        <v>1749</v>
      </c>
      <c r="AA3574" t="s">
        <v>2050</v>
      </c>
      <c r="AB3574">
        <v>1.23</v>
      </c>
      <c r="AC3574" t="s">
        <v>4513</v>
      </c>
      <c r="AD3574">
        <v>15.59</v>
      </c>
      <c r="AE3574" t="s">
        <v>623</v>
      </c>
      <c r="AF3574">
        <v>0.05</v>
      </c>
      <c r="AG3574">
        <v>0</v>
      </c>
      <c r="AH3574">
        <v>0</v>
      </c>
      <c r="AI3574" s="4">
        <v>36693</v>
      </c>
    </row>
    <row r="3575" spans="1:35">
      <c r="A3575">
        <v>3574</v>
      </c>
      <c r="B3575" t="str">
        <f>"000755"</f>
        <v>000755</v>
      </c>
      <c r="C3575" t="s">
        <v>15131</v>
      </c>
      <c r="D3575" s="4">
        <v>43190</v>
      </c>
      <c r="E3575" t="s">
        <v>2686</v>
      </c>
      <c r="F3575" t="s">
        <v>2686</v>
      </c>
      <c r="G3575" t="s">
        <v>1228</v>
      </c>
      <c r="H3575">
        <v>-0.06</v>
      </c>
      <c r="I3575">
        <v>1.39</v>
      </c>
      <c r="J3575">
        <v>-4.37</v>
      </c>
      <c r="K3575" t="s">
        <v>2490</v>
      </c>
      <c r="L3575">
        <v>-6.03</v>
      </c>
      <c r="M3575" t="s">
        <v>15132</v>
      </c>
      <c r="N3575">
        <v>0</v>
      </c>
      <c r="O3575" t="s">
        <v>15133</v>
      </c>
      <c r="P3575" t="s">
        <v>15134</v>
      </c>
      <c r="Q3575">
        <v>79.22</v>
      </c>
      <c r="R3575" t="s">
        <v>15135</v>
      </c>
      <c r="S3575">
        <v>-2.38</v>
      </c>
      <c r="T3575">
        <v>1.1100000000000001</v>
      </c>
      <c r="U3575" t="s">
        <v>1190</v>
      </c>
      <c r="V3575" t="s">
        <v>2468</v>
      </c>
      <c r="W3575" t="s">
        <v>835</v>
      </c>
      <c r="X3575">
        <v>-4.37</v>
      </c>
      <c r="Y3575" t="s">
        <v>895</v>
      </c>
      <c r="Z3575" t="s">
        <v>2250</v>
      </c>
      <c r="AA3575" t="s">
        <v>11482</v>
      </c>
      <c r="AB3575">
        <v>4.0199999999999996</v>
      </c>
      <c r="AC3575" t="s">
        <v>846</v>
      </c>
      <c r="AD3575">
        <v>39.15</v>
      </c>
      <c r="AE3575" t="s">
        <v>192</v>
      </c>
      <c r="AF3575">
        <v>2.4900000000000002</v>
      </c>
      <c r="AG3575">
        <v>0</v>
      </c>
      <c r="AH3575">
        <v>0</v>
      </c>
      <c r="AI3575" s="4">
        <v>35608</v>
      </c>
    </row>
    <row r="3576" spans="1:35">
      <c r="A3576">
        <v>3575</v>
      </c>
      <c r="B3576" t="str">
        <f>"300469"</f>
        <v>300469</v>
      </c>
      <c r="C3576" t="s">
        <v>15136</v>
      </c>
      <c r="D3576" s="4">
        <v>43190</v>
      </c>
      <c r="E3576" t="s">
        <v>15137</v>
      </c>
      <c r="F3576" t="s">
        <v>15138</v>
      </c>
      <c r="G3576">
        <v>1833</v>
      </c>
      <c r="H3576">
        <v>-0.27</v>
      </c>
      <c r="I3576">
        <v>5.92</v>
      </c>
      <c r="J3576">
        <v>-4.41</v>
      </c>
      <c r="K3576" t="s">
        <v>15139</v>
      </c>
      <c r="L3576">
        <v>-9.2100000000000009</v>
      </c>
      <c r="M3576" t="s">
        <v>15140</v>
      </c>
      <c r="N3576">
        <v>0</v>
      </c>
      <c r="O3576" t="s">
        <v>13719</v>
      </c>
      <c r="P3576" t="s">
        <v>15141</v>
      </c>
      <c r="Q3576">
        <v>12.76</v>
      </c>
      <c r="R3576" t="s">
        <v>2034</v>
      </c>
      <c r="S3576">
        <v>2.21</v>
      </c>
      <c r="T3576">
        <v>45.1</v>
      </c>
      <c r="U3576" t="s">
        <v>264</v>
      </c>
      <c r="V3576" t="s">
        <v>5930</v>
      </c>
      <c r="W3576" t="s">
        <v>11359</v>
      </c>
      <c r="X3576">
        <v>-4.41</v>
      </c>
      <c r="Y3576" t="s">
        <v>805</v>
      </c>
      <c r="Z3576" t="s">
        <v>1330</v>
      </c>
      <c r="AA3576" t="s">
        <v>1360</v>
      </c>
      <c r="AB3576">
        <v>5.34</v>
      </c>
      <c r="AC3576" t="s">
        <v>78</v>
      </c>
      <c r="AD3576">
        <v>33.49</v>
      </c>
      <c r="AE3576" t="s">
        <v>1484</v>
      </c>
      <c r="AF3576">
        <v>3.29</v>
      </c>
      <c r="AG3576">
        <v>0</v>
      </c>
      <c r="AH3576">
        <v>0</v>
      </c>
      <c r="AI3576" s="4">
        <v>42166</v>
      </c>
    </row>
    <row r="3577" spans="1:35">
      <c r="A3577">
        <v>3576</v>
      </c>
      <c r="B3577" t="str">
        <f>"300407"</f>
        <v>300407</v>
      </c>
      <c r="C3577" t="s">
        <v>15142</v>
      </c>
      <c r="D3577" s="4">
        <v>43190</v>
      </c>
      <c r="E3577" t="s">
        <v>4871</v>
      </c>
      <c r="F3577" t="s">
        <v>1360</v>
      </c>
      <c r="G3577">
        <v>7610</v>
      </c>
      <c r="H3577">
        <v>-0.15</v>
      </c>
      <c r="I3577">
        <v>3.34</v>
      </c>
      <c r="J3577">
        <v>-4.67</v>
      </c>
      <c r="K3577" t="s">
        <v>676</v>
      </c>
      <c r="L3577">
        <v>-5.0999999999999996</v>
      </c>
      <c r="M3577" t="s">
        <v>15143</v>
      </c>
      <c r="N3577">
        <v>0</v>
      </c>
      <c r="O3577" t="s">
        <v>15143</v>
      </c>
      <c r="P3577" t="s">
        <v>15144</v>
      </c>
      <c r="Q3577">
        <v>-13.92</v>
      </c>
      <c r="R3577" t="s">
        <v>2685</v>
      </c>
      <c r="S3577">
        <v>1.67</v>
      </c>
      <c r="T3577">
        <v>12.7</v>
      </c>
      <c r="U3577" t="s">
        <v>275</v>
      </c>
      <c r="V3577" t="s">
        <v>298</v>
      </c>
      <c r="W3577" t="s">
        <v>1200</v>
      </c>
      <c r="X3577">
        <v>-4.67</v>
      </c>
      <c r="Y3577" t="s">
        <v>895</v>
      </c>
      <c r="Z3577" t="s">
        <v>1979</v>
      </c>
      <c r="AA3577" t="s">
        <v>986</v>
      </c>
      <c r="AB3577">
        <v>2.11</v>
      </c>
      <c r="AC3577" t="s">
        <v>2836</v>
      </c>
      <c r="AD3577">
        <v>48.08</v>
      </c>
      <c r="AE3577" t="s">
        <v>64</v>
      </c>
      <c r="AF3577">
        <v>0.6</v>
      </c>
      <c r="AG3577">
        <v>0</v>
      </c>
      <c r="AH3577">
        <v>0</v>
      </c>
      <c r="AI3577" s="4">
        <v>41976</v>
      </c>
    </row>
    <row r="3578" spans="1:35">
      <c r="A3578">
        <v>3577</v>
      </c>
      <c r="B3578" t="str">
        <f>"600268"</f>
        <v>600268</v>
      </c>
      <c r="C3578" t="s">
        <v>15145</v>
      </c>
      <c r="D3578" s="4">
        <v>43190</v>
      </c>
      <c r="E3578" t="s">
        <v>2456</v>
      </c>
      <c r="F3578" t="s">
        <v>1567</v>
      </c>
      <c r="G3578" t="s">
        <v>3219</v>
      </c>
      <c r="H3578">
        <v>-0.15</v>
      </c>
      <c r="I3578">
        <v>3.15</v>
      </c>
      <c r="J3578">
        <v>-4.68</v>
      </c>
      <c r="K3578" t="s">
        <v>1652</v>
      </c>
      <c r="L3578">
        <v>-2.21</v>
      </c>
      <c r="M3578" t="s">
        <v>9224</v>
      </c>
      <c r="N3578" t="s">
        <v>14504</v>
      </c>
      <c r="O3578" t="s">
        <v>9224</v>
      </c>
      <c r="P3578" t="s">
        <v>14208</v>
      </c>
      <c r="Q3578">
        <v>19.829999999999998</v>
      </c>
      <c r="R3578" t="s">
        <v>13108</v>
      </c>
      <c r="S3578">
        <v>-0.01</v>
      </c>
      <c r="T3578">
        <v>18.420000000000002</v>
      </c>
      <c r="U3578" t="s">
        <v>8955</v>
      </c>
      <c r="V3578" t="s">
        <v>6291</v>
      </c>
      <c r="W3578" t="s">
        <v>1223</v>
      </c>
      <c r="X3578">
        <v>-4.68</v>
      </c>
      <c r="Y3578" t="s">
        <v>2180</v>
      </c>
      <c r="Z3578" t="s">
        <v>4162</v>
      </c>
      <c r="AA3578" t="s">
        <v>2098</v>
      </c>
      <c r="AB3578">
        <v>1.33</v>
      </c>
      <c r="AC3578" t="s">
        <v>2568</v>
      </c>
      <c r="AD3578">
        <v>23.77</v>
      </c>
      <c r="AE3578" t="s">
        <v>926</v>
      </c>
      <c r="AF3578">
        <v>1.85</v>
      </c>
      <c r="AG3578">
        <v>0</v>
      </c>
      <c r="AH3578">
        <v>0</v>
      </c>
      <c r="AI3578" s="4">
        <v>36482</v>
      </c>
    </row>
    <row r="3579" spans="1:35">
      <c r="A3579">
        <v>3578</v>
      </c>
      <c r="B3579" t="str">
        <f>"002248"</f>
        <v>002248</v>
      </c>
      <c r="C3579" t="s">
        <v>15146</v>
      </c>
      <c r="D3579" s="4">
        <v>43190</v>
      </c>
      <c r="E3579" t="s">
        <v>3297</v>
      </c>
      <c r="F3579" t="s">
        <v>3297</v>
      </c>
      <c r="G3579" t="s">
        <v>4763</v>
      </c>
      <c r="H3579">
        <v>-0.1</v>
      </c>
      <c r="I3579">
        <v>2.11</v>
      </c>
      <c r="J3579">
        <v>-4.71</v>
      </c>
      <c r="K3579" t="s">
        <v>6026</v>
      </c>
      <c r="L3579">
        <v>12.66</v>
      </c>
      <c r="M3579" t="s">
        <v>15147</v>
      </c>
      <c r="N3579">
        <v>0</v>
      </c>
      <c r="O3579" t="s">
        <v>15148</v>
      </c>
      <c r="P3579" t="s">
        <v>15149</v>
      </c>
      <c r="Q3579">
        <v>-14.86</v>
      </c>
      <c r="R3579" t="s">
        <v>15150</v>
      </c>
      <c r="S3579">
        <v>-1.51</v>
      </c>
      <c r="T3579">
        <v>-5.37</v>
      </c>
      <c r="U3579" t="s">
        <v>584</v>
      </c>
      <c r="V3579" t="s">
        <v>2178</v>
      </c>
      <c r="W3579" t="s">
        <v>359</v>
      </c>
      <c r="X3579">
        <v>-4.71</v>
      </c>
      <c r="Y3579" t="s">
        <v>2683</v>
      </c>
      <c r="Z3579" t="s">
        <v>1013</v>
      </c>
      <c r="AA3579" t="s">
        <v>15151</v>
      </c>
      <c r="AB3579">
        <v>4.46</v>
      </c>
      <c r="AC3579" t="s">
        <v>1444</v>
      </c>
      <c r="AD3579">
        <v>44.34</v>
      </c>
      <c r="AE3579" t="s">
        <v>1249</v>
      </c>
      <c r="AF3579">
        <v>2.39</v>
      </c>
      <c r="AG3579">
        <v>0</v>
      </c>
      <c r="AH3579">
        <v>0</v>
      </c>
      <c r="AI3579" s="4">
        <v>39611</v>
      </c>
    </row>
    <row r="3580" spans="1:35">
      <c r="A3580">
        <v>3579</v>
      </c>
      <c r="B3580" t="str">
        <f>"600354"</f>
        <v>600354</v>
      </c>
      <c r="C3580" t="s">
        <v>15152</v>
      </c>
      <c r="D3580" s="4">
        <v>43190</v>
      </c>
      <c r="E3580" t="s">
        <v>769</v>
      </c>
      <c r="F3580" t="s">
        <v>545</v>
      </c>
      <c r="G3580">
        <v>6460</v>
      </c>
      <c r="H3580">
        <v>-0.08</v>
      </c>
      <c r="I3580">
        <v>1.66</v>
      </c>
      <c r="J3580">
        <v>-4.74</v>
      </c>
      <c r="K3580" t="s">
        <v>15153</v>
      </c>
      <c r="L3580">
        <v>-5.43</v>
      </c>
      <c r="M3580" t="s">
        <v>15154</v>
      </c>
      <c r="N3580" t="s">
        <v>5522</v>
      </c>
      <c r="O3580" t="s">
        <v>15155</v>
      </c>
      <c r="P3580" t="s">
        <v>15156</v>
      </c>
      <c r="Q3580">
        <v>-115.12</v>
      </c>
      <c r="R3580" t="s">
        <v>58</v>
      </c>
      <c r="S3580">
        <v>-1.1000000000000001</v>
      </c>
      <c r="T3580">
        <v>14.83</v>
      </c>
      <c r="U3580" t="s">
        <v>449</v>
      </c>
      <c r="V3580" t="s">
        <v>176</v>
      </c>
      <c r="W3580" t="s">
        <v>1018</v>
      </c>
      <c r="X3580">
        <v>-4.74</v>
      </c>
      <c r="Y3580" t="s">
        <v>1223</v>
      </c>
      <c r="Z3580" t="s">
        <v>407</v>
      </c>
      <c r="AA3580" t="s">
        <v>11534</v>
      </c>
      <c r="AB3580">
        <v>3.81</v>
      </c>
      <c r="AC3580" t="s">
        <v>4936</v>
      </c>
      <c r="AD3580">
        <v>40.79</v>
      </c>
      <c r="AE3580" t="s">
        <v>1215</v>
      </c>
      <c r="AF3580">
        <v>1.7</v>
      </c>
      <c r="AG3580">
        <v>0</v>
      </c>
      <c r="AH3580">
        <v>0</v>
      </c>
      <c r="AI3580" s="4">
        <v>38001</v>
      </c>
    </row>
    <row r="3581" spans="1:35">
      <c r="A3581">
        <v>3580</v>
      </c>
      <c r="B3581" t="str">
        <f>"300556"</f>
        <v>300556</v>
      </c>
      <c r="C3581" t="s">
        <v>15157</v>
      </c>
      <c r="D3581" s="4">
        <v>43190</v>
      </c>
      <c r="E3581" t="s">
        <v>1627</v>
      </c>
      <c r="F3581" t="s">
        <v>15158</v>
      </c>
      <c r="G3581">
        <v>3181</v>
      </c>
      <c r="H3581">
        <v>-0.16</v>
      </c>
      <c r="I3581">
        <v>3.36</v>
      </c>
      <c r="J3581">
        <v>-4.74</v>
      </c>
      <c r="K3581" t="s">
        <v>7233</v>
      </c>
      <c r="L3581">
        <v>34.369999999999997</v>
      </c>
      <c r="M3581" t="s">
        <v>15159</v>
      </c>
      <c r="N3581" t="s">
        <v>6507</v>
      </c>
      <c r="O3581" t="s">
        <v>15159</v>
      </c>
      <c r="P3581" t="s">
        <v>15160</v>
      </c>
      <c r="Q3581">
        <v>18.87</v>
      </c>
      <c r="R3581" t="s">
        <v>15161</v>
      </c>
      <c r="S3581">
        <v>0.64</v>
      </c>
      <c r="T3581">
        <v>24.01</v>
      </c>
      <c r="U3581" t="s">
        <v>1241</v>
      </c>
      <c r="V3581" t="s">
        <v>3374</v>
      </c>
      <c r="W3581" t="s">
        <v>5113</v>
      </c>
      <c r="X3581">
        <v>-4.74</v>
      </c>
      <c r="Y3581" t="s">
        <v>118</v>
      </c>
      <c r="Z3581" t="s">
        <v>1264</v>
      </c>
      <c r="AA3581" t="s">
        <v>4450</v>
      </c>
      <c r="AB3581">
        <v>6.09</v>
      </c>
      <c r="AC3581" t="s">
        <v>2590</v>
      </c>
      <c r="AD3581">
        <v>63.82</v>
      </c>
      <c r="AE3581" t="s">
        <v>986</v>
      </c>
      <c r="AF3581">
        <v>1.99</v>
      </c>
      <c r="AG3581">
        <v>0</v>
      </c>
      <c r="AH3581">
        <v>0</v>
      </c>
      <c r="AI3581" s="4">
        <v>42678</v>
      </c>
    </row>
    <row r="3582" spans="1:35">
      <c r="A3582">
        <v>3581</v>
      </c>
      <c r="B3582" t="str">
        <f>"000506"</f>
        <v>000506</v>
      </c>
      <c r="C3582" t="s">
        <v>15162</v>
      </c>
      <c r="D3582" s="4">
        <v>43190</v>
      </c>
      <c r="E3582" t="s">
        <v>4097</v>
      </c>
      <c r="F3582" t="s">
        <v>4097</v>
      </c>
      <c r="G3582" t="s">
        <v>2572</v>
      </c>
      <c r="H3582">
        <v>-0.05</v>
      </c>
      <c r="I3582">
        <v>1.02</v>
      </c>
      <c r="J3582">
        <v>-4.74</v>
      </c>
      <c r="K3582" t="s">
        <v>5289</v>
      </c>
      <c r="L3582">
        <v>81.62</v>
      </c>
      <c r="M3582" t="s">
        <v>15163</v>
      </c>
      <c r="N3582">
        <v>0</v>
      </c>
      <c r="O3582" t="s">
        <v>15164</v>
      </c>
      <c r="P3582" t="s">
        <v>15165</v>
      </c>
      <c r="Q3582">
        <v>-22.91</v>
      </c>
      <c r="R3582" t="s">
        <v>15166</v>
      </c>
      <c r="S3582">
        <v>-0.1</v>
      </c>
      <c r="T3582">
        <v>17.829999999999998</v>
      </c>
      <c r="U3582" t="s">
        <v>1347</v>
      </c>
      <c r="V3582" t="s">
        <v>759</v>
      </c>
      <c r="W3582" t="s">
        <v>506</v>
      </c>
      <c r="X3582">
        <v>-4.74</v>
      </c>
      <c r="Y3582" t="s">
        <v>908</v>
      </c>
      <c r="Z3582" t="s">
        <v>162</v>
      </c>
      <c r="AA3582" t="s">
        <v>15167</v>
      </c>
      <c r="AB3582">
        <v>4.41</v>
      </c>
      <c r="AC3582" t="s">
        <v>3184</v>
      </c>
      <c r="AD3582">
        <v>37.39</v>
      </c>
      <c r="AE3582" t="s">
        <v>15168</v>
      </c>
      <c r="AF3582">
        <v>0.06</v>
      </c>
      <c r="AG3582">
        <v>0</v>
      </c>
      <c r="AH3582">
        <v>0</v>
      </c>
      <c r="AI3582" s="4">
        <v>34040</v>
      </c>
    </row>
    <row r="3583" spans="1:35">
      <c r="A3583">
        <v>3582</v>
      </c>
      <c r="B3583" t="str">
        <f>"000670"</f>
        <v>000670</v>
      </c>
      <c r="C3583" t="s">
        <v>15169</v>
      </c>
      <c r="D3583" s="4">
        <v>43190</v>
      </c>
      <c r="E3583" t="s">
        <v>782</v>
      </c>
      <c r="F3583" t="s">
        <v>494</v>
      </c>
      <c r="G3583">
        <v>6103</v>
      </c>
      <c r="H3583">
        <v>-0.02</v>
      </c>
      <c r="I3583">
        <v>0.43</v>
      </c>
      <c r="J3583">
        <v>-4.8</v>
      </c>
      <c r="K3583" t="s">
        <v>15170</v>
      </c>
      <c r="L3583">
        <v>-60.57</v>
      </c>
      <c r="M3583" t="s">
        <v>15171</v>
      </c>
      <c r="N3583">
        <v>0</v>
      </c>
      <c r="O3583" t="s">
        <v>15172</v>
      </c>
      <c r="P3583" t="s">
        <v>15173</v>
      </c>
      <c r="Q3583">
        <v>-442.56</v>
      </c>
      <c r="R3583" t="s">
        <v>15174</v>
      </c>
      <c r="S3583">
        <v>-0.3</v>
      </c>
      <c r="T3583">
        <v>13.95</v>
      </c>
      <c r="U3583" t="s">
        <v>662</v>
      </c>
      <c r="V3583" t="s">
        <v>1626</v>
      </c>
      <c r="W3583" t="s">
        <v>322</v>
      </c>
      <c r="X3583">
        <v>-4.8</v>
      </c>
      <c r="Y3583" t="s">
        <v>2409</v>
      </c>
      <c r="Z3583" t="s">
        <v>2409</v>
      </c>
      <c r="AA3583">
        <v>0</v>
      </c>
      <c r="AB3583">
        <v>11.76</v>
      </c>
      <c r="AC3583" t="s">
        <v>1712</v>
      </c>
      <c r="AD3583">
        <v>83.18</v>
      </c>
      <c r="AE3583" t="s">
        <v>535</v>
      </c>
      <c r="AF3583">
        <v>0.36</v>
      </c>
      <c r="AG3583">
        <v>0</v>
      </c>
      <c r="AH3583">
        <v>0</v>
      </c>
      <c r="AI3583" s="4">
        <v>35416</v>
      </c>
    </row>
    <row r="3584" spans="1:35">
      <c r="A3584">
        <v>3583</v>
      </c>
      <c r="B3584" t="str">
        <f>"002713"</f>
        <v>002713</v>
      </c>
      <c r="C3584" t="s">
        <v>15175</v>
      </c>
      <c r="D3584" s="4">
        <v>43190</v>
      </c>
      <c r="E3584" t="s">
        <v>2387</v>
      </c>
      <c r="F3584" t="s">
        <v>15176</v>
      </c>
      <c r="G3584">
        <v>6251</v>
      </c>
      <c r="H3584">
        <v>-0.24</v>
      </c>
      <c r="I3584">
        <v>3.7</v>
      </c>
      <c r="J3584">
        <v>-4.8099999999999996</v>
      </c>
      <c r="K3584" t="s">
        <v>889</v>
      </c>
      <c r="L3584">
        <v>34.35</v>
      </c>
      <c r="M3584" t="s">
        <v>15177</v>
      </c>
      <c r="N3584" t="s">
        <v>15178</v>
      </c>
      <c r="O3584" t="s">
        <v>15179</v>
      </c>
      <c r="P3584" t="s">
        <v>15180</v>
      </c>
      <c r="Q3584">
        <v>-5.7</v>
      </c>
      <c r="R3584" t="s">
        <v>985</v>
      </c>
      <c r="S3584">
        <v>-0.23</v>
      </c>
      <c r="T3584">
        <v>32.270000000000003</v>
      </c>
      <c r="U3584" t="s">
        <v>457</v>
      </c>
      <c r="V3584" t="s">
        <v>308</v>
      </c>
      <c r="W3584" t="s">
        <v>3324</v>
      </c>
      <c r="X3584">
        <v>-4.8099999999999996</v>
      </c>
      <c r="Y3584" t="s">
        <v>1843</v>
      </c>
      <c r="Z3584" t="s">
        <v>2328</v>
      </c>
      <c r="AA3584" t="s">
        <v>651</v>
      </c>
      <c r="AB3584">
        <v>5.79</v>
      </c>
      <c r="AC3584" t="s">
        <v>164</v>
      </c>
      <c r="AD3584">
        <v>36.729999999999997</v>
      </c>
      <c r="AE3584" t="s">
        <v>1993</v>
      </c>
      <c r="AF3584">
        <v>2.65</v>
      </c>
      <c r="AG3584">
        <v>0</v>
      </c>
      <c r="AH3584">
        <v>0</v>
      </c>
      <c r="AI3584" s="4">
        <v>41689</v>
      </c>
    </row>
    <row r="3585" spans="1:35">
      <c r="A3585">
        <v>3584</v>
      </c>
      <c r="B3585" t="str">
        <f>"000692"</f>
        <v>000692</v>
      </c>
      <c r="C3585" t="s">
        <v>15181</v>
      </c>
      <c r="D3585" s="4">
        <v>43190</v>
      </c>
      <c r="E3585" t="s">
        <v>1799</v>
      </c>
      <c r="F3585" t="s">
        <v>1799</v>
      </c>
      <c r="G3585" t="s">
        <v>4495</v>
      </c>
      <c r="H3585">
        <v>-0.12</v>
      </c>
      <c r="I3585">
        <v>2.37</v>
      </c>
      <c r="J3585">
        <v>-4.8099999999999996</v>
      </c>
      <c r="K3585" t="s">
        <v>960</v>
      </c>
      <c r="L3585">
        <v>4.5999999999999996</v>
      </c>
      <c r="M3585" t="s">
        <v>15182</v>
      </c>
      <c r="N3585">
        <v>0</v>
      </c>
      <c r="O3585" t="s">
        <v>15183</v>
      </c>
      <c r="P3585" t="s">
        <v>15184</v>
      </c>
      <c r="Q3585">
        <v>-221.55</v>
      </c>
      <c r="R3585" t="s">
        <v>148</v>
      </c>
      <c r="S3585">
        <v>0.37</v>
      </c>
      <c r="T3585">
        <v>-0.48</v>
      </c>
      <c r="U3585" t="s">
        <v>956</v>
      </c>
      <c r="V3585" t="s">
        <v>1190</v>
      </c>
      <c r="W3585" t="s">
        <v>1675</v>
      </c>
      <c r="X3585">
        <v>-4.8099999999999996</v>
      </c>
      <c r="Y3585" t="s">
        <v>3122</v>
      </c>
      <c r="Z3585" t="s">
        <v>1051</v>
      </c>
      <c r="AA3585" t="s">
        <v>3117</v>
      </c>
      <c r="AB3585">
        <v>1.26</v>
      </c>
      <c r="AC3585" t="s">
        <v>164</v>
      </c>
      <c r="AD3585">
        <v>24.3</v>
      </c>
      <c r="AE3585" t="s">
        <v>2665</v>
      </c>
      <c r="AF3585">
        <v>0.71</v>
      </c>
      <c r="AG3585">
        <v>0</v>
      </c>
      <c r="AH3585">
        <v>0</v>
      </c>
      <c r="AI3585" s="4">
        <v>35488</v>
      </c>
    </row>
    <row r="3586" spans="1:35">
      <c r="A3586">
        <v>3585</v>
      </c>
      <c r="B3586" t="str">
        <f>"000767"</f>
        <v>000767</v>
      </c>
      <c r="C3586" t="s">
        <v>15185</v>
      </c>
      <c r="D3586" s="4">
        <v>43190</v>
      </c>
      <c r="E3586" t="s">
        <v>946</v>
      </c>
      <c r="F3586" t="s">
        <v>1546</v>
      </c>
      <c r="G3586" t="s">
        <v>5319</v>
      </c>
      <c r="H3586">
        <v>-0.11</v>
      </c>
      <c r="I3586">
        <v>2.2400000000000002</v>
      </c>
      <c r="J3586">
        <v>-4.8600000000000003</v>
      </c>
      <c r="K3586" t="s">
        <v>158</v>
      </c>
      <c r="L3586">
        <v>28.72</v>
      </c>
      <c r="M3586" t="s">
        <v>15186</v>
      </c>
      <c r="N3586" t="s">
        <v>9800</v>
      </c>
      <c r="O3586" t="s">
        <v>14538</v>
      </c>
      <c r="P3586" t="s">
        <v>15187</v>
      </c>
      <c r="Q3586">
        <v>-47.07</v>
      </c>
      <c r="R3586" t="s">
        <v>15188</v>
      </c>
      <c r="S3586">
        <v>-0.25</v>
      </c>
      <c r="T3586">
        <v>0.35</v>
      </c>
      <c r="U3586" t="s">
        <v>1815</v>
      </c>
      <c r="V3586" t="s">
        <v>1820</v>
      </c>
      <c r="W3586" t="s">
        <v>1153</v>
      </c>
      <c r="X3586">
        <v>-4.8600000000000003</v>
      </c>
      <c r="Y3586" t="s">
        <v>714</v>
      </c>
      <c r="Z3586" t="s">
        <v>1893</v>
      </c>
      <c r="AA3586" t="s">
        <v>2179</v>
      </c>
      <c r="AB3586">
        <v>1.06</v>
      </c>
      <c r="AC3586" t="s">
        <v>1303</v>
      </c>
      <c r="AD3586">
        <v>14.48</v>
      </c>
      <c r="AE3586" t="s">
        <v>1819</v>
      </c>
      <c r="AF3586">
        <v>1.42</v>
      </c>
      <c r="AG3586">
        <v>0</v>
      </c>
      <c r="AH3586">
        <v>0</v>
      </c>
      <c r="AI3586" s="4">
        <v>35590</v>
      </c>
    </row>
    <row r="3587" spans="1:35">
      <c r="A3587">
        <v>3586</v>
      </c>
      <c r="B3587" t="str">
        <f>"300029"</f>
        <v>300029</v>
      </c>
      <c r="C3587" t="s">
        <v>15189</v>
      </c>
      <c r="D3587" s="4">
        <v>43190</v>
      </c>
      <c r="E3587" t="s">
        <v>293</v>
      </c>
      <c r="F3587" t="s">
        <v>2123</v>
      </c>
      <c r="G3587" t="s">
        <v>2135</v>
      </c>
      <c r="H3587">
        <v>-0.06</v>
      </c>
      <c r="I3587">
        <v>1.21</v>
      </c>
      <c r="J3587">
        <v>-4.8899999999999997</v>
      </c>
      <c r="K3587" t="s">
        <v>10740</v>
      </c>
      <c r="L3587">
        <v>-77.209999999999994</v>
      </c>
      <c r="M3587" t="s">
        <v>13629</v>
      </c>
      <c r="N3587" t="s">
        <v>15190</v>
      </c>
      <c r="O3587" t="s">
        <v>15191</v>
      </c>
      <c r="P3587" t="s">
        <v>15192</v>
      </c>
      <c r="Q3587">
        <v>29.26</v>
      </c>
      <c r="R3587" t="s">
        <v>15193</v>
      </c>
      <c r="S3587">
        <v>-4.09</v>
      </c>
      <c r="T3587">
        <v>23.39</v>
      </c>
      <c r="U3587" t="s">
        <v>1317</v>
      </c>
      <c r="V3587" t="s">
        <v>217</v>
      </c>
      <c r="W3587" t="s">
        <v>2603</v>
      </c>
      <c r="X3587">
        <v>-4.8899999999999997</v>
      </c>
      <c r="Y3587" t="s">
        <v>368</v>
      </c>
      <c r="Z3587" t="s">
        <v>1689</v>
      </c>
      <c r="AA3587" t="s">
        <v>7626</v>
      </c>
      <c r="AB3587">
        <v>4.28</v>
      </c>
      <c r="AC3587" t="s">
        <v>3674</v>
      </c>
      <c r="AD3587">
        <v>56.85</v>
      </c>
      <c r="AE3587" t="s">
        <v>1575</v>
      </c>
      <c r="AF3587">
        <v>4.17</v>
      </c>
      <c r="AG3587">
        <v>0</v>
      </c>
      <c r="AH3587">
        <v>0</v>
      </c>
      <c r="AI3587" s="4">
        <v>40172</v>
      </c>
    </row>
    <row r="3588" spans="1:35">
      <c r="A3588">
        <v>3587</v>
      </c>
      <c r="B3588" t="str">
        <f>"000852"</f>
        <v>000852</v>
      </c>
      <c r="C3588" t="s">
        <v>15194</v>
      </c>
      <c r="D3588" s="4">
        <v>43190</v>
      </c>
      <c r="E3588" t="s">
        <v>2938</v>
      </c>
      <c r="F3588" t="s">
        <v>2938</v>
      </c>
      <c r="G3588" t="s">
        <v>5706</v>
      </c>
      <c r="H3588">
        <v>-0.14000000000000001</v>
      </c>
      <c r="I3588">
        <v>2.8</v>
      </c>
      <c r="J3588">
        <v>-4.93</v>
      </c>
      <c r="K3588" t="s">
        <v>127</v>
      </c>
      <c r="L3588">
        <v>-5.6</v>
      </c>
      <c r="M3588" t="s">
        <v>15166</v>
      </c>
      <c r="N3588">
        <v>0</v>
      </c>
      <c r="O3588" t="s">
        <v>14406</v>
      </c>
      <c r="P3588" t="s">
        <v>15195</v>
      </c>
      <c r="Q3588">
        <v>21.3</v>
      </c>
      <c r="R3588" t="s">
        <v>15196</v>
      </c>
      <c r="S3588">
        <v>-0.17</v>
      </c>
      <c r="T3588">
        <v>16.489999999999998</v>
      </c>
      <c r="U3588" t="s">
        <v>951</v>
      </c>
      <c r="V3588" t="s">
        <v>2961</v>
      </c>
      <c r="W3588" t="s">
        <v>1082</v>
      </c>
      <c r="X3588">
        <v>-4.93</v>
      </c>
      <c r="Y3588" t="s">
        <v>2562</v>
      </c>
      <c r="Z3588" t="s">
        <v>3733</v>
      </c>
      <c r="AA3588" t="s">
        <v>11099</v>
      </c>
      <c r="AB3588">
        <v>2.4</v>
      </c>
      <c r="AC3588" t="s">
        <v>1569</v>
      </c>
      <c r="AD3588">
        <v>24.3</v>
      </c>
      <c r="AE3588" t="s">
        <v>1368</v>
      </c>
      <c r="AF3588">
        <v>1.65</v>
      </c>
      <c r="AG3588">
        <v>0</v>
      </c>
      <c r="AH3588">
        <v>0</v>
      </c>
      <c r="AI3588" s="4">
        <v>36125</v>
      </c>
    </row>
    <row r="3589" spans="1:35">
      <c r="A3589">
        <v>3588</v>
      </c>
      <c r="B3589" t="str">
        <f>"600485"</f>
        <v>600485</v>
      </c>
      <c r="C3589" t="s">
        <v>15197</v>
      </c>
      <c r="D3589" s="4">
        <v>43190</v>
      </c>
      <c r="E3589" t="s">
        <v>1158</v>
      </c>
      <c r="F3589" t="s">
        <v>1244</v>
      </c>
      <c r="G3589" t="s">
        <v>103</v>
      </c>
      <c r="H3589">
        <v>-0.17</v>
      </c>
      <c r="I3589">
        <v>3.24</v>
      </c>
      <c r="J3589">
        <v>-5</v>
      </c>
      <c r="K3589" t="s">
        <v>15198</v>
      </c>
      <c r="L3589">
        <v>-33.11</v>
      </c>
      <c r="M3589" t="s">
        <v>15199</v>
      </c>
      <c r="N3589" t="s">
        <v>12843</v>
      </c>
      <c r="O3589" t="s">
        <v>15199</v>
      </c>
      <c r="P3589" t="s">
        <v>15200</v>
      </c>
      <c r="Q3589">
        <v>-77.709999999999994</v>
      </c>
      <c r="R3589" t="s">
        <v>447</v>
      </c>
      <c r="S3589">
        <v>1.34</v>
      </c>
      <c r="T3589">
        <v>34.28</v>
      </c>
      <c r="U3589" t="s">
        <v>2446</v>
      </c>
      <c r="V3589" t="s">
        <v>2271</v>
      </c>
      <c r="W3589" t="s">
        <v>3420</v>
      </c>
      <c r="X3589">
        <v>-5</v>
      </c>
      <c r="Y3589" t="s">
        <v>689</v>
      </c>
      <c r="Z3589" t="s">
        <v>5268</v>
      </c>
      <c r="AA3589" t="s">
        <v>2245</v>
      </c>
      <c r="AB3589">
        <v>4.5</v>
      </c>
      <c r="AC3589" t="s">
        <v>1262</v>
      </c>
      <c r="AD3589">
        <v>44.7</v>
      </c>
      <c r="AE3589" t="s">
        <v>1345</v>
      </c>
      <c r="AF3589">
        <v>1.05</v>
      </c>
      <c r="AG3589">
        <v>0</v>
      </c>
      <c r="AH3589">
        <v>0</v>
      </c>
      <c r="AI3589" s="4">
        <v>37840</v>
      </c>
    </row>
    <row r="3590" spans="1:35">
      <c r="A3590">
        <v>3589</v>
      </c>
      <c r="B3590" t="str">
        <f>"000401"</f>
        <v>000401</v>
      </c>
      <c r="C3590" t="s">
        <v>15201</v>
      </c>
      <c r="D3590" s="4">
        <v>43190</v>
      </c>
      <c r="E3590" t="s">
        <v>1214</v>
      </c>
      <c r="F3590" t="s">
        <v>1214</v>
      </c>
      <c r="G3590">
        <v>9232</v>
      </c>
      <c r="H3590">
        <v>-0.36</v>
      </c>
      <c r="I3590">
        <v>6.99</v>
      </c>
      <c r="J3590">
        <v>-5.01</v>
      </c>
      <c r="K3590" t="s">
        <v>119</v>
      </c>
      <c r="L3590">
        <v>13.03</v>
      </c>
      <c r="M3590" t="s">
        <v>15202</v>
      </c>
      <c r="N3590" t="s">
        <v>13526</v>
      </c>
      <c r="O3590" t="s">
        <v>15203</v>
      </c>
      <c r="P3590" t="s">
        <v>15204</v>
      </c>
      <c r="Q3590">
        <v>-31.82</v>
      </c>
      <c r="R3590" t="s">
        <v>877</v>
      </c>
      <c r="S3590">
        <v>1.54</v>
      </c>
      <c r="T3590">
        <v>26.13</v>
      </c>
      <c r="U3590" t="s">
        <v>5064</v>
      </c>
      <c r="V3590" t="s">
        <v>1820</v>
      </c>
      <c r="W3590" t="s">
        <v>4912</v>
      </c>
      <c r="X3590">
        <v>-5.01</v>
      </c>
      <c r="Y3590" t="s">
        <v>556</v>
      </c>
      <c r="Z3590" t="s">
        <v>1265</v>
      </c>
      <c r="AA3590" t="s">
        <v>1592</v>
      </c>
      <c r="AB3590">
        <v>1.36</v>
      </c>
      <c r="AC3590" t="s">
        <v>12693</v>
      </c>
      <c r="AD3590">
        <v>23.81</v>
      </c>
      <c r="AE3590" t="s">
        <v>2881</v>
      </c>
      <c r="AF3590">
        <v>3.65</v>
      </c>
      <c r="AG3590">
        <v>0</v>
      </c>
      <c r="AH3590">
        <v>0</v>
      </c>
      <c r="AI3590" s="4">
        <v>35230</v>
      </c>
    </row>
    <row r="3591" spans="1:35">
      <c r="A3591">
        <v>3590</v>
      </c>
      <c r="B3591" t="str">
        <f>"600749"</f>
        <v>600749</v>
      </c>
      <c r="C3591" t="s">
        <v>15205</v>
      </c>
      <c r="D3591" s="4">
        <v>43190</v>
      </c>
      <c r="E3591" t="s">
        <v>935</v>
      </c>
      <c r="F3591" t="s">
        <v>905</v>
      </c>
      <c r="G3591">
        <v>9966</v>
      </c>
      <c r="H3591">
        <v>-0.1</v>
      </c>
      <c r="I3591">
        <v>4.4400000000000004</v>
      </c>
      <c r="J3591">
        <v>-5.14</v>
      </c>
      <c r="K3591" t="s">
        <v>11046</v>
      </c>
      <c r="L3591">
        <v>30.97</v>
      </c>
      <c r="M3591" t="s">
        <v>15206</v>
      </c>
      <c r="N3591">
        <v>0</v>
      </c>
      <c r="O3591" t="s">
        <v>15207</v>
      </c>
      <c r="P3591" t="s">
        <v>15208</v>
      </c>
      <c r="Q3591">
        <v>12.05</v>
      </c>
      <c r="R3591" t="s">
        <v>11227</v>
      </c>
      <c r="S3591">
        <v>-0.87</v>
      </c>
      <c r="T3591">
        <v>-74.16</v>
      </c>
      <c r="U3591" t="s">
        <v>1455</v>
      </c>
      <c r="V3591" t="s">
        <v>2571</v>
      </c>
      <c r="W3591" t="s">
        <v>3293</v>
      </c>
      <c r="X3591">
        <v>-5.14</v>
      </c>
      <c r="Y3591" t="s">
        <v>1644</v>
      </c>
      <c r="Z3591" t="s">
        <v>362</v>
      </c>
      <c r="AA3591" t="s">
        <v>976</v>
      </c>
      <c r="AB3591">
        <v>2.4500000000000002</v>
      </c>
      <c r="AC3591" t="s">
        <v>1094</v>
      </c>
      <c r="AD3591">
        <v>55.52</v>
      </c>
      <c r="AE3591" t="s">
        <v>59</v>
      </c>
      <c r="AF3591">
        <v>4.28</v>
      </c>
      <c r="AG3591">
        <v>0</v>
      </c>
      <c r="AH3591">
        <v>0</v>
      </c>
      <c r="AI3591" s="4">
        <v>35353</v>
      </c>
    </row>
    <row r="3592" spans="1:35">
      <c r="A3592">
        <v>3591</v>
      </c>
      <c r="B3592" t="str">
        <f>"600536"</f>
        <v>600536</v>
      </c>
      <c r="C3592" t="s">
        <v>15209</v>
      </c>
      <c r="D3592" s="4">
        <v>43190</v>
      </c>
      <c r="E3592" t="s">
        <v>1358</v>
      </c>
      <c r="F3592" t="s">
        <v>1358</v>
      </c>
      <c r="G3592" t="s">
        <v>1228</v>
      </c>
      <c r="H3592">
        <v>-0.22</v>
      </c>
      <c r="I3592">
        <v>4</v>
      </c>
      <c r="J3592">
        <v>-5.26</v>
      </c>
      <c r="K3592" t="s">
        <v>106</v>
      </c>
      <c r="L3592">
        <v>-31.65</v>
      </c>
      <c r="M3592" t="s">
        <v>11312</v>
      </c>
      <c r="N3592" t="s">
        <v>1501</v>
      </c>
      <c r="O3592" t="s">
        <v>15210</v>
      </c>
      <c r="P3592" t="s">
        <v>13262</v>
      </c>
      <c r="Q3592">
        <v>-21.65</v>
      </c>
      <c r="R3592" t="s">
        <v>442</v>
      </c>
      <c r="S3592">
        <v>0.97</v>
      </c>
      <c r="T3592">
        <v>40.82</v>
      </c>
      <c r="U3592" t="s">
        <v>3886</v>
      </c>
      <c r="V3592" t="s">
        <v>431</v>
      </c>
      <c r="W3592" t="s">
        <v>2922</v>
      </c>
      <c r="X3592">
        <v>-5.26</v>
      </c>
      <c r="Y3592" t="s">
        <v>1039</v>
      </c>
      <c r="Z3592" t="s">
        <v>980</v>
      </c>
      <c r="AA3592" t="s">
        <v>1358</v>
      </c>
      <c r="AB3592">
        <v>4.46</v>
      </c>
      <c r="AC3592" t="s">
        <v>1000</v>
      </c>
      <c r="AD3592">
        <v>42.49</v>
      </c>
      <c r="AE3592" t="s">
        <v>4514</v>
      </c>
      <c r="AF3592">
        <v>1.97</v>
      </c>
      <c r="AG3592">
        <v>0</v>
      </c>
      <c r="AH3592">
        <v>0</v>
      </c>
      <c r="AI3592" s="4">
        <v>37393</v>
      </c>
    </row>
    <row r="3593" spans="1:35">
      <c r="A3593">
        <v>3592</v>
      </c>
      <c r="B3593" t="str">
        <f>"600469"</f>
        <v>600469</v>
      </c>
      <c r="C3593" t="s">
        <v>15211</v>
      </c>
      <c r="D3593" s="4">
        <v>43190</v>
      </c>
      <c r="E3593" t="s">
        <v>1088</v>
      </c>
      <c r="F3593" t="s">
        <v>1088</v>
      </c>
      <c r="G3593" t="s">
        <v>2266</v>
      </c>
      <c r="H3593">
        <v>-0.18</v>
      </c>
      <c r="I3593">
        <v>3.23</v>
      </c>
      <c r="J3593">
        <v>-5.51</v>
      </c>
      <c r="K3593" t="s">
        <v>162</v>
      </c>
      <c r="L3593">
        <v>-25.49</v>
      </c>
      <c r="M3593" t="s">
        <v>215</v>
      </c>
      <c r="N3593" t="s">
        <v>13108</v>
      </c>
      <c r="O3593" t="s">
        <v>215</v>
      </c>
      <c r="P3593" t="s">
        <v>15212</v>
      </c>
      <c r="Q3593">
        <v>13.58</v>
      </c>
      <c r="R3593" t="s">
        <v>15213</v>
      </c>
      <c r="S3593">
        <v>-1.38</v>
      </c>
      <c r="T3593">
        <v>12.54</v>
      </c>
      <c r="U3593" t="s">
        <v>1163</v>
      </c>
      <c r="V3593" t="s">
        <v>2212</v>
      </c>
      <c r="W3593" t="s">
        <v>907</v>
      </c>
      <c r="X3593">
        <v>-5.51</v>
      </c>
      <c r="Y3593" t="s">
        <v>8005</v>
      </c>
      <c r="Z3593" t="s">
        <v>2267</v>
      </c>
      <c r="AA3593" t="s">
        <v>908</v>
      </c>
      <c r="AB3593">
        <v>1.06</v>
      </c>
      <c r="AC3593" t="s">
        <v>754</v>
      </c>
      <c r="AD3593">
        <v>23.6</v>
      </c>
      <c r="AE3593" t="s">
        <v>1343</v>
      </c>
      <c r="AF3593">
        <v>3.12</v>
      </c>
      <c r="AG3593">
        <v>0</v>
      </c>
      <c r="AH3593">
        <v>0</v>
      </c>
      <c r="AI3593" s="4">
        <v>37915</v>
      </c>
    </row>
    <row r="3594" spans="1:35">
      <c r="A3594">
        <v>3593</v>
      </c>
      <c r="B3594" t="str">
        <f>"600680"</f>
        <v>600680</v>
      </c>
      <c r="C3594" t="s">
        <v>15214</v>
      </c>
      <c r="D3594" s="4">
        <v>43190</v>
      </c>
      <c r="E3594" t="s">
        <v>375</v>
      </c>
      <c r="F3594" t="s">
        <v>217</v>
      </c>
      <c r="G3594">
        <v>0</v>
      </c>
      <c r="H3594">
        <v>-0.05</v>
      </c>
      <c r="I3594">
        <v>0.9</v>
      </c>
      <c r="J3594">
        <v>-5.57</v>
      </c>
      <c r="K3594" t="s">
        <v>15215</v>
      </c>
      <c r="L3594">
        <v>-38.369999999999997</v>
      </c>
      <c r="M3594" t="s">
        <v>15216</v>
      </c>
      <c r="N3594" t="s">
        <v>8482</v>
      </c>
      <c r="O3594" t="s">
        <v>15217</v>
      </c>
      <c r="P3594" t="s">
        <v>5542</v>
      </c>
      <c r="Q3594">
        <v>3.36</v>
      </c>
      <c r="R3594" t="s">
        <v>15218</v>
      </c>
      <c r="S3594">
        <v>-2.68</v>
      </c>
      <c r="T3594">
        <v>27.42</v>
      </c>
      <c r="U3594" t="s">
        <v>1920</v>
      </c>
      <c r="V3594" t="s">
        <v>381</v>
      </c>
      <c r="W3594" t="s">
        <v>15219</v>
      </c>
      <c r="X3594">
        <v>-5.57</v>
      </c>
      <c r="Y3594" t="s">
        <v>115</v>
      </c>
      <c r="Z3594" t="s">
        <v>1569</v>
      </c>
      <c r="AA3594" t="s">
        <v>1864</v>
      </c>
      <c r="AB3594">
        <v>8.51</v>
      </c>
      <c r="AC3594" t="s">
        <v>1594</v>
      </c>
      <c r="AD3594">
        <v>16.87</v>
      </c>
      <c r="AE3594" t="s">
        <v>125</v>
      </c>
      <c r="AF3594">
        <v>2.27</v>
      </c>
      <c r="AG3594" t="s">
        <v>2603</v>
      </c>
      <c r="AH3594">
        <v>0</v>
      </c>
      <c r="AI3594" s="4">
        <v>34260</v>
      </c>
    </row>
    <row r="3595" spans="1:35">
      <c r="A3595">
        <v>3594</v>
      </c>
      <c r="B3595" t="str">
        <f>"002252"</f>
        <v>002252</v>
      </c>
      <c r="C3595" t="s">
        <v>15220</v>
      </c>
      <c r="D3595" s="4">
        <v>43190</v>
      </c>
      <c r="E3595" t="s">
        <v>952</v>
      </c>
      <c r="F3595" t="s">
        <v>952</v>
      </c>
      <c r="G3595" t="s">
        <v>15221</v>
      </c>
      <c r="H3595">
        <v>-0.14000000000000001</v>
      </c>
      <c r="I3595">
        <v>2.37</v>
      </c>
      <c r="J3595">
        <v>-5.68</v>
      </c>
      <c r="K3595" t="s">
        <v>1964</v>
      </c>
      <c r="L3595">
        <v>-20.97</v>
      </c>
      <c r="M3595" t="s">
        <v>15222</v>
      </c>
      <c r="N3595" t="s">
        <v>7967</v>
      </c>
      <c r="O3595" t="s">
        <v>15223</v>
      </c>
      <c r="P3595" t="s">
        <v>12317</v>
      </c>
      <c r="Q3595">
        <v>-410.19</v>
      </c>
      <c r="R3595" t="s">
        <v>1219</v>
      </c>
      <c r="S3595">
        <v>0.68</v>
      </c>
      <c r="T3595">
        <v>67.69</v>
      </c>
      <c r="U3595" t="s">
        <v>413</v>
      </c>
      <c r="V3595" t="s">
        <v>2633</v>
      </c>
      <c r="W3595" t="s">
        <v>521</v>
      </c>
      <c r="X3595">
        <v>-5.68</v>
      </c>
      <c r="Y3595" t="s">
        <v>1678</v>
      </c>
      <c r="Z3595" t="s">
        <v>1480</v>
      </c>
      <c r="AA3595" t="s">
        <v>192</v>
      </c>
      <c r="AB3595">
        <v>8.23</v>
      </c>
      <c r="AC3595" t="s">
        <v>815</v>
      </c>
      <c r="AD3595">
        <v>86.77</v>
      </c>
      <c r="AE3595" t="s">
        <v>946</v>
      </c>
      <c r="AF3595">
        <v>0.62</v>
      </c>
      <c r="AG3595">
        <v>0</v>
      </c>
      <c r="AH3595">
        <v>0</v>
      </c>
      <c r="AI3595" s="4">
        <v>39622</v>
      </c>
    </row>
    <row r="3596" spans="1:35">
      <c r="A3596">
        <v>3595</v>
      </c>
      <c r="B3596" t="str">
        <f>"600807"</f>
        <v>600807</v>
      </c>
      <c r="C3596" t="s">
        <v>15224</v>
      </c>
      <c r="D3596" s="4">
        <v>43190</v>
      </c>
      <c r="E3596" t="s">
        <v>274</v>
      </c>
      <c r="F3596" t="s">
        <v>130</v>
      </c>
      <c r="G3596">
        <v>8520</v>
      </c>
      <c r="H3596">
        <v>-0.11</v>
      </c>
      <c r="I3596">
        <v>1.79</v>
      </c>
      <c r="J3596">
        <v>-5.72</v>
      </c>
      <c r="K3596" t="s">
        <v>678</v>
      </c>
      <c r="L3596">
        <v>-32.81</v>
      </c>
      <c r="M3596" t="s">
        <v>15225</v>
      </c>
      <c r="N3596" t="s">
        <v>15226</v>
      </c>
      <c r="O3596" t="s">
        <v>15227</v>
      </c>
      <c r="P3596" t="s">
        <v>15228</v>
      </c>
      <c r="Q3596">
        <v>-1721.47</v>
      </c>
      <c r="R3596" t="s">
        <v>7733</v>
      </c>
      <c r="S3596">
        <v>-0.27</v>
      </c>
      <c r="T3596">
        <v>3.98</v>
      </c>
      <c r="U3596" t="s">
        <v>3791</v>
      </c>
      <c r="V3596" t="s">
        <v>2797</v>
      </c>
      <c r="W3596" t="s">
        <v>1287</v>
      </c>
      <c r="X3596">
        <v>-5.72</v>
      </c>
      <c r="Y3596" t="s">
        <v>2631</v>
      </c>
      <c r="Z3596" t="s">
        <v>2727</v>
      </c>
      <c r="AA3596" t="s">
        <v>624</v>
      </c>
      <c r="AB3596">
        <v>1.64</v>
      </c>
      <c r="AC3596" t="s">
        <v>1367</v>
      </c>
      <c r="AD3596">
        <v>17.68</v>
      </c>
      <c r="AE3596" t="s">
        <v>250</v>
      </c>
      <c r="AF3596">
        <v>1.34</v>
      </c>
      <c r="AG3596">
        <v>0</v>
      </c>
      <c r="AH3596">
        <v>0</v>
      </c>
      <c r="AI3596" s="4">
        <v>34337</v>
      </c>
    </row>
    <row r="3597" spans="1:35">
      <c r="A3597">
        <v>3596</v>
      </c>
      <c r="B3597" t="str">
        <f>"300106"</f>
        <v>300106</v>
      </c>
      <c r="C3597" t="s">
        <v>15229</v>
      </c>
      <c r="D3597" s="4">
        <v>43190</v>
      </c>
      <c r="E3597" t="s">
        <v>862</v>
      </c>
      <c r="F3597" t="s">
        <v>118</v>
      </c>
      <c r="G3597" t="s">
        <v>974</v>
      </c>
      <c r="H3597">
        <v>-0.17</v>
      </c>
      <c r="I3597">
        <v>2.75</v>
      </c>
      <c r="J3597">
        <v>-5.97</v>
      </c>
      <c r="K3597" t="s">
        <v>745</v>
      </c>
      <c r="L3597">
        <v>-4.66</v>
      </c>
      <c r="M3597" t="s">
        <v>15230</v>
      </c>
      <c r="N3597">
        <v>0</v>
      </c>
      <c r="O3597" t="s">
        <v>15231</v>
      </c>
      <c r="P3597" t="s">
        <v>15232</v>
      </c>
      <c r="Q3597">
        <v>-103.18</v>
      </c>
      <c r="R3597" t="s">
        <v>15233</v>
      </c>
      <c r="S3597">
        <v>-1.29</v>
      </c>
      <c r="T3597">
        <v>-2.5299999999999998</v>
      </c>
      <c r="U3597" t="s">
        <v>440</v>
      </c>
      <c r="V3597" t="s">
        <v>6610</v>
      </c>
      <c r="W3597" t="s">
        <v>4009</v>
      </c>
      <c r="X3597">
        <v>-5.97</v>
      </c>
      <c r="Y3597" t="s">
        <v>646</v>
      </c>
      <c r="Z3597" t="s">
        <v>847</v>
      </c>
      <c r="AA3597" t="s">
        <v>443</v>
      </c>
      <c r="AB3597">
        <v>1.9</v>
      </c>
      <c r="AC3597" t="s">
        <v>108</v>
      </c>
      <c r="AD3597">
        <v>24.3</v>
      </c>
      <c r="AE3597" t="s">
        <v>661</v>
      </c>
      <c r="AF3597">
        <v>2.94</v>
      </c>
      <c r="AG3597">
        <v>0</v>
      </c>
      <c r="AH3597">
        <v>0</v>
      </c>
      <c r="AI3597" s="4">
        <v>40410</v>
      </c>
    </row>
    <row r="3598" spans="1:35">
      <c r="A3598">
        <v>3597</v>
      </c>
      <c r="B3598" t="str">
        <f>"600651"</f>
        <v>600651</v>
      </c>
      <c r="C3598" t="s">
        <v>15234</v>
      </c>
      <c r="D3598" s="4">
        <v>43190</v>
      </c>
      <c r="E3598" t="s">
        <v>1079</v>
      </c>
      <c r="F3598" t="s">
        <v>2813</v>
      </c>
      <c r="G3598" t="s">
        <v>6078</v>
      </c>
      <c r="H3598">
        <v>-0.2</v>
      </c>
      <c r="I3598">
        <v>3.26</v>
      </c>
      <c r="J3598">
        <v>-6</v>
      </c>
      <c r="K3598" t="s">
        <v>3549</v>
      </c>
      <c r="L3598">
        <v>-30.88</v>
      </c>
      <c r="M3598" t="s">
        <v>15235</v>
      </c>
      <c r="N3598" t="s">
        <v>4710</v>
      </c>
      <c r="O3598" t="s">
        <v>15236</v>
      </c>
      <c r="P3598" t="s">
        <v>15237</v>
      </c>
      <c r="Q3598">
        <v>-240.32</v>
      </c>
      <c r="R3598" t="s">
        <v>5374</v>
      </c>
      <c r="S3598">
        <v>0.49</v>
      </c>
      <c r="T3598">
        <v>26.61</v>
      </c>
      <c r="U3598" t="s">
        <v>587</v>
      </c>
      <c r="V3598" t="s">
        <v>12932</v>
      </c>
      <c r="W3598" t="s">
        <v>124</v>
      </c>
      <c r="X3598">
        <v>-6</v>
      </c>
      <c r="Y3598" t="s">
        <v>580</v>
      </c>
      <c r="Z3598" t="s">
        <v>1189</v>
      </c>
      <c r="AA3598" t="s">
        <v>1219</v>
      </c>
      <c r="AB3598">
        <v>1.24</v>
      </c>
      <c r="AC3598" t="s">
        <v>236</v>
      </c>
      <c r="AD3598">
        <v>20.52</v>
      </c>
      <c r="AE3598" t="s">
        <v>908</v>
      </c>
      <c r="AF3598">
        <v>1.54</v>
      </c>
      <c r="AG3598">
        <v>0</v>
      </c>
      <c r="AH3598">
        <v>0</v>
      </c>
      <c r="AI3598" s="4">
        <v>33226</v>
      </c>
    </row>
    <row r="3599" spans="1:35">
      <c r="A3599">
        <v>3598</v>
      </c>
      <c r="B3599" t="str">
        <f>"000803"</f>
        <v>000803</v>
      </c>
      <c r="C3599" t="s">
        <v>15238</v>
      </c>
      <c r="D3599" s="4">
        <v>43190</v>
      </c>
      <c r="E3599" t="s">
        <v>86</v>
      </c>
      <c r="F3599" t="s">
        <v>86</v>
      </c>
      <c r="G3599" t="s">
        <v>7750</v>
      </c>
      <c r="H3599">
        <v>-0.04</v>
      </c>
      <c r="I3599">
        <v>0.61</v>
      </c>
      <c r="J3599">
        <v>-6.07</v>
      </c>
      <c r="K3599" t="s">
        <v>12513</v>
      </c>
      <c r="L3599">
        <v>488.19</v>
      </c>
      <c r="M3599" t="s">
        <v>15239</v>
      </c>
      <c r="N3599">
        <v>396</v>
      </c>
      <c r="O3599" t="s">
        <v>15240</v>
      </c>
      <c r="P3599" t="s">
        <v>15241</v>
      </c>
      <c r="Q3599">
        <v>64.12</v>
      </c>
      <c r="R3599" t="s">
        <v>15242</v>
      </c>
      <c r="S3599">
        <v>-0.77</v>
      </c>
      <c r="T3599">
        <v>16.86</v>
      </c>
      <c r="U3599" t="s">
        <v>164</v>
      </c>
      <c r="V3599" t="s">
        <v>1243</v>
      </c>
      <c r="W3599" t="s">
        <v>207</v>
      </c>
      <c r="X3599">
        <v>-6.07</v>
      </c>
      <c r="Y3599" t="s">
        <v>323</v>
      </c>
      <c r="Z3599" t="s">
        <v>895</v>
      </c>
      <c r="AA3599" t="s">
        <v>804</v>
      </c>
      <c r="AB3599">
        <v>25.66</v>
      </c>
      <c r="AC3599" t="s">
        <v>15243</v>
      </c>
      <c r="AD3599">
        <v>6.21</v>
      </c>
      <c r="AE3599" t="s">
        <v>8944</v>
      </c>
      <c r="AF3599">
        <v>0.16</v>
      </c>
      <c r="AG3599">
        <v>0</v>
      </c>
      <c r="AH3599">
        <v>0</v>
      </c>
      <c r="AI3599" s="4">
        <v>35857</v>
      </c>
    </row>
    <row r="3600" spans="1:35">
      <c r="A3600">
        <v>3599</v>
      </c>
      <c r="B3600" t="str">
        <f>"000912"</f>
        <v>000912</v>
      </c>
      <c r="C3600" t="s">
        <v>15244</v>
      </c>
      <c r="D3600" s="4">
        <v>43190</v>
      </c>
      <c r="E3600" t="s">
        <v>6809</v>
      </c>
      <c r="F3600" t="s">
        <v>6809</v>
      </c>
      <c r="G3600" t="s">
        <v>779</v>
      </c>
      <c r="H3600">
        <v>0.15</v>
      </c>
      <c r="I3600">
        <v>-2.1800000000000002</v>
      </c>
      <c r="J3600">
        <v>-6.15</v>
      </c>
      <c r="K3600" t="s">
        <v>1835</v>
      </c>
      <c r="L3600">
        <v>8.6999999999999993</v>
      </c>
      <c r="M3600" t="s">
        <v>7910</v>
      </c>
      <c r="N3600" t="s">
        <v>15245</v>
      </c>
      <c r="O3600" t="s">
        <v>15246</v>
      </c>
      <c r="P3600" t="s">
        <v>4061</v>
      </c>
      <c r="Q3600">
        <v>4747.7700000000004</v>
      </c>
      <c r="R3600" t="s">
        <v>15247</v>
      </c>
      <c r="S3600">
        <v>-5.69</v>
      </c>
      <c r="T3600">
        <v>20.059999999999999</v>
      </c>
      <c r="U3600" t="s">
        <v>1143</v>
      </c>
      <c r="V3600" t="s">
        <v>602</v>
      </c>
      <c r="W3600" t="s">
        <v>152</v>
      </c>
      <c r="X3600">
        <v>-6.15</v>
      </c>
      <c r="Y3600" t="s">
        <v>3262</v>
      </c>
      <c r="Z3600" t="s">
        <v>773</v>
      </c>
      <c r="AA3600" t="s">
        <v>1546</v>
      </c>
      <c r="AB3600">
        <v>-3.11</v>
      </c>
      <c r="AC3600" t="s">
        <v>13706</v>
      </c>
      <c r="AD3600">
        <v>-21.15</v>
      </c>
      <c r="AE3600" t="s">
        <v>721</v>
      </c>
      <c r="AF3600">
        <v>1.67</v>
      </c>
      <c r="AG3600">
        <v>0</v>
      </c>
      <c r="AH3600">
        <v>0</v>
      </c>
      <c r="AI3600" s="4">
        <v>36314</v>
      </c>
    </row>
    <row r="3601" spans="1:35">
      <c r="A3601">
        <v>3600</v>
      </c>
      <c r="B3601" t="str">
        <f>"601558"</f>
        <v>601558</v>
      </c>
      <c r="C3601" t="s">
        <v>15248</v>
      </c>
      <c r="D3601" s="4">
        <v>43190</v>
      </c>
      <c r="E3601" t="s">
        <v>1143</v>
      </c>
      <c r="F3601" t="s">
        <v>4186</v>
      </c>
      <c r="G3601" t="s">
        <v>1691</v>
      </c>
      <c r="H3601">
        <v>-0.01</v>
      </c>
      <c r="I3601">
        <v>0.2</v>
      </c>
      <c r="J3601">
        <v>-6.17</v>
      </c>
      <c r="K3601" t="s">
        <v>8908</v>
      </c>
      <c r="L3601">
        <v>157.78</v>
      </c>
      <c r="M3601" t="s">
        <v>15249</v>
      </c>
      <c r="N3601" t="s">
        <v>4566</v>
      </c>
      <c r="O3601" t="s">
        <v>15250</v>
      </c>
      <c r="P3601" t="s">
        <v>15250</v>
      </c>
      <c r="Q3601">
        <v>46.85</v>
      </c>
      <c r="R3601" t="s">
        <v>15251</v>
      </c>
      <c r="S3601">
        <v>-1.76</v>
      </c>
      <c r="T3601">
        <v>22.37</v>
      </c>
      <c r="U3601" t="s">
        <v>4672</v>
      </c>
      <c r="V3601" t="s">
        <v>5850</v>
      </c>
      <c r="W3601" t="s">
        <v>650</v>
      </c>
      <c r="X3601">
        <v>-6.17</v>
      </c>
      <c r="Y3601" t="s">
        <v>1494</v>
      </c>
      <c r="Z3601" t="s">
        <v>511</v>
      </c>
      <c r="AA3601" t="s">
        <v>840</v>
      </c>
      <c r="AB3601">
        <v>5.38</v>
      </c>
      <c r="AC3601" t="s">
        <v>982</v>
      </c>
      <c r="AD3601">
        <v>18.739999999999998</v>
      </c>
      <c r="AE3601" t="s">
        <v>739</v>
      </c>
      <c r="AF3601">
        <v>0.88</v>
      </c>
      <c r="AG3601">
        <v>0</v>
      </c>
      <c r="AH3601">
        <v>0</v>
      </c>
      <c r="AI3601" s="4">
        <v>40556</v>
      </c>
    </row>
    <row r="3602" spans="1:35">
      <c r="A3602">
        <v>3601</v>
      </c>
      <c r="B3602" t="str">
        <f>"000820"</f>
        <v>000820</v>
      </c>
      <c r="C3602" t="s">
        <v>15252</v>
      </c>
      <c r="D3602" s="4">
        <v>43190</v>
      </c>
      <c r="E3602" t="s">
        <v>1909</v>
      </c>
      <c r="F3602" t="s">
        <v>188</v>
      </c>
      <c r="G3602">
        <v>4904</v>
      </c>
      <c r="H3602">
        <v>-0.1</v>
      </c>
      <c r="I3602">
        <v>1.59</v>
      </c>
      <c r="J3602">
        <v>-6.38</v>
      </c>
      <c r="K3602" t="s">
        <v>1937</v>
      </c>
      <c r="L3602">
        <v>-98.65</v>
      </c>
      <c r="M3602" t="s">
        <v>15253</v>
      </c>
      <c r="N3602" t="s">
        <v>15254</v>
      </c>
      <c r="O3602" t="s">
        <v>15255</v>
      </c>
      <c r="P3602" t="s">
        <v>15256</v>
      </c>
      <c r="Q3602">
        <v>-191.24</v>
      </c>
      <c r="R3602" t="s">
        <v>3145</v>
      </c>
      <c r="S3602">
        <v>1.37</v>
      </c>
      <c r="T3602">
        <v>96.78</v>
      </c>
      <c r="U3602" t="s">
        <v>1329</v>
      </c>
      <c r="V3602" t="s">
        <v>1700</v>
      </c>
      <c r="W3602" t="s">
        <v>7701</v>
      </c>
      <c r="X3602">
        <v>-6.38</v>
      </c>
      <c r="Y3602" t="s">
        <v>1101</v>
      </c>
      <c r="Z3602" t="s">
        <v>1384</v>
      </c>
      <c r="AA3602" t="s">
        <v>2284</v>
      </c>
      <c r="AB3602">
        <v>6.14</v>
      </c>
      <c r="AC3602" t="s">
        <v>1094</v>
      </c>
      <c r="AD3602">
        <v>35.68</v>
      </c>
      <c r="AE3602" t="s">
        <v>9123</v>
      </c>
      <c r="AF3602">
        <v>0.01</v>
      </c>
      <c r="AG3602">
        <v>0</v>
      </c>
      <c r="AH3602">
        <v>0</v>
      </c>
      <c r="AI3602" s="4">
        <v>35976</v>
      </c>
    </row>
    <row r="3603" spans="1:35">
      <c r="A3603">
        <v>3602</v>
      </c>
      <c r="B3603" t="str">
        <f>"000048"</f>
        <v>000048</v>
      </c>
      <c r="C3603" t="s">
        <v>15257</v>
      </c>
      <c r="D3603" s="4">
        <v>43008</v>
      </c>
      <c r="E3603" t="s">
        <v>184</v>
      </c>
      <c r="F3603" t="s">
        <v>479</v>
      </c>
      <c r="G3603" t="s">
        <v>8811</v>
      </c>
      <c r="H3603">
        <v>0.73</v>
      </c>
      <c r="I3603">
        <v>2.61</v>
      </c>
      <c r="J3603">
        <v>-6.61</v>
      </c>
      <c r="K3603" t="s">
        <v>835</v>
      </c>
      <c r="L3603">
        <v>-5.23</v>
      </c>
      <c r="M3603" t="s">
        <v>15258</v>
      </c>
      <c r="N3603" t="s">
        <v>15259</v>
      </c>
      <c r="O3603" t="s">
        <v>15260</v>
      </c>
      <c r="P3603" t="s">
        <v>15261</v>
      </c>
      <c r="Q3603">
        <v>-255.35</v>
      </c>
      <c r="R3603" t="s">
        <v>1435</v>
      </c>
      <c r="S3603">
        <v>0.56999999999999995</v>
      </c>
      <c r="T3603">
        <v>13.47</v>
      </c>
      <c r="U3603" t="s">
        <v>1700</v>
      </c>
      <c r="V3603" t="s">
        <v>980</v>
      </c>
      <c r="W3603" t="s">
        <v>150</v>
      </c>
      <c r="X3603">
        <v>-6.61</v>
      </c>
      <c r="Y3603" t="s">
        <v>1255</v>
      </c>
      <c r="Z3603" t="s">
        <v>971</v>
      </c>
      <c r="AA3603" t="s">
        <v>359</v>
      </c>
      <c r="AB3603">
        <v>8.4</v>
      </c>
      <c r="AC3603" t="s">
        <v>2394</v>
      </c>
      <c r="AD3603">
        <v>24.66</v>
      </c>
      <c r="AE3603" t="s">
        <v>11641</v>
      </c>
      <c r="AF3603">
        <v>0.11</v>
      </c>
      <c r="AG3603">
        <v>0</v>
      </c>
      <c r="AH3603">
        <v>0</v>
      </c>
      <c r="AI3603" s="4">
        <v>34639</v>
      </c>
    </row>
    <row r="3604" spans="1:35">
      <c r="A3604">
        <v>3603</v>
      </c>
      <c r="B3604" t="str">
        <f>"300675"</f>
        <v>300675</v>
      </c>
      <c r="C3604" t="s">
        <v>15262</v>
      </c>
      <c r="D3604" s="4">
        <v>43190</v>
      </c>
      <c r="E3604" t="s">
        <v>745</v>
      </c>
      <c r="F3604" t="s">
        <v>15263</v>
      </c>
      <c r="G3604">
        <v>1275</v>
      </c>
      <c r="H3604">
        <v>-0.18</v>
      </c>
      <c r="I3604">
        <v>2.67</v>
      </c>
      <c r="J3604">
        <v>-6.62</v>
      </c>
      <c r="K3604" t="s">
        <v>9594</v>
      </c>
      <c r="L3604">
        <v>-12.96</v>
      </c>
      <c r="M3604" t="s">
        <v>15264</v>
      </c>
      <c r="N3604">
        <v>0</v>
      </c>
      <c r="O3604" t="s">
        <v>15265</v>
      </c>
      <c r="P3604" t="s">
        <v>15266</v>
      </c>
      <c r="Q3604">
        <v>-282.08</v>
      </c>
      <c r="R3604" t="s">
        <v>198</v>
      </c>
      <c r="S3604">
        <v>0.72</v>
      </c>
      <c r="T3604">
        <v>-19.84</v>
      </c>
      <c r="U3604" t="s">
        <v>2532</v>
      </c>
      <c r="V3604" t="s">
        <v>2268</v>
      </c>
      <c r="W3604" t="s">
        <v>4421</v>
      </c>
      <c r="X3604">
        <v>-6.62</v>
      </c>
      <c r="Y3604" t="s">
        <v>1999</v>
      </c>
      <c r="Z3604" t="s">
        <v>1077</v>
      </c>
      <c r="AA3604" t="s">
        <v>15267</v>
      </c>
      <c r="AB3604">
        <v>11.08</v>
      </c>
      <c r="AC3604" t="s">
        <v>184</v>
      </c>
      <c r="AD3604">
        <v>62.29</v>
      </c>
      <c r="AE3604" t="s">
        <v>86</v>
      </c>
      <c r="AF3604">
        <v>0.87</v>
      </c>
      <c r="AG3604">
        <v>0</v>
      </c>
      <c r="AH3604">
        <v>0</v>
      </c>
      <c r="AI3604" s="4">
        <v>42935</v>
      </c>
    </row>
    <row r="3605" spans="1:35">
      <c r="A3605">
        <v>3604</v>
      </c>
      <c r="B3605" t="str">
        <f>"002504"</f>
        <v>002504</v>
      </c>
      <c r="C3605" t="s">
        <v>15268</v>
      </c>
      <c r="D3605" s="4">
        <v>43190</v>
      </c>
      <c r="E3605" t="s">
        <v>978</v>
      </c>
      <c r="F3605" t="s">
        <v>749</v>
      </c>
      <c r="G3605">
        <v>8433</v>
      </c>
      <c r="H3605">
        <v>-0.06</v>
      </c>
      <c r="I3605">
        <v>0.86</v>
      </c>
      <c r="J3605">
        <v>-7.15</v>
      </c>
      <c r="K3605" t="s">
        <v>203</v>
      </c>
      <c r="L3605">
        <v>-28.86</v>
      </c>
      <c r="M3605" t="s">
        <v>15269</v>
      </c>
      <c r="N3605">
        <v>0</v>
      </c>
      <c r="O3605" t="s">
        <v>15270</v>
      </c>
      <c r="P3605" t="s">
        <v>15271</v>
      </c>
      <c r="Q3605">
        <v>-386.28</v>
      </c>
      <c r="R3605" t="s">
        <v>181</v>
      </c>
      <c r="S3605">
        <v>0.56999999999999995</v>
      </c>
      <c r="T3605">
        <v>17.97</v>
      </c>
      <c r="U3605" t="s">
        <v>1616</v>
      </c>
      <c r="V3605" t="s">
        <v>773</v>
      </c>
      <c r="W3605" t="s">
        <v>1588</v>
      </c>
      <c r="X3605">
        <v>-7.15</v>
      </c>
      <c r="Y3605" t="s">
        <v>1133</v>
      </c>
      <c r="Z3605" t="s">
        <v>1133</v>
      </c>
      <c r="AA3605">
        <v>0</v>
      </c>
      <c r="AB3605">
        <v>4.04</v>
      </c>
      <c r="AC3605" t="s">
        <v>4384</v>
      </c>
      <c r="AD3605">
        <v>18.55</v>
      </c>
      <c r="AE3605" t="s">
        <v>698</v>
      </c>
      <c r="AF3605">
        <v>0.18</v>
      </c>
      <c r="AG3605">
        <v>0</v>
      </c>
      <c r="AH3605">
        <v>0</v>
      </c>
      <c r="AI3605" s="4">
        <v>40500</v>
      </c>
    </row>
    <row r="3606" spans="1:35">
      <c r="A3606">
        <v>3605</v>
      </c>
      <c r="B3606" t="str">
        <f>"600821"</f>
        <v>600821</v>
      </c>
      <c r="C3606" t="s">
        <v>15272</v>
      </c>
      <c r="D3606" s="4">
        <v>43190</v>
      </c>
      <c r="E3606" t="s">
        <v>104</v>
      </c>
      <c r="F3606" t="s">
        <v>104</v>
      </c>
      <c r="G3606" t="s">
        <v>2478</v>
      </c>
      <c r="H3606">
        <v>-0.09</v>
      </c>
      <c r="I3606">
        <v>1.1499999999999999</v>
      </c>
      <c r="J3606">
        <v>-7.18</v>
      </c>
      <c r="K3606" t="s">
        <v>9589</v>
      </c>
      <c r="L3606">
        <v>-22.9</v>
      </c>
      <c r="M3606" t="s">
        <v>15273</v>
      </c>
      <c r="N3606" t="s">
        <v>15274</v>
      </c>
      <c r="O3606" t="s">
        <v>15273</v>
      </c>
      <c r="P3606" t="s">
        <v>15273</v>
      </c>
      <c r="Q3606">
        <v>-16.079999999999998</v>
      </c>
      <c r="R3606" t="s">
        <v>15275</v>
      </c>
      <c r="S3606">
        <v>-0.51</v>
      </c>
      <c r="T3606">
        <v>18.100000000000001</v>
      </c>
      <c r="U3606" t="s">
        <v>162</v>
      </c>
      <c r="V3606" t="s">
        <v>1365</v>
      </c>
      <c r="W3606" t="s">
        <v>3900</v>
      </c>
      <c r="X3606">
        <v>-7.18</v>
      </c>
      <c r="Y3606" t="s">
        <v>3839</v>
      </c>
      <c r="Z3606" t="s">
        <v>190</v>
      </c>
      <c r="AA3606" t="s">
        <v>1621</v>
      </c>
      <c r="AB3606">
        <v>4.4400000000000004</v>
      </c>
      <c r="AC3606" t="s">
        <v>3006</v>
      </c>
      <c r="AD3606">
        <v>33.33</v>
      </c>
      <c r="AE3606" t="s">
        <v>345</v>
      </c>
      <c r="AF3606">
        <v>0.43</v>
      </c>
      <c r="AG3606">
        <v>0</v>
      </c>
      <c r="AH3606">
        <v>0</v>
      </c>
      <c r="AI3606" s="4">
        <v>34362</v>
      </c>
    </row>
    <row r="3607" spans="1:35">
      <c r="A3607">
        <v>3606</v>
      </c>
      <c r="B3607" t="str">
        <f>"600139"</f>
        <v>600139</v>
      </c>
      <c r="C3607" t="s">
        <v>15276</v>
      </c>
      <c r="D3607" s="4">
        <v>43190</v>
      </c>
      <c r="E3607" t="s">
        <v>1730</v>
      </c>
      <c r="F3607" t="s">
        <v>1730</v>
      </c>
      <c r="G3607" t="s">
        <v>4389</v>
      </c>
      <c r="H3607">
        <v>-0.04</v>
      </c>
      <c r="I3607">
        <v>0.57999999999999996</v>
      </c>
      <c r="J3607">
        <v>-7.19</v>
      </c>
      <c r="K3607" t="s">
        <v>1798</v>
      </c>
      <c r="L3607">
        <v>-16.43</v>
      </c>
      <c r="M3607" t="s">
        <v>15149</v>
      </c>
      <c r="N3607" t="s">
        <v>15277</v>
      </c>
      <c r="O3607" t="s">
        <v>15278</v>
      </c>
      <c r="P3607" t="s">
        <v>15279</v>
      </c>
      <c r="Q3607">
        <v>14.33</v>
      </c>
      <c r="R3607" t="s">
        <v>15280</v>
      </c>
      <c r="S3607">
        <v>-1.1100000000000001</v>
      </c>
      <c r="T3607">
        <v>45.44</v>
      </c>
      <c r="U3607" t="s">
        <v>783</v>
      </c>
      <c r="V3607" t="s">
        <v>1384</v>
      </c>
      <c r="W3607" t="s">
        <v>1206</v>
      </c>
      <c r="X3607">
        <v>-7.19</v>
      </c>
      <c r="Y3607" t="s">
        <v>4558</v>
      </c>
      <c r="Z3607" t="s">
        <v>1384</v>
      </c>
      <c r="AA3607" t="s">
        <v>243</v>
      </c>
      <c r="AB3607">
        <v>7.07</v>
      </c>
      <c r="AC3607" t="s">
        <v>501</v>
      </c>
      <c r="AD3607">
        <v>8.5299999999999994</v>
      </c>
      <c r="AE3607" t="s">
        <v>156</v>
      </c>
      <c r="AF3607">
        <v>0.56999999999999995</v>
      </c>
      <c r="AG3607">
        <v>0</v>
      </c>
      <c r="AH3607">
        <v>0</v>
      </c>
      <c r="AI3607" s="4">
        <v>35851</v>
      </c>
    </row>
    <row r="3608" spans="1:35">
      <c r="A3608">
        <v>3607</v>
      </c>
      <c r="B3608" t="str">
        <f>"600653"</f>
        <v>600653</v>
      </c>
      <c r="C3608" t="s">
        <v>15281</v>
      </c>
      <c r="D3608" s="4">
        <v>43190</v>
      </c>
      <c r="E3608" t="s">
        <v>275</v>
      </c>
      <c r="F3608" t="s">
        <v>1343</v>
      </c>
      <c r="G3608">
        <v>8945</v>
      </c>
      <c r="H3608">
        <v>-7.0000000000000007E-2</v>
      </c>
      <c r="I3608">
        <v>0.86</v>
      </c>
      <c r="J3608">
        <v>-7.32</v>
      </c>
      <c r="K3608" t="s">
        <v>747</v>
      </c>
      <c r="L3608">
        <v>42.54</v>
      </c>
      <c r="M3608" t="s">
        <v>14159</v>
      </c>
      <c r="N3608" t="s">
        <v>10922</v>
      </c>
      <c r="O3608" t="s">
        <v>13262</v>
      </c>
      <c r="P3608" t="s">
        <v>14976</v>
      </c>
      <c r="Q3608">
        <v>-55.04</v>
      </c>
      <c r="R3608" t="s">
        <v>12330</v>
      </c>
      <c r="S3608">
        <v>-0.32</v>
      </c>
      <c r="T3608">
        <v>4.54</v>
      </c>
      <c r="U3608" t="s">
        <v>2987</v>
      </c>
      <c r="V3608" t="s">
        <v>2881</v>
      </c>
      <c r="W3608" t="s">
        <v>1029</v>
      </c>
      <c r="X3608">
        <v>-7.32</v>
      </c>
      <c r="Y3608" t="s">
        <v>3167</v>
      </c>
      <c r="Z3608" t="s">
        <v>5786</v>
      </c>
      <c r="AA3608" t="s">
        <v>192</v>
      </c>
      <c r="AB3608">
        <v>2.14</v>
      </c>
      <c r="AC3608" t="s">
        <v>1569</v>
      </c>
      <c r="AD3608">
        <v>16.989999999999998</v>
      </c>
      <c r="AE3608" t="s">
        <v>597</v>
      </c>
      <c r="AF3608">
        <v>0.18</v>
      </c>
      <c r="AG3608">
        <v>0</v>
      </c>
      <c r="AH3608">
        <v>0</v>
      </c>
      <c r="AI3608" s="4">
        <v>33226</v>
      </c>
    </row>
    <row r="3609" spans="1:35">
      <c r="A3609">
        <v>3608</v>
      </c>
      <c r="B3609" t="str">
        <f>"600275"</f>
        <v>600275</v>
      </c>
      <c r="C3609" t="s">
        <v>15282</v>
      </c>
      <c r="D3609" s="4">
        <v>43190</v>
      </c>
      <c r="E3609" t="s">
        <v>44</v>
      </c>
      <c r="F3609" t="s">
        <v>44</v>
      </c>
      <c r="G3609" t="s">
        <v>2531</v>
      </c>
      <c r="H3609">
        <v>-0.02</v>
      </c>
      <c r="I3609">
        <v>0.27</v>
      </c>
      <c r="J3609">
        <v>-7.52</v>
      </c>
      <c r="K3609" t="s">
        <v>8612</v>
      </c>
      <c r="L3609">
        <v>-75.53</v>
      </c>
      <c r="M3609" t="s">
        <v>15283</v>
      </c>
      <c r="N3609" t="s">
        <v>13603</v>
      </c>
      <c r="O3609" t="s">
        <v>14524</v>
      </c>
      <c r="P3609" t="s">
        <v>15284</v>
      </c>
      <c r="Q3609">
        <v>-52.6</v>
      </c>
      <c r="R3609" t="s">
        <v>15285</v>
      </c>
      <c r="S3609">
        <v>-1.04</v>
      </c>
      <c r="T3609">
        <v>77.459999999999994</v>
      </c>
      <c r="U3609" t="s">
        <v>679</v>
      </c>
      <c r="V3609" t="s">
        <v>15286</v>
      </c>
      <c r="W3609" t="s">
        <v>2912</v>
      </c>
      <c r="X3609">
        <v>-7.52</v>
      </c>
      <c r="Y3609" t="s">
        <v>1855</v>
      </c>
      <c r="Z3609" t="s">
        <v>4603</v>
      </c>
      <c r="AA3609" t="s">
        <v>4001</v>
      </c>
      <c r="AB3609">
        <v>11.81</v>
      </c>
      <c r="AC3609" t="s">
        <v>993</v>
      </c>
      <c r="AD3609">
        <v>43.95</v>
      </c>
      <c r="AE3609" t="s">
        <v>2306</v>
      </c>
      <c r="AF3609">
        <v>0.26</v>
      </c>
      <c r="AG3609">
        <v>0</v>
      </c>
      <c r="AH3609">
        <v>0</v>
      </c>
      <c r="AI3609" s="4">
        <v>36748</v>
      </c>
    </row>
    <row r="3610" spans="1:35">
      <c r="A3610">
        <v>3609</v>
      </c>
      <c r="B3610" t="str">
        <f>"000868"</f>
        <v>000868</v>
      </c>
      <c r="C3610" t="s">
        <v>15287</v>
      </c>
      <c r="D3610" s="4">
        <v>43190</v>
      </c>
      <c r="E3610" t="s">
        <v>1993</v>
      </c>
      <c r="F3610" t="s">
        <v>1993</v>
      </c>
      <c r="G3610">
        <v>7458</v>
      </c>
      <c r="H3610">
        <v>-0.12</v>
      </c>
      <c r="I3610">
        <v>1.45</v>
      </c>
      <c r="J3610">
        <v>-7.8</v>
      </c>
      <c r="K3610" t="s">
        <v>190</v>
      </c>
      <c r="L3610">
        <v>-34.06</v>
      </c>
      <c r="M3610" t="s">
        <v>15288</v>
      </c>
      <c r="N3610" t="s">
        <v>10161</v>
      </c>
      <c r="O3610" t="s">
        <v>15289</v>
      </c>
      <c r="P3610" t="s">
        <v>15290</v>
      </c>
      <c r="Q3610">
        <v>-252.39</v>
      </c>
      <c r="R3610" t="s">
        <v>2615</v>
      </c>
      <c r="S3610">
        <v>-0.18</v>
      </c>
      <c r="T3610">
        <v>2.41</v>
      </c>
      <c r="U3610" t="s">
        <v>5363</v>
      </c>
      <c r="V3610" t="s">
        <v>1109</v>
      </c>
      <c r="W3610" t="s">
        <v>721</v>
      </c>
      <c r="X3610">
        <v>-7.8</v>
      </c>
      <c r="Y3610" t="s">
        <v>5279</v>
      </c>
      <c r="Z3610" t="s">
        <v>10780</v>
      </c>
      <c r="AA3610" t="s">
        <v>1898</v>
      </c>
      <c r="AB3610">
        <v>3.18</v>
      </c>
      <c r="AC3610" t="s">
        <v>1094</v>
      </c>
      <c r="AD3610">
        <v>12.66</v>
      </c>
      <c r="AE3610" t="s">
        <v>165</v>
      </c>
      <c r="AF3610">
        <v>0.55000000000000004</v>
      </c>
      <c r="AG3610">
        <v>0</v>
      </c>
      <c r="AH3610">
        <v>0</v>
      </c>
      <c r="AI3610" s="4">
        <v>35636</v>
      </c>
    </row>
    <row r="3611" spans="1:35">
      <c r="A3611">
        <v>3610</v>
      </c>
      <c r="B3611" t="str">
        <f>"300608"</f>
        <v>300608</v>
      </c>
      <c r="C3611" t="s">
        <v>15291</v>
      </c>
      <c r="D3611" s="4">
        <v>43190</v>
      </c>
      <c r="E3611" t="s">
        <v>1475</v>
      </c>
      <c r="F3611" t="s">
        <v>2474</v>
      </c>
      <c r="G3611">
        <v>5317</v>
      </c>
      <c r="H3611">
        <v>-0.46</v>
      </c>
      <c r="I3611">
        <v>5.45</v>
      </c>
      <c r="J3611">
        <v>-7.85</v>
      </c>
      <c r="K3611" t="s">
        <v>1181</v>
      </c>
      <c r="L3611">
        <v>14.36</v>
      </c>
      <c r="M3611" t="s">
        <v>15292</v>
      </c>
      <c r="N3611" t="s">
        <v>15293</v>
      </c>
      <c r="O3611" t="s">
        <v>15294</v>
      </c>
      <c r="P3611" t="s">
        <v>15295</v>
      </c>
      <c r="Q3611">
        <v>14.05</v>
      </c>
      <c r="R3611" t="s">
        <v>1077</v>
      </c>
      <c r="S3611">
        <v>1.49</v>
      </c>
      <c r="T3611">
        <v>27.35</v>
      </c>
      <c r="U3611" t="s">
        <v>2690</v>
      </c>
      <c r="V3611" t="s">
        <v>1658</v>
      </c>
      <c r="W3611" t="s">
        <v>7201</v>
      </c>
      <c r="X3611">
        <v>-7.85</v>
      </c>
      <c r="Y3611" t="s">
        <v>678</v>
      </c>
      <c r="Z3611" t="s">
        <v>1672</v>
      </c>
      <c r="AA3611" t="s">
        <v>8771</v>
      </c>
      <c r="AB3611">
        <v>3.71</v>
      </c>
      <c r="AC3611" t="s">
        <v>1168</v>
      </c>
      <c r="AD3611">
        <v>64.02</v>
      </c>
      <c r="AE3611" t="s">
        <v>167</v>
      </c>
      <c r="AF3611">
        <v>2.81</v>
      </c>
      <c r="AG3611">
        <v>0</v>
      </c>
      <c r="AH3611">
        <v>0</v>
      </c>
      <c r="AI3611" s="4">
        <v>42779</v>
      </c>
    </row>
    <row r="3612" spans="1:35">
      <c r="A3612">
        <v>3611</v>
      </c>
      <c r="B3612" t="str">
        <f>"000502"</f>
        <v>000502</v>
      </c>
      <c r="C3612" t="s">
        <v>15296</v>
      </c>
      <c r="D3612" s="4">
        <v>43190</v>
      </c>
      <c r="E3612" t="s">
        <v>748</v>
      </c>
      <c r="F3612" t="s">
        <v>1077</v>
      </c>
      <c r="G3612">
        <v>8201</v>
      </c>
      <c r="H3612">
        <v>-0.05</v>
      </c>
      <c r="I3612">
        <v>0.65</v>
      </c>
      <c r="J3612">
        <v>-7.88</v>
      </c>
      <c r="K3612" t="s">
        <v>10865</v>
      </c>
      <c r="L3612">
        <v>0.45</v>
      </c>
      <c r="M3612" t="s">
        <v>13788</v>
      </c>
      <c r="N3612" t="s">
        <v>15297</v>
      </c>
      <c r="O3612" t="s">
        <v>15298</v>
      </c>
      <c r="P3612" t="s">
        <v>15299</v>
      </c>
      <c r="Q3612">
        <v>53.98</v>
      </c>
      <c r="R3612" t="s">
        <v>15300</v>
      </c>
      <c r="S3612">
        <v>-0.52</v>
      </c>
      <c r="T3612">
        <v>16.82</v>
      </c>
      <c r="U3612" t="s">
        <v>1012</v>
      </c>
      <c r="V3612" t="s">
        <v>2769</v>
      </c>
      <c r="W3612" t="s">
        <v>15301</v>
      </c>
      <c r="X3612">
        <v>-7.88</v>
      </c>
      <c r="Y3612" t="s">
        <v>1968</v>
      </c>
      <c r="Z3612" t="s">
        <v>1968</v>
      </c>
      <c r="AA3612">
        <v>0</v>
      </c>
      <c r="AB3612">
        <v>13.22</v>
      </c>
      <c r="AC3612" t="s">
        <v>677</v>
      </c>
      <c r="AD3612">
        <v>23.46</v>
      </c>
      <c r="AE3612" t="s">
        <v>6512</v>
      </c>
      <c r="AF3612">
        <v>0.12</v>
      </c>
      <c r="AG3612">
        <v>0</v>
      </c>
      <c r="AH3612">
        <v>0</v>
      </c>
      <c r="AI3612" s="4">
        <v>33931</v>
      </c>
    </row>
    <row r="3613" spans="1:35">
      <c r="A3613">
        <v>3612</v>
      </c>
      <c r="B3613" t="str">
        <f>"300116"</f>
        <v>300116</v>
      </c>
      <c r="C3613" t="s">
        <v>15302</v>
      </c>
      <c r="D3613" s="4">
        <v>43190</v>
      </c>
      <c r="E3613" t="s">
        <v>306</v>
      </c>
      <c r="F3613" t="s">
        <v>101</v>
      </c>
      <c r="G3613" t="s">
        <v>1092</v>
      </c>
      <c r="H3613">
        <v>-0.13</v>
      </c>
      <c r="I3613">
        <v>1.57</v>
      </c>
      <c r="J3613">
        <v>-8.02</v>
      </c>
      <c r="K3613" t="s">
        <v>147</v>
      </c>
      <c r="L3613">
        <v>-59.88</v>
      </c>
      <c r="M3613" t="s">
        <v>15303</v>
      </c>
      <c r="N3613" t="s">
        <v>15304</v>
      </c>
      <c r="O3613" t="s">
        <v>15303</v>
      </c>
      <c r="P3613" t="s">
        <v>15305</v>
      </c>
      <c r="Q3613">
        <v>-225.86</v>
      </c>
      <c r="R3613" t="s">
        <v>15306</v>
      </c>
      <c r="S3613">
        <v>-1.44</v>
      </c>
      <c r="T3613">
        <v>18.93</v>
      </c>
      <c r="U3613" t="s">
        <v>4408</v>
      </c>
      <c r="V3613" t="s">
        <v>2799</v>
      </c>
      <c r="W3613" t="s">
        <v>2028</v>
      </c>
      <c r="X3613">
        <v>-8.02</v>
      </c>
      <c r="Y3613" t="s">
        <v>1653</v>
      </c>
      <c r="Z3613" t="s">
        <v>715</v>
      </c>
      <c r="AA3613" t="s">
        <v>273</v>
      </c>
      <c r="AB3613">
        <v>1.7</v>
      </c>
      <c r="AC3613" t="s">
        <v>1419</v>
      </c>
      <c r="AD3613">
        <v>12.96</v>
      </c>
      <c r="AE3613" t="s">
        <v>3749</v>
      </c>
      <c r="AF3613">
        <v>2.02</v>
      </c>
      <c r="AG3613">
        <v>0</v>
      </c>
      <c r="AH3613">
        <v>0</v>
      </c>
      <c r="AI3613" s="4">
        <v>40423</v>
      </c>
    </row>
    <row r="3614" spans="1:35">
      <c r="A3614">
        <v>3613</v>
      </c>
      <c r="B3614" t="str">
        <f>"002072"</f>
        <v>002072</v>
      </c>
      <c r="C3614" t="s">
        <v>15307</v>
      </c>
      <c r="D3614" s="4">
        <v>43190</v>
      </c>
      <c r="E3614" t="s">
        <v>603</v>
      </c>
      <c r="F3614" t="s">
        <v>603</v>
      </c>
      <c r="G3614" t="s">
        <v>4225</v>
      </c>
      <c r="H3614">
        <v>-0.03</v>
      </c>
      <c r="I3614">
        <v>0.32</v>
      </c>
      <c r="J3614">
        <v>-8.52</v>
      </c>
      <c r="K3614" t="s">
        <v>15308</v>
      </c>
      <c r="L3614">
        <v>90.53</v>
      </c>
      <c r="M3614" t="s">
        <v>12411</v>
      </c>
      <c r="N3614" t="s">
        <v>12014</v>
      </c>
      <c r="O3614" t="s">
        <v>12411</v>
      </c>
      <c r="P3614" t="s">
        <v>15309</v>
      </c>
      <c r="Q3614">
        <v>-85.19</v>
      </c>
      <c r="R3614" t="s">
        <v>15310</v>
      </c>
      <c r="S3614">
        <v>-1.99</v>
      </c>
      <c r="T3614">
        <v>10.51</v>
      </c>
      <c r="U3614" t="s">
        <v>189</v>
      </c>
      <c r="V3614" t="s">
        <v>381</v>
      </c>
      <c r="W3614" t="s">
        <v>3189</v>
      </c>
      <c r="X3614">
        <v>-8.52</v>
      </c>
      <c r="Y3614" t="s">
        <v>3900</v>
      </c>
      <c r="Z3614" t="s">
        <v>3900</v>
      </c>
      <c r="AA3614">
        <v>0</v>
      </c>
      <c r="AB3614">
        <v>39.89</v>
      </c>
      <c r="AC3614" t="s">
        <v>8772</v>
      </c>
      <c r="AD3614">
        <v>8.19</v>
      </c>
      <c r="AE3614" t="s">
        <v>255</v>
      </c>
      <c r="AF3614">
        <v>1.0900000000000001</v>
      </c>
      <c r="AG3614">
        <v>0</v>
      </c>
      <c r="AH3614">
        <v>0</v>
      </c>
      <c r="AI3614" s="4">
        <v>39008</v>
      </c>
    </row>
    <row r="3615" spans="1:35">
      <c r="A3615">
        <v>3614</v>
      </c>
      <c r="B3615" t="str">
        <f>"000982"</f>
        <v>000982</v>
      </c>
      <c r="C3615" t="s">
        <v>15311</v>
      </c>
      <c r="D3615" s="4">
        <v>43190</v>
      </c>
      <c r="E3615" t="s">
        <v>1455</v>
      </c>
      <c r="F3615" t="s">
        <v>1455</v>
      </c>
      <c r="G3615" t="s">
        <v>15312</v>
      </c>
      <c r="H3615">
        <v>-0.09</v>
      </c>
      <c r="I3615">
        <v>0.96</v>
      </c>
      <c r="J3615">
        <v>-9.09</v>
      </c>
      <c r="K3615" t="s">
        <v>1436</v>
      </c>
      <c r="L3615">
        <v>72.87</v>
      </c>
      <c r="M3615" t="s">
        <v>15313</v>
      </c>
      <c r="N3615" t="s">
        <v>15314</v>
      </c>
      <c r="O3615" t="s">
        <v>15315</v>
      </c>
      <c r="P3615" t="s">
        <v>15316</v>
      </c>
      <c r="Q3615">
        <v>-11.39</v>
      </c>
      <c r="R3615" t="s">
        <v>15317</v>
      </c>
      <c r="S3615">
        <v>-1.1599999999999999</v>
      </c>
      <c r="T3615">
        <v>3.6</v>
      </c>
      <c r="U3615" t="s">
        <v>315</v>
      </c>
      <c r="V3615" t="s">
        <v>2241</v>
      </c>
      <c r="W3615" t="s">
        <v>428</v>
      </c>
      <c r="X3615">
        <v>-9.09</v>
      </c>
      <c r="Y3615" t="s">
        <v>2181</v>
      </c>
      <c r="Z3615" t="s">
        <v>6720</v>
      </c>
      <c r="AA3615" t="s">
        <v>1062</v>
      </c>
      <c r="AB3615">
        <v>1.89</v>
      </c>
      <c r="AC3615" t="s">
        <v>79</v>
      </c>
      <c r="AD3615">
        <v>14.84</v>
      </c>
      <c r="AE3615" t="s">
        <v>712</v>
      </c>
      <c r="AF3615">
        <v>1.1200000000000001</v>
      </c>
      <c r="AG3615">
        <v>0</v>
      </c>
      <c r="AH3615">
        <v>0</v>
      </c>
      <c r="AI3615" s="4">
        <v>36713</v>
      </c>
    </row>
    <row r="3616" spans="1:35">
      <c r="A3616">
        <v>3615</v>
      </c>
      <c r="B3616" t="str">
        <f>"002070"</f>
        <v>002070</v>
      </c>
      <c r="C3616" t="s">
        <v>15318</v>
      </c>
      <c r="D3616" s="4">
        <v>43190</v>
      </c>
      <c r="E3616" t="s">
        <v>1567</v>
      </c>
      <c r="F3616" t="s">
        <v>3420</v>
      </c>
      <c r="G3616">
        <v>8877</v>
      </c>
      <c r="H3616">
        <v>-0.08</v>
      </c>
      <c r="I3616">
        <v>-0.92</v>
      </c>
      <c r="J3616">
        <v>-9.16</v>
      </c>
      <c r="K3616" t="s">
        <v>5937</v>
      </c>
      <c r="L3616">
        <v>-78.64</v>
      </c>
      <c r="M3616" t="s">
        <v>15319</v>
      </c>
      <c r="N3616" t="s">
        <v>15320</v>
      </c>
      <c r="O3616" t="s">
        <v>15321</v>
      </c>
      <c r="P3616" t="s">
        <v>15322</v>
      </c>
      <c r="Q3616">
        <v>-230.74</v>
      </c>
      <c r="R3616" t="s">
        <v>15323</v>
      </c>
      <c r="S3616">
        <v>-1.97</v>
      </c>
      <c r="T3616">
        <v>12.14</v>
      </c>
      <c r="U3616" t="s">
        <v>389</v>
      </c>
      <c r="V3616" t="s">
        <v>2177</v>
      </c>
      <c r="W3616" t="s">
        <v>2915</v>
      </c>
      <c r="X3616">
        <v>-9.16</v>
      </c>
      <c r="Y3616" t="s">
        <v>352</v>
      </c>
      <c r="Z3616" t="s">
        <v>2753</v>
      </c>
      <c r="AA3616" t="s">
        <v>798</v>
      </c>
      <c r="AB3616">
        <v>-4.26</v>
      </c>
      <c r="AC3616" t="s">
        <v>15324</v>
      </c>
      <c r="AD3616">
        <v>-30.55</v>
      </c>
      <c r="AE3616">
        <v>0</v>
      </c>
      <c r="AF3616">
        <v>0</v>
      </c>
      <c r="AG3616">
        <v>0</v>
      </c>
      <c r="AH3616">
        <v>0</v>
      </c>
      <c r="AI3616" s="4">
        <v>39002</v>
      </c>
    </row>
    <row r="3617" spans="1:35">
      <c r="A3617">
        <v>3616</v>
      </c>
      <c r="B3617" t="str">
        <f>"002200"</f>
        <v>002200</v>
      </c>
      <c r="C3617" t="s">
        <v>15325</v>
      </c>
      <c r="D3617" s="4">
        <v>43190</v>
      </c>
      <c r="E3617" t="s">
        <v>37</v>
      </c>
      <c r="F3617" t="s">
        <v>84</v>
      </c>
      <c r="G3617">
        <v>8448</v>
      </c>
      <c r="H3617">
        <v>-0.21</v>
      </c>
      <c r="I3617">
        <v>2.21</v>
      </c>
      <c r="J3617">
        <v>-9.1999999999999993</v>
      </c>
      <c r="K3617" t="s">
        <v>1895</v>
      </c>
      <c r="L3617">
        <v>-57.46</v>
      </c>
      <c r="M3617" t="s">
        <v>15326</v>
      </c>
      <c r="N3617" t="s">
        <v>6747</v>
      </c>
      <c r="O3617" t="s">
        <v>14954</v>
      </c>
      <c r="P3617" t="s">
        <v>15327</v>
      </c>
      <c r="Q3617">
        <v>-129.22999999999999</v>
      </c>
      <c r="R3617" t="s">
        <v>15328</v>
      </c>
      <c r="S3617">
        <v>-3.21</v>
      </c>
      <c r="T3617">
        <v>31.92</v>
      </c>
      <c r="U3617" t="s">
        <v>1054</v>
      </c>
      <c r="V3617" t="s">
        <v>865</v>
      </c>
      <c r="W3617" t="s">
        <v>15329</v>
      </c>
      <c r="X3617">
        <v>-9.1999999999999993</v>
      </c>
      <c r="Y3617" t="s">
        <v>1785</v>
      </c>
      <c r="Z3617" t="s">
        <v>2280</v>
      </c>
      <c r="AA3617" t="s">
        <v>2603</v>
      </c>
      <c r="AB3617">
        <v>3.24</v>
      </c>
      <c r="AC3617" t="s">
        <v>365</v>
      </c>
      <c r="AD3617">
        <v>12.7</v>
      </c>
      <c r="AE3617" t="s">
        <v>3769</v>
      </c>
      <c r="AF3617">
        <v>4.2</v>
      </c>
      <c r="AG3617">
        <v>0</v>
      </c>
      <c r="AH3617">
        <v>0</v>
      </c>
      <c r="AI3617" s="4">
        <v>39437</v>
      </c>
    </row>
    <row r="3618" spans="1:35">
      <c r="A3618">
        <v>3617</v>
      </c>
      <c r="B3618" t="str">
        <f>"600250"</f>
        <v>600250</v>
      </c>
      <c r="C3618" t="s">
        <v>15330</v>
      </c>
      <c r="D3618" s="4">
        <v>43190</v>
      </c>
      <c r="E3618" t="s">
        <v>507</v>
      </c>
      <c r="F3618" t="s">
        <v>507</v>
      </c>
      <c r="G3618" t="s">
        <v>1755</v>
      </c>
      <c r="H3618">
        <v>-0.17</v>
      </c>
      <c r="I3618">
        <v>1.7</v>
      </c>
      <c r="J3618">
        <v>-9.9700000000000006</v>
      </c>
      <c r="K3618" t="s">
        <v>975</v>
      </c>
      <c r="L3618">
        <v>40.96</v>
      </c>
      <c r="M3618" t="s">
        <v>15331</v>
      </c>
      <c r="N3618" t="s">
        <v>15332</v>
      </c>
      <c r="O3618" t="s">
        <v>15333</v>
      </c>
      <c r="P3618" t="s">
        <v>15334</v>
      </c>
      <c r="Q3618">
        <v>3.86</v>
      </c>
      <c r="R3618" t="s">
        <v>15335</v>
      </c>
      <c r="S3618">
        <v>-0.55000000000000004</v>
      </c>
      <c r="T3618">
        <v>3.65</v>
      </c>
      <c r="U3618" t="s">
        <v>1343</v>
      </c>
      <c r="V3618" t="s">
        <v>1761</v>
      </c>
      <c r="W3618" t="s">
        <v>15336</v>
      </c>
      <c r="X3618">
        <v>-9.9700000000000006</v>
      </c>
      <c r="Y3618" t="s">
        <v>1214</v>
      </c>
      <c r="Z3618" t="s">
        <v>924</v>
      </c>
      <c r="AA3618" t="s">
        <v>13060</v>
      </c>
      <c r="AB3618">
        <v>3.58</v>
      </c>
      <c r="AC3618" t="s">
        <v>142</v>
      </c>
      <c r="AD3618">
        <v>25.16</v>
      </c>
      <c r="AE3618" t="s">
        <v>193</v>
      </c>
      <c r="AF3618">
        <v>0.81</v>
      </c>
      <c r="AG3618">
        <v>0</v>
      </c>
      <c r="AH3618">
        <v>0</v>
      </c>
      <c r="AI3618" s="4">
        <v>36956</v>
      </c>
    </row>
    <row r="3619" spans="1:35">
      <c r="A3619">
        <v>3618</v>
      </c>
      <c r="B3619" t="str">
        <f>"000509"</f>
        <v>000509</v>
      </c>
      <c r="C3619" t="s">
        <v>15337</v>
      </c>
      <c r="D3619" s="4">
        <v>43190</v>
      </c>
      <c r="E3619" t="s">
        <v>2595</v>
      </c>
      <c r="F3619" t="s">
        <v>2595</v>
      </c>
      <c r="G3619" t="s">
        <v>6659</v>
      </c>
      <c r="H3619">
        <v>-0.01</v>
      </c>
      <c r="I3619">
        <v>0.05</v>
      </c>
      <c r="J3619">
        <v>-10.47</v>
      </c>
      <c r="K3619" t="s">
        <v>2056</v>
      </c>
      <c r="L3619">
        <v>585.13</v>
      </c>
      <c r="M3619" t="s">
        <v>12521</v>
      </c>
      <c r="N3619">
        <v>0</v>
      </c>
      <c r="O3619" t="s">
        <v>13603</v>
      </c>
      <c r="P3619" t="s">
        <v>13726</v>
      </c>
      <c r="Q3619">
        <v>-0.01</v>
      </c>
      <c r="R3619" t="s">
        <v>15218</v>
      </c>
      <c r="S3619">
        <v>-1.24</v>
      </c>
      <c r="T3619">
        <v>0.55000000000000004</v>
      </c>
      <c r="U3619" t="s">
        <v>3535</v>
      </c>
      <c r="V3619" t="s">
        <v>1288</v>
      </c>
      <c r="W3619" t="s">
        <v>9517</v>
      </c>
      <c r="X3619">
        <v>-10.47</v>
      </c>
      <c r="Y3619" t="s">
        <v>66</v>
      </c>
      <c r="Z3619" t="s">
        <v>1011</v>
      </c>
      <c r="AA3619" t="s">
        <v>9581</v>
      </c>
      <c r="AB3619">
        <v>53.83</v>
      </c>
      <c r="AC3619" t="s">
        <v>9254</v>
      </c>
      <c r="AD3619">
        <v>17.43</v>
      </c>
      <c r="AE3619" t="s">
        <v>1011</v>
      </c>
      <c r="AF3619">
        <v>0.26</v>
      </c>
      <c r="AG3619">
        <v>0</v>
      </c>
      <c r="AH3619">
        <v>0</v>
      </c>
      <c r="AI3619" s="4">
        <v>34096</v>
      </c>
    </row>
    <row r="3620" spans="1:35">
      <c r="A3620">
        <v>3619</v>
      </c>
      <c r="B3620" t="str">
        <f>"600225"</f>
        <v>600225</v>
      </c>
      <c r="C3620" t="s">
        <v>15338</v>
      </c>
      <c r="D3620" s="4">
        <v>43190</v>
      </c>
      <c r="E3620" t="s">
        <v>2134</v>
      </c>
      <c r="F3620" t="s">
        <v>62</v>
      </c>
      <c r="G3620" t="s">
        <v>15339</v>
      </c>
      <c r="H3620">
        <v>-0.17</v>
      </c>
      <c r="I3620">
        <v>1.57</v>
      </c>
      <c r="J3620">
        <v>-10.72</v>
      </c>
      <c r="K3620" t="s">
        <v>1969</v>
      </c>
      <c r="L3620">
        <v>-73.91</v>
      </c>
      <c r="M3620" t="s">
        <v>11227</v>
      </c>
      <c r="N3620" t="s">
        <v>13407</v>
      </c>
      <c r="O3620" t="s">
        <v>15237</v>
      </c>
      <c r="P3620" t="s">
        <v>15340</v>
      </c>
      <c r="Q3620">
        <v>-137.83000000000001</v>
      </c>
      <c r="R3620" t="s">
        <v>15341</v>
      </c>
      <c r="S3620">
        <v>-0.88</v>
      </c>
      <c r="T3620">
        <v>41.1</v>
      </c>
      <c r="U3620" t="s">
        <v>1453</v>
      </c>
      <c r="V3620" t="s">
        <v>1159</v>
      </c>
      <c r="W3620" t="s">
        <v>676</v>
      </c>
      <c r="X3620">
        <v>-10.72</v>
      </c>
      <c r="Y3620" t="s">
        <v>719</v>
      </c>
      <c r="Z3620" t="s">
        <v>2601</v>
      </c>
      <c r="AA3620" t="s">
        <v>1859</v>
      </c>
      <c r="AB3620">
        <v>1.87</v>
      </c>
      <c r="AC3620" t="s">
        <v>584</v>
      </c>
      <c r="AD3620">
        <v>9.9499999999999993</v>
      </c>
      <c r="AE3620" t="s">
        <v>973</v>
      </c>
      <c r="AF3620">
        <v>1.23</v>
      </c>
      <c r="AG3620">
        <v>0</v>
      </c>
      <c r="AH3620">
        <v>0</v>
      </c>
      <c r="AI3620" s="4">
        <v>36552</v>
      </c>
    </row>
    <row r="3621" spans="1:35">
      <c r="A3621">
        <v>3620</v>
      </c>
      <c r="B3621" t="str">
        <f>"600238"</f>
        <v>600238</v>
      </c>
      <c r="C3621" t="s">
        <v>15342</v>
      </c>
      <c r="D3621" s="4">
        <v>43190</v>
      </c>
      <c r="E3621" t="s">
        <v>545</v>
      </c>
      <c r="F3621" t="s">
        <v>123</v>
      </c>
      <c r="G3621" t="s">
        <v>861</v>
      </c>
      <c r="H3621">
        <v>-0.19</v>
      </c>
      <c r="I3621">
        <v>1.5</v>
      </c>
      <c r="J3621">
        <v>-12.08</v>
      </c>
      <c r="K3621" t="s">
        <v>1203</v>
      </c>
      <c r="L3621">
        <v>-0.56000000000000005</v>
      </c>
      <c r="M3621" t="s">
        <v>15343</v>
      </c>
      <c r="N3621" t="s">
        <v>1937</v>
      </c>
      <c r="O3621" t="s">
        <v>15343</v>
      </c>
      <c r="P3621" t="s">
        <v>14406</v>
      </c>
      <c r="Q3621">
        <v>-322.27</v>
      </c>
      <c r="R3621" t="s">
        <v>15344</v>
      </c>
      <c r="S3621">
        <v>-0.06</v>
      </c>
      <c r="T3621">
        <v>15.84</v>
      </c>
      <c r="U3621" t="s">
        <v>855</v>
      </c>
      <c r="V3621" t="s">
        <v>354</v>
      </c>
      <c r="W3621" t="s">
        <v>1970</v>
      </c>
      <c r="X3621">
        <v>-12.08</v>
      </c>
      <c r="Y3621" t="s">
        <v>4796</v>
      </c>
      <c r="Z3621" t="s">
        <v>97</v>
      </c>
      <c r="AA3621" t="s">
        <v>186</v>
      </c>
      <c r="AB3621">
        <v>4</v>
      </c>
      <c r="AC3621" t="s">
        <v>675</v>
      </c>
      <c r="AD3621">
        <v>44.73</v>
      </c>
      <c r="AE3621" t="s">
        <v>2115</v>
      </c>
      <c r="AF3621">
        <v>0.28000000000000003</v>
      </c>
      <c r="AG3621">
        <v>0</v>
      </c>
      <c r="AH3621">
        <v>0</v>
      </c>
      <c r="AI3621" s="4">
        <v>36545</v>
      </c>
    </row>
    <row r="3622" spans="1:35">
      <c r="A3622">
        <v>3621</v>
      </c>
      <c r="B3622" t="str">
        <f>"600550"</f>
        <v>600550</v>
      </c>
      <c r="C3622" t="s">
        <v>15345</v>
      </c>
      <c r="D3622" s="4">
        <v>43190</v>
      </c>
      <c r="E3622" t="s">
        <v>391</v>
      </c>
      <c r="F3622" t="s">
        <v>391</v>
      </c>
      <c r="G3622" t="s">
        <v>2589</v>
      </c>
      <c r="H3622">
        <v>-0.04</v>
      </c>
      <c r="I3622">
        <v>0.28999999999999998</v>
      </c>
      <c r="J3622">
        <v>-12.67</v>
      </c>
      <c r="K3622" t="s">
        <v>734</v>
      </c>
      <c r="L3622">
        <v>-38.53</v>
      </c>
      <c r="M3622" t="s">
        <v>15346</v>
      </c>
      <c r="N3622" t="s">
        <v>8430</v>
      </c>
      <c r="O3622" t="s">
        <v>15347</v>
      </c>
      <c r="P3622" t="s">
        <v>15348</v>
      </c>
      <c r="Q3622">
        <v>-354.99</v>
      </c>
      <c r="R3622" t="s">
        <v>15349</v>
      </c>
      <c r="S3622">
        <v>-2.99</v>
      </c>
      <c r="T3622">
        <v>19.440000000000001</v>
      </c>
      <c r="U3622" t="s">
        <v>7220</v>
      </c>
      <c r="V3622" t="s">
        <v>4053</v>
      </c>
      <c r="W3622" t="s">
        <v>1384</v>
      </c>
      <c r="X3622">
        <v>-12.67</v>
      </c>
      <c r="Y3622" t="s">
        <v>6938</v>
      </c>
      <c r="Z3622" t="s">
        <v>1023</v>
      </c>
      <c r="AA3622" t="s">
        <v>3587</v>
      </c>
      <c r="AB3622">
        <v>15.63</v>
      </c>
      <c r="AC3622" t="s">
        <v>3044</v>
      </c>
      <c r="AD3622">
        <v>4.91</v>
      </c>
      <c r="AE3622" t="s">
        <v>1380</v>
      </c>
      <c r="AF3622">
        <v>2.0499999999999998</v>
      </c>
      <c r="AG3622">
        <v>0</v>
      </c>
      <c r="AH3622">
        <v>0</v>
      </c>
      <c r="AI3622" s="4">
        <v>36950</v>
      </c>
    </row>
    <row r="3623" spans="1:35">
      <c r="A3623">
        <v>3622</v>
      </c>
      <c r="B3623" t="str">
        <f>"000693"</f>
        <v>000693</v>
      </c>
      <c r="C3623" t="s">
        <v>15350</v>
      </c>
      <c r="D3623" s="4">
        <v>43008</v>
      </c>
      <c r="E3623" t="s">
        <v>3471</v>
      </c>
      <c r="F3623" t="s">
        <v>91</v>
      </c>
      <c r="G3623">
        <v>4224</v>
      </c>
      <c r="H3623">
        <v>-0.21</v>
      </c>
      <c r="I3623">
        <v>1.36</v>
      </c>
      <c r="J3623">
        <v>-13.55</v>
      </c>
      <c r="K3623" t="s">
        <v>330</v>
      </c>
      <c r="L3623">
        <v>-80.55</v>
      </c>
      <c r="M3623" t="s">
        <v>15351</v>
      </c>
      <c r="N3623">
        <v>0</v>
      </c>
      <c r="O3623" t="s">
        <v>15352</v>
      </c>
      <c r="P3623" t="s">
        <v>15352</v>
      </c>
      <c r="Q3623">
        <v>-27.27</v>
      </c>
      <c r="R3623" t="s">
        <v>15353</v>
      </c>
      <c r="S3623">
        <v>0.14000000000000001</v>
      </c>
      <c r="T3623">
        <v>-0.12</v>
      </c>
      <c r="U3623" t="s">
        <v>2667</v>
      </c>
      <c r="V3623" t="s">
        <v>2057</v>
      </c>
      <c r="W3623" t="s">
        <v>1797</v>
      </c>
      <c r="X3623">
        <v>-13.55</v>
      </c>
      <c r="Y3623" t="s">
        <v>756</v>
      </c>
      <c r="Z3623" t="s">
        <v>1704</v>
      </c>
      <c r="AA3623" t="s">
        <v>4552</v>
      </c>
      <c r="AB3623">
        <v>2.44</v>
      </c>
      <c r="AC3623" t="s">
        <v>2194</v>
      </c>
      <c r="AD3623">
        <v>19.43</v>
      </c>
      <c r="AE3623" t="s">
        <v>15354</v>
      </c>
      <c r="AF3623">
        <v>-0.06</v>
      </c>
      <c r="AG3623">
        <v>0</v>
      </c>
      <c r="AH3623">
        <v>0</v>
      </c>
      <c r="AI3623" s="4">
        <v>35487</v>
      </c>
    </row>
    <row r="3624" spans="1:35">
      <c r="A3624">
        <v>3623</v>
      </c>
      <c r="B3624" t="str">
        <f>"002260"</f>
        <v>002260</v>
      </c>
      <c r="C3624" t="s">
        <v>15355</v>
      </c>
      <c r="D3624" s="4">
        <v>43190</v>
      </c>
      <c r="E3624" t="s">
        <v>81</v>
      </c>
      <c r="F3624" t="s">
        <v>81</v>
      </c>
      <c r="G3624">
        <v>7871</v>
      </c>
      <c r="H3624">
        <v>-0.09</v>
      </c>
      <c r="I3624">
        <v>-0.71</v>
      </c>
      <c r="J3624">
        <v>-13.63</v>
      </c>
      <c r="K3624" t="s">
        <v>505</v>
      </c>
      <c r="L3624">
        <v>-3.79</v>
      </c>
      <c r="M3624" t="s">
        <v>15356</v>
      </c>
      <c r="N3624" t="s">
        <v>13793</v>
      </c>
      <c r="O3624" t="s">
        <v>15357</v>
      </c>
      <c r="P3624" t="s">
        <v>15358</v>
      </c>
      <c r="Q3624">
        <v>-60.68</v>
      </c>
      <c r="R3624" t="s">
        <v>15359</v>
      </c>
      <c r="S3624">
        <v>-1.88</v>
      </c>
      <c r="T3624">
        <v>18.5</v>
      </c>
      <c r="U3624" t="s">
        <v>1166</v>
      </c>
      <c r="V3624" t="s">
        <v>2774</v>
      </c>
      <c r="W3624" t="s">
        <v>3941</v>
      </c>
      <c r="X3624">
        <v>-13.63</v>
      </c>
      <c r="Y3624" t="s">
        <v>4863</v>
      </c>
      <c r="Z3624" t="s">
        <v>1872</v>
      </c>
      <c r="AA3624" t="s">
        <v>5191</v>
      </c>
      <c r="AB3624">
        <v>-10.1</v>
      </c>
      <c r="AC3624" t="s">
        <v>14247</v>
      </c>
      <c r="AD3624">
        <v>-34.44</v>
      </c>
      <c r="AE3624" t="s">
        <v>9273</v>
      </c>
      <c r="AF3624">
        <v>0.02</v>
      </c>
      <c r="AG3624">
        <v>0</v>
      </c>
      <c r="AH3624">
        <v>0</v>
      </c>
      <c r="AI3624" s="4">
        <v>39645</v>
      </c>
    </row>
    <row r="3625" spans="1:35">
      <c r="A3625">
        <v>3624</v>
      </c>
      <c r="B3625" t="str">
        <f>"000409"</f>
        <v>000409</v>
      </c>
      <c r="C3625" t="s">
        <v>15360</v>
      </c>
      <c r="D3625" s="4">
        <v>43008</v>
      </c>
      <c r="E3625" t="s">
        <v>1309</v>
      </c>
      <c r="F3625" t="s">
        <v>2953</v>
      </c>
      <c r="G3625">
        <v>9810</v>
      </c>
      <c r="H3625">
        <v>-0.25</v>
      </c>
      <c r="I3625">
        <v>1.58</v>
      </c>
      <c r="J3625">
        <v>-14.6</v>
      </c>
      <c r="K3625" t="s">
        <v>1384</v>
      </c>
      <c r="L3625">
        <v>-32.9</v>
      </c>
      <c r="M3625" t="s">
        <v>15361</v>
      </c>
      <c r="N3625">
        <v>0</v>
      </c>
      <c r="O3625" t="s">
        <v>12495</v>
      </c>
      <c r="P3625" t="s">
        <v>14653</v>
      </c>
      <c r="Q3625">
        <v>-6308.35</v>
      </c>
      <c r="R3625" t="s">
        <v>14976</v>
      </c>
      <c r="S3625">
        <v>-0.25</v>
      </c>
      <c r="T3625">
        <v>11.01</v>
      </c>
      <c r="U3625" t="s">
        <v>4310</v>
      </c>
      <c r="V3625" t="s">
        <v>1039</v>
      </c>
      <c r="W3625" t="s">
        <v>2731</v>
      </c>
      <c r="X3625">
        <v>-14.6</v>
      </c>
      <c r="Y3625" t="s">
        <v>739</v>
      </c>
      <c r="Z3625" t="s">
        <v>2600</v>
      </c>
      <c r="AA3625" t="s">
        <v>699</v>
      </c>
      <c r="AB3625">
        <v>2.67</v>
      </c>
      <c r="AC3625" t="s">
        <v>358</v>
      </c>
      <c r="AD3625">
        <v>12.33</v>
      </c>
      <c r="AE3625" t="s">
        <v>599</v>
      </c>
      <c r="AF3625">
        <v>0.83</v>
      </c>
      <c r="AG3625">
        <v>0</v>
      </c>
      <c r="AH3625">
        <v>0</v>
      </c>
      <c r="AI3625" s="4">
        <v>35243</v>
      </c>
    </row>
    <row r="3626" spans="1:35">
      <c r="A3626">
        <v>3625</v>
      </c>
      <c r="B3626" t="str">
        <f>"000911"</f>
        <v>000911</v>
      </c>
      <c r="C3626" t="s">
        <v>15362</v>
      </c>
      <c r="D3626" s="4">
        <v>43190</v>
      </c>
      <c r="E3626" t="s">
        <v>144</v>
      </c>
      <c r="F3626" t="s">
        <v>144</v>
      </c>
      <c r="G3626">
        <v>6338</v>
      </c>
      <c r="H3626">
        <v>-0.6</v>
      </c>
      <c r="I3626">
        <v>3.73</v>
      </c>
      <c r="J3626">
        <v>-14.84</v>
      </c>
      <c r="K3626" t="s">
        <v>259</v>
      </c>
      <c r="L3626">
        <v>-19.95</v>
      </c>
      <c r="M3626" t="s">
        <v>15236</v>
      </c>
      <c r="N3626">
        <v>-7360</v>
      </c>
      <c r="O3626" t="s">
        <v>15236</v>
      </c>
      <c r="P3626" t="s">
        <v>14944</v>
      </c>
      <c r="Q3626">
        <v>-6662.73</v>
      </c>
      <c r="R3626" t="s">
        <v>15363</v>
      </c>
      <c r="S3626">
        <v>-2.1800000000000002</v>
      </c>
      <c r="T3626">
        <v>-6.45</v>
      </c>
      <c r="U3626" t="s">
        <v>1571</v>
      </c>
      <c r="V3626" t="s">
        <v>111</v>
      </c>
      <c r="W3626" t="s">
        <v>747</v>
      </c>
      <c r="X3626">
        <v>-14.84</v>
      </c>
      <c r="Y3626" t="s">
        <v>400</v>
      </c>
      <c r="Z3626" t="s">
        <v>1776</v>
      </c>
      <c r="AA3626" t="s">
        <v>983</v>
      </c>
      <c r="AB3626">
        <v>1.51</v>
      </c>
      <c r="AC3626" t="s">
        <v>264</v>
      </c>
      <c r="AD3626">
        <v>14.66</v>
      </c>
      <c r="AE3626" t="s">
        <v>161</v>
      </c>
      <c r="AF3626">
        <v>4.4400000000000004</v>
      </c>
      <c r="AG3626">
        <v>0</v>
      </c>
      <c r="AH3626">
        <v>0</v>
      </c>
      <c r="AI3626" s="4">
        <v>36307</v>
      </c>
    </row>
    <row r="3627" spans="1:35">
      <c r="A3627">
        <v>3626</v>
      </c>
      <c r="B3627" t="str">
        <f>"600306"</f>
        <v>600306</v>
      </c>
      <c r="C3627" t="s">
        <v>15364</v>
      </c>
      <c r="D3627" s="4">
        <v>43190</v>
      </c>
      <c r="E3627" t="s">
        <v>1202</v>
      </c>
      <c r="F3627" t="s">
        <v>1597</v>
      </c>
      <c r="G3627">
        <v>9312</v>
      </c>
      <c r="H3627">
        <v>-0.14000000000000001</v>
      </c>
      <c r="I3627">
        <v>0.7</v>
      </c>
      <c r="J3627">
        <v>-17.79</v>
      </c>
      <c r="K3627" t="s">
        <v>1489</v>
      </c>
      <c r="L3627">
        <v>0.01</v>
      </c>
      <c r="M3627" t="s">
        <v>14979</v>
      </c>
      <c r="N3627">
        <v>0</v>
      </c>
      <c r="O3627" t="s">
        <v>14979</v>
      </c>
      <c r="P3627" t="s">
        <v>15365</v>
      </c>
      <c r="Q3627">
        <v>-114.19</v>
      </c>
      <c r="R3627" t="s">
        <v>15366</v>
      </c>
      <c r="S3627">
        <v>-1.55</v>
      </c>
      <c r="T3627">
        <v>16.850000000000001</v>
      </c>
      <c r="U3627" t="s">
        <v>1752</v>
      </c>
      <c r="V3627" t="s">
        <v>2563</v>
      </c>
      <c r="W3627" t="s">
        <v>699</v>
      </c>
      <c r="X3627">
        <v>-17.79</v>
      </c>
      <c r="Y3627" t="s">
        <v>757</v>
      </c>
      <c r="Z3627" t="s">
        <v>303</v>
      </c>
      <c r="AA3627" t="s">
        <v>6086</v>
      </c>
      <c r="AB3627">
        <v>8.83</v>
      </c>
      <c r="AC3627" t="s">
        <v>2603</v>
      </c>
      <c r="AD3627">
        <v>6.49</v>
      </c>
      <c r="AE3627" t="s">
        <v>292</v>
      </c>
      <c r="AF3627">
        <v>1.1399999999999999</v>
      </c>
      <c r="AG3627">
        <v>0</v>
      </c>
      <c r="AH3627">
        <v>0</v>
      </c>
      <c r="AI3627" s="4">
        <v>36886</v>
      </c>
    </row>
    <row r="3628" spans="1:35">
      <c r="A3628">
        <v>3627</v>
      </c>
      <c r="B3628" t="str">
        <f>"600289"</f>
        <v>600289</v>
      </c>
      <c r="C3628" t="s">
        <v>15367</v>
      </c>
      <c r="D3628" s="4">
        <v>43190</v>
      </c>
      <c r="E3628" t="s">
        <v>1761</v>
      </c>
      <c r="F3628" t="s">
        <v>2398</v>
      </c>
      <c r="G3628" t="s">
        <v>2349</v>
      </c>
      <c r="H3628">
        <v>-0.18</v>
      </c>
      <c r="I3628">
        <v>0.94</v>
      </c>
      <c r="J3628">
        <v>-17.84</v>
      </c>
      <c r="K3628" t="s">
        <v>618</v>
      </c>
      <c r="L3628">
        <v>-33.49</v>
      </c>
      <c r="M3628" t="s">
        <v>14928</v>
      </c>
      <c r="N3628">
        <v>0</v>
      </c>
      <c r="O3628" t="s">
        <v>14928</v>
      </c>
      <c r="P3628" t="s">
        <v>12495</v>
      </c>
      <c r="Q3628">
        <v>-1641.41</v>
      </c>
      <c r="R3628" t="s">
        <v>15368</v>
      </c>
      <c r="S3628">
        <v>-2.73</v>
      </c>
      <c r="T3628">
        <v>70.040000000000006</v>
      </c>
      <c r="U3628" t="s">
        <v>356</v>
      </c>
      <c r="V3628" t="s">
        <v>114</v>
      </c>
      <c r="W3628" t="s">
        <v>800</v>
      </c>
      <c r="X3628">
        <v>-17.84</v>
      </c>
      <c r="Y3628" t="s">
        <v>243</v>
      </c>
      <c r="Z3628" t="s">
        <v>2310</v>
      </c>
      <c r="AA3628" t="s">
        <v>298</v>
      </c>
      <c r="AB3628">
        <v>2.72</v>
      </c>
      <c r="AC3628" t="s">
        <v>456</v>
      </c>
      <c r="AD3628">
        <v>20.95</v>
      </c>
      <c r="AE3628" t="s">
        <v>1384</v>
      </c>
      <c r="AF3628">
        <v>2.2400000000000002</v>
      </c>
      <c r="AG3628">
        <v>0</v>
      </c>
      <c r="AH3628">
        <v>0</v>
      </c>
      <c r="AI3628" s="4">
        <v>36727</v>
      </c>
    </row>
    <row r="3629" spans="1:35">
      <c r="A3629">
        <v>3628</v>
      </c>
      <c r="B3629" t="str">
        <f>"600401"</f>
        <v>600401</v>
      </c>
      <c r="C3629" t="s">
        <v>15369</v>
      </c>
      <c r="D3629" s="4">
        <v>43190</v>
      </c>
      <c r="E3629" t="s">
        <v>3887</v>
      </c>
      <c r="F3629" t="s">
        <v>3887</v>
      </c>
      <c r="G3629" t="s">
        <v>5615</v>
      </c>
      <c r="H3629">
        <v>-0.04</v>
      </c>
      <c r="I3629">
        <v>0.21</v>
      </c>
      <c r="J3629">
        <v>-17.93</v>
      </c>
      <c r="K3629" t="s">
        <v>1124</v>
      </c>
      <c r="L3629">
        <v>-61.5</v>
      </c>
      <c r="M3629" t="s">
        <v>13119</v>
      </c>
      <c r="N3629" t="s">
        <v>4580</v>
      </c>
      <c r="O3629" t="s">
        <v>15370</v>
      </c>
      <c r="P3629" t="s">
        <v>15236</v>
      </c>
      <c r="Q3629">
        <v>31.13</v>
      </c>
      <c r="R3629" t="s">
        <v>15371</v>
      </c>
      <c r="S3629">
        <v>-1.05</v>
      </c>
      <c r="T3629">
        <v>1.45</v>
      </c>
      <c r="U3629" t="s">
        <v>719</v>
      </c>
      <c r="V3629" t="s">
        <v>3653</v>
      </c>
      <c r="W3629" t="s">
        <v>3755</v>
      </c>
      <c r="X3629">
        <v>-17.93</v>
      </c>
      <c r="Y3629" t="s">
        <v>1089</v>
      </c>
      <c r="Z3629" t="s">
        <v>1950</v>
      </c>
      <c r="AA3629" t="s">
        <v>1313</v>
      </c>
      <c r="AB3629">
        <v>4.16</v>
      </c>
      <c r="AC3629" t="s">
        <v>3630</v>
      </c>
      <c r="AD3629">
        <v>7.61</v>
      </c>
      <c r="AE3629" t="s">
        <v>300</v>
      </c>
      <c r="AF3629">
        <v>0.27</v>
      </c>
      <c r="AG3629">
        <v>0</v>
      </c>
      <c r="AH3629">
        <v>0</v>
      </c>
      <c r="AI3629" s="4">
        <v>37888</v>
      </c>
    </row>
    <row r="3630" spans="1:35">
      <c r="A3630">
        <v>3629</v>
      </c>
      <c r="B3630" t="str">
        <f>"600265"</f>
        <v>600265</v>
      </c>
      <c r="C3630" t="s">
        <v>15372</v>
      </c>
      <c r="D3630" s="4">
        <v>43190</v>
      </c>
      <c r="E3630" t="s">
        <v>802</v>
      </c>
      <c r="F3630" t="s">
        <v>802</v>
      </c>
      <c r="G3630" t="s">
        <v>5297</v>
      </c>
      <c r="H3630">
        <v>-0.05</v>
      </c>
      <c r="I3630">
        <v>0.17</v>
      </c>
      <c r="J3630">
        <v>-24.7</v>
      </c>
      <c r="K3630" t="s">
        <v>7133</v>
      </c>
      <c r="L3630">
        <v>-22.07</v>
      </c>
      <c r="M3630" t="s">
        <v>15373</v>
      </c>
      <c r="N3630">
        <v>0</v>
      </c>
      <c r="O3630" t="s">
        <v>15052</v>
      </c>
      <c r="P3630" t="s">
        <v>15008</v>
      </c>
      <c r="Q3630">
        <v>-0.35</v>
      </c>
      <c r="R3630" t="s">
        <v>15374</v>
      </c>
      <c r="S3630">
        <v>-3.12</v>
      </c>
      <c r="T3630">
        <v>4.09</v>
      </c>
      <c r="U3630" t="s">
        <v>559</v>
      </c>
      <c r="V3630" t="s">
        <v>454</v>
      </c>
      <c r="W3630" t="s">
        <v>3076</v>
      </c>
      <c r="X3630">
        <v>-24.7</v>
      </c>
      <c r="Y3630" t="s">
        <v>1206</v>
      </c>
      <c r="Z3630" t="s">
        <v>1459</v>
      </c>
      <c r="AA3630" t="s">
        <v>200</v>
      </c>
      <c r="AB3630">
        <v>124.55</v>
      </c>
      <c r="AC3630" t="s">
        <v>4798</v>
      </c>
      <c r="AD3630">
        <v>6.97</v>
      </c>
      <c r="AE3630" t="s">
        <v>1067</v>
      </c>
      <c r="AF3630">
        <v>2.1800000000000002</v>
      </c>
      <c r="AG3630">
        <v>0</v>
      </c>
      <c r="AH3630">
        <v>0</v>
      </c>
      <c r="AI3630" s="4">
        <v>36763</v>
      </c>
    </row>
    <row r="3631" spans="1:35">
      <c r="A3631">
        <v>3630</v>
      </c>
      <c r="B3631" t="str">
        <f>"600800"</f>
        <v>600800</v>
      </c>
      <c r="C3631" t="s">
        <v>15375</v>
      </c>
      <c r="D3631" s="4">
        <v>43190</v>
      </c>
      <c r="E3631" t="s">
        <v>2674</v>
      </c>
      <c r="F3631" t="s">
        <v>2674</v>
      </c>
      <c r="G3631">
        <v>9715</v>
      </c>
      <c r="H3631">
        <v>-0.02</v>
      </c>
      <c r="I3631">
        <v>7.0000000000000007E-2</v>
      </c>
      <c r="J3631">
        <v>-24.81</v>
      </c>
      <c r="K3631" t="s">
        <v>12517</v>
      </c>
      <c r="L3631">
        <v>24.82</v>
      </c>
      <c r="M3631" t="s">
        <v>14368</v>
      </c>
      <c r="N3631" t="s">
        <v>15376</v>
      </c>
      <c r="O3631" t="s">
        <v>14368</v>
      </c>
      <c r="P3631" t="s">
        <v>15377</v>
      </c>
      <c r="Q3631">
        <v>21.07</v>
      </c>
      <c r="R3631" t="s">
        <v>15378</v>
      </c>
      <c r="S3631">
        <v>-1.22</v>
      </c>
      <c r="T3631">
        <v>17.25</v>
      </c>
      <c r="U3631" t="s">
        <v>44</v>
      </c>
      <c r="V3631" t="s">
        <v>696</v>
      </c>
      <c r="W3631" t="s">
        <v>15379</v>
      </c>
      <c r="X3631">
        <v>-24.81</v>
      </c>
      <c r="Y3631" t="s">
        <v>2789</v>
      </c>
      <c r="Z3631" t="s">
        <v>2036</v>
      </c>
      <c r="AA3631" t="s">
        <v>9123</v>
      </c>
      <c r="AB3631">
        <v>73.38</v>
      </c>
      <c r="AC3631" t="s">
        <v>9556</v>
      </c>
      <c r="AD3631">
        <v>8.9499999999999993</v>
      </c>
      <c r="AE3631" t="s">
        <v>1370</v>
      </c>
      <c r="AF3631">
        <v>0.22</v>
      </c>
      <c r="AG3631">
        <v>0</v>
      </c>
      <c r="AH3631">
        <v>0</v>
      </c>
      <c r="AI3631" s="4">
        <v>34309</v>
      </c>
    </row>
    <row r="3632" spans="1:35">
      <c r="A3632">
        <v>3631</v>
      </c>
      <c r="B3632" t="str">
        <f>"000707"</f>
        <v>000707</v>
      </c>
      <c r="C3632" t="s">
        <v>15380</v>
      </c>
      <c r="D3632" s="4">
        <v>43190</v>
      </c>
      <c r="E3632" t="s">
        <v>4613</v>
      </c>
      <c r="F3632" t="s">
        <v>4613</v>
      </c>
      <c r="G3632" t="s">
        <v>103</v>
      </c>
      <c r="H3632">
        <v>-0.2</v>
      </c>
      <c r="I3632">
        <v>0.57999999999999996</v>
      </c>
      <c r="J3632">
        <v>-28.45</v>
      </c>
      <c r="K3632" t="s">
        <v>125</v>
      </c>
      <c r="L3632">
        <v>-0.49</v>
      </c>
      <c r="M3632" t="s">
        <v>12043</v>
      </c>
      <c r="N3632" t="s">
        <v>7767</v>
      </c>
      <c r="O3632" t="s">
        <v>15381</v>
      </c>
      <c r="P3632" t="s">
        <v>15382</v>
      </c>
      <c r="Q3632">
        <v>-391.49</v>
      </c>
      <c r="R3632" t="s">
        <v>15383</v>
      </c>
      <c r="S3632">
        <v>-3.12</v>
      </c>
      <c r="T3632">
        <v>4.45</v>
      </c>
      <c r="U3632" t="s">
        <v>8769</v>
      </c>
      <c r="V3632" t="s">
        <v>3653</v>
      </c>
      <c r="W3632" t="s">
        <v>305</v>
      </c>
      <c r="X3632">
        <v>-28.45</v>
      </c>
      <c r="Y3632" t="s">
        <v>1192</v>
      </c>
      <c r="Z3632" t="s">
        <v>526</v>
      </c>
      <c r="AA3632" t="s">
        <v>405</v>
      </c>
      <c r="AB3632">
        <v>4.26</v>
      </c>
      <c r="AC3632" t="s">
        <v>122</v>
      </c>
      <c r="AD3632">
        <v>2.88</v>
      </c>
      <c r="AE3632" t="s">
        <v>1249</v>
      </c>
      <c r="AF3632">
        <v>1.58</v>
      </c>
      <c r="AG3632">
        <v>0</v>
      </c>
      <c r="AH3632">
        <v>0</v>
      </c>
      <c r="AI3632" s="4">
        <v>35535</v>
      </c>
    </row>
    <row r="3633" spans="1:35">
      <c r="A3633">
        <v>3632</v>
      </c>
      <c r="B3633" t="str">
        <f>"000504"</f>
        <v>000504</v>
      </c>
      <c r="C3633" t="s">
        <v>15384</v>
      </c>
      <c r="D3633" s="4">
        <v>43190</v>
      </c>
      <c r="E3633" t="s">
        <v>2551</v>
      </c>
      <c r="F3633" t="s">
        <v>679</v>
      </c>
      <c r="G3633" t="s">
        <v>1691</v>
      </c>
      <c r="H3633">
        <v>-0.02</v>
      </c>
      <c r="I3633">
        <v>0.06</v>
      </c>
      <c r="J3633">
        <v>-34.58</v>
      </c>
      <c r="K3633" t="s">
        <v>15385</v>
      </c>
      <c r="L3633">
        <v>486.45</v>
      </c>
      <c r="M3633" t="s">
        <v>13689</v>
      </c>
      <c r="N3633" t="s">
        <v>12358</v>
      </c>
      <c r="O3633" t="s">
        <v>15386</v>
      </c>
      <c r="P3633" t="s">
        <v>13954</v>
      </c>
      <c r="Q3633">
        <v>-48.36</v>
      </c>
      <c r="R3633" t="s">
        <v>15387</v>
      </c>
      <c r="S3633">
        <v>-1.51</v>
      </c>
      <c r="T3633">
        <v>56.07</v>
      </c>
      <c r="U3633" t="s">
        <v>3119</v>
      </c>
      <c r="V3633" t="s">
        <v>118</v>
      </c>
      <c r="W3633" t="s">
        <v>4439</v>
      </c>
      <c r="X3633">
        <v>-34.58</v>
      </c>
      <c r="Y3633" t="s">
        <v>4871</v>
      </c>
      <c r="Z3633" t="s">
        <v>3535</v>
      </c>
      <c r="AA3633" t="s">
        <v>8986</v>
      </c>
      <c r="AB3633">
        <v>381.42</v>
      </c>
      <c r="AC3633" t="s">
        <v>10389</v>
      </c>
      <c r="AD3633">
        <v>4.1900000000000004</v>
      </c>
      <c r="AE3633" t="s">
        <v>920</v>
      </c>
      <c r="AF3633">
        <v>0.45</v>
      </c>
      <c r="AG3633">
        <v>0</v>
      </c>
      <c r="AH3633">
        <v>0</v>
      </c>
      <c r="AI3633" s="4">
        <v>33946</v>
      </c>
    </row>
    <row r="3634" spans="1:35">
      <c r="A3634">
        <v>3633</v>
      </c>
      <c r="B3634" t="str">
        <f>"600421"</f>
        <v>600421</v>
      </c>
      <c r="C3634" t="s">
        <v>15388</v>
      </c>
      <c r="D3634" s="4">
        <v>43190</v>
      </c>
      <c r="E3634" t="s">
        <v>1624</v>
      </c>
      <c r="F3634" t="s">
        <v>1624</v>
      </c>
      <c r="G3634" t="s">
        <v>6402</v>
      </c>
      <c r="H3634">
        <v>-0.01</v>
      </c>
      <c r="I3634">
        <v>0.02</v>
      </c>
      <c r="J3634">
        <v>-43.01</v>
      </c>
      <c r="K3634">
        <v>0</v>
      </c>
      <c r="L3634">
        <v>0</v>
      </c>
      <c r="M3634" t="s">
        <v>15389</v>
      </c>
      <c r="N3634">
        <v>0</v>
      </c>
      <c r="O3634" t="s">
        <v>13427</v>
      </c>
      <c r="P3634" t="s">
        <v>15390</v>
      </c>
      <c r="Q3634">
        <v>-268.7</v>
      </c>
      <c r="R3634" t="s">
        <v>15391</v>
      </c>
      <c r="S3634">
        <v>-2.15</v>
      </c>
      <c r="T3634">
        <v>0</v>
      </c>
      <c r="U3634" t="s">
        <v>15392</v>
      </c>
      <c r="V3634" t="s">
        <v>4486</v>
      </c>
      <c r="W3634" t="s">
        <v>3058</v>
      </c>
      <c r="X3634">
        <v>-43.01</v>
      </c>
      <c r="Y3634" t="s">
        <v>5167</v>
      </c>
      <c r="Z3634" t="s">
        <v>12211</v>
      </c>
      <c r="AA3634" t="s">
        <v>5781</v>
      </c>
      <c r="AB3634">
        <v>255.88</v>
      </c>
      <c r="AC3634" t="s">
        <v>10065</v>
      </c>
      <c r="AD3634">
        <v>8.56</v>
      </c>
      <c r="AE3634" t="s">
        <v>3768</v>
      </c>
      <c r="AF3634">
        <v>1.03</v>
      </c>
      <c r="AG3634">
        <v>0</v>
      </c>
      <c r="AH3634">
        <v>0</v>
      </c>
      <c r="AI3634" s="4">
        <v>38145</v>
      </c>
    </row>
    <row r="3635" spans="1:35">
      <c r="A3635">
        <v>3634</v>
      </c>
      <c r="B3635" t="str">
        <f>"002306"</f>
        <v>002306</v>
      </c>
      <c r="C3635" t="s">
        <v>15393</v>
      </c>
      <c r="D3635" s="4">
        <v>43190</v>
      </c>
      <c r="E3635" t="s">
        <v>539</v>
      </c>
      <c r="F3635" t="s">
        <v>2192</v>
      </c>
      <c r="G3635" t="s">
        <v>2506</v>
      </c>
      <c r="H3635">
        <v>-0.01</v>
      </c>
      <c r="I3635">
        <v>0.01</v>
      </c>
      <c r="J3635">
        <v>-51.06</v>
      </c>
      <c r="K3635" t="s">
        <v>12914</v>
      </c>
      <c r="L3635">
        <v>-21.28</v>
      </c>
      <c r="M3635" t="s">
        <v>15394</v>
      </c>
      <c r="N3635">
        <v>0</v>
      </c>
      <c r="O3635" t="s">
        <v>15394</v>
      </c>
      <c r="P3635" t="s">
        <v>13743</v>
      </c>
      <c r="Q3635">
        <v>-67.36</v>
      </c>
      <c r="R3635" t="s">
        <v>5031</v>
      </c>
      <c r="S3635">
        <v>-1.44</v>
      </c>
      <c r="T3635">
        <v>45.92</v>
      </c>
      <c r="U3635" t="s">
        <v>14181</v>
      </c>
      <c r="V3635" t="s">
        <v>15395</v>
      </c>
      <c r="W3635" t="s">
        <v>6597</v>
      </c>
      <c r="X3635">
        <v>-51.06</v>
      </c>
      <c r="Y3635" t="s">
        <v>8953</v>
      </c>
      <c r="Z3635" t="s">
        <v>8953</v>
      </c>
      <c r="AA3635">
        <v>0</v>
      </c>
      <c r="AB3635">
        <v>309.56</v>
      </c>
      <c r="AC3635" t="s">
        <v>4341</v>
      </c>
      <c r="AD3635">
        <v>10.27</v>
      </c>
      <c r="AE3635" t="s">
        <v>89</v>
      </c>
      <c r="AF3635">
        <v>0.41</v>
      </c>
      <c r="AG3635">
        <v>0</v>
      </c>
      <c r="AH3635">
        <v>0</v>
      </c>
      <c r="AI3635" s="4">
        <v>40128</v>
      </c>
    </row>
    <row r="3636" spans="1:35">
      <c r="A3636">
        <v>3635</v>
      </c>
      <c r="B3636" t="str">
        <f>"300104"</f>
        <v>300104</v>
      </c>
      <c r="C3636" t="s">
        <v>15396</v>
      </c>
      <c r="D3636" s="4">
        <v>43190</v>
      </c>
      <c r="E3636" t="s">
        <v>1031</v>
      </c>
      <c r="F3636" t="s">
        <v>1515</v>
      </c>
      <c r="G3636">
        <v>9303</v>
      </c>
      <c r="H3636">
        <v>-0.08</v>
      </c>
      <c r="I3636">
        <v>0.08</v>
      </c>
      <c r="J3636">
        <v>-63.52</v>
      </c>
      <c r="K3636" t="s">
        <v>4794</v>
      </c>
      <c r="L3636">
        <v>-89.41</v>
      </c>
      <c r="M3636" t="s">
        <v>15397</v>
      </c>
      <c r="N3636">
        <v>0</v>
      </c>
      <c r="O3636" t="s">
        <v>15397</v>
      </c>
      <c r="P3636" t="s">
        <v>15398</v>
      </c>
      <c r="Q3636">
        <v>-346.2</v>
      </c>
      <c r="R3636" t="s">
        <v>15399</v>
      </c>
      <c r="S3636">
        <v>-3.14</v>
      </c>
      <c r="T3636">
        <v>-23.79</v>
      </c>
      <c r="U3636" t="s">
        <v>1114</v>
      </c>
      <c r="V3636" t="s">
        <v>836</v>
      </c>
      <c r="W3636" t="s">
        <v>1615</v>
      </c>
      <c r="X3636">
        <v>-63.52</v>
      </c>
      <c r="Y3636" t="s">
        <v>4462</v>
      </c>
      <c r="Z3636" t="s">
        <v>1453</v>
      </c>
      <c r="AA3636" t="s">
        <v>1258</v>
      </c>
      <c r="AB3636">
        <v>42.34</v>
      </c>
      <c r="AC3636" t="s">
        <v>145</v>
      </c>
      <c r="AD3636">
        <v>1.74</v>
      </c>
      <c r="AE3636" t="s">
        <v>4911</v>
      </c>
      <c r="AF3636">
        <v>2.17</v>
      </c>
      <c r="AG3636">
        <v>0</v>
      </c>
      <c r="AH3636">
        <v>0</v>
      </c>
      <c r="AI3636" s="4">
        <v>40402</v>
      </c>
    </row>
    <row r="3637" spans="1:35">
      <c r="A3637">
        <v>3636</v>
      </c>
      <c r="B3637" t="str">
        <f>"600432"</f>
        <v>600432</v>
      </c>
      <c r="C3637" t="s">
        <v>15400</v>
      </c>
      <c r="D3637" s="4">
        <v>43190</v>
      </c>
      <c r="E3637" t="s">
        <v>847</v>
      </c>
      <c r="F3637" t="s">
        <v>847</v>
      </c>
      <c r="G3637" t="s">
        <v>9346</v>
      </c>
      <c r="H3637">
        <v>-0.13</v>
      </c>
      <c r="I3637">
        <v>-0.56000000000000005</v>
      </c>
      <c r="J3637">
        <v>-63.63</v>
      </c>
      <c r="K3637" t="s">
        <v>782</v>
      </c>
      <c r="L3637">
        <v>27.02</v>
      </c>
      <c r="M3637" t="s">
        <v>11227</v>
      </c>
      <c r="N3637" t="s">
        <v>15401</v>
      </c>
      <c r="O3637" t="s">
        <v>15237</v>
      </c>
      <c r="P3637" t="s">
        <v>15014</v>
      </c>
      <c r="Q3637">
        <v>-23.36</v>
      </c>
      <c r="R3637" t="s">
        <v>15402</v>
      </c>
      <c r="S3637">
        <v>-4.4400000000000004</v>
      </c>
      <c r="T3637">
        <v>16.260000000000002</v>
      </c>
      <c r="U3637" t="s">
        <v>841</v>
      </c>
      <c r="V3637" t="s">
        <v>1242</v>
      </c>
      <c r="W3637" t="s">
        <v>5698</v>
      </c>
      <c r="X3637">
        <v>-63.63</v>
      </c>
      <c r="Y3637" t="s">
        <v>1784</v>
      </c>
      <c r="Z3637" t="s">
        <v>558</v>
      </c>
      <c r="AA3637" t="s">
        <v>712</v>
      </c>
      <c r="AB3637">
        <v>-2.79</v>
      </c>
      <c r="AC3637" t="s">
        <v>15403</v>
      </c>
      <c r="AD3637">
        <v>-7.23</v>
      </c>
      <c r="AE3637" t="s">
        <v>1713</v>
      </c>
      <c r="AF3637">
        <v>3.89</v>
      </c>
      <c r="AG3637">
        <v>0</v>
      </c>
      <c r="AH3637">
        <v>0</v>
      </c>
      <c r="AI3637" s="4">
        <v>37869</v>
      </c>
    </row>
    <row r="3638" spans="1:35">
      <c r="A3638">
        <v>3637</v>
      </c>
      <c r="B3638" t="str">
        <f>"600186"</f>
        <v>600186</v>
      </c>
      <c r="C3638" t="s">
        <v>15404</v>
      </c>
      <c r="D3638" s="4">
        <v>43190</v>
      </c>
      <c r="E3638" t="s">
        <v>521</v>
      </c>
      <c r="F3638" t="s">
        <v>521</v>
      </c>
      <c r="G3638" t="s">
        <v>70</v>
      </c>
      <c r="H3638">
        <v>-0.03</v>
      </c>
      <c r="I3638">
        <v>0</v>
      </c>
      <c r="J3638">
        <v>-159.61000000000001</v>
      </c>
      <c r="K3638" t="s">
        <v>1706</v>
      </c>
      <c r="L3638">
        <v>-0.62</v>
      </c>
      <c r="M3638" t="s">
        <v>15405</v>
      </c>
      <c r="N3638" t="s">
        <v>15406</v>
      </c>
      <c r="O3638" t="s">
        <v>15407</v>
      </c>
      <c r="P3638" t="s">
        <v>15408</v>
      </c>
      <c r="Q3638">
        <v>25.83</v>
      </c>
      <c r="R3638" t="s">
        <v>15409</v>
      </c>
      <c r="S3638">
        <v>-1.36</v>
      </c>
      <c r="T3638">
        <v>12.5</v>
      </c>
      <c r="U3638" t="s">
        <v>516</v>
      </c>
      <c r="V3638" t="s">
        <v>106</v>
      </c>
      <c r="W3638" t="s">
        <v>143</v>
      </c>
      <c r="X3638">
        <v>-159.61000000000001</v>
      </c>
      <c r="Y3638" t="s">
        <v>1255</v>
      </c>
      <c r="Z3638" t="s">
        <v>419</v>
      </c>
      <c r="AA3638" t="s">
        <v>9557</v>
      </c>
      <c r="AB3638">
        <v>512.39</v>
      </c>
      <c r="AC3638" t="s">
        <v>2920</v>
      </c>
      <c r="AD3638">
        <v>0.21</v>
      </c>
      <c r="AE3638" t="s">
        <v>120</v>
      </c>
      <c r="AF3638">
        <v>0.28000000000000003</v>
      </c>
      <c r="AG3638">
        <v>0</v>
      </c>
      <c r="AH3638">
        <v>0</v>
      </c>
      <c r="AI3638" s="4">
        <v>36032</v>
      </c>
    </row>
    <row r="3639" spans="1:35">
      <c r="A3639">
        <v>3638</v>
      </c>
      <c r="B3639" t="str">
        <f>"600870"</f>
        <v>600870</v>
      </c>
      <c r="C3639" t="s">
        <v>15410</v>
      </c>
      <c r="D3639" s="4">
        <v>43190</v>
      </c>
      <c r="E3639" t="s">
        <v>269</v>
      </c>
      <c r="F3639" t="s">
        <v>269</v>
      </c>
      <c r="G3639" t="s">
        <v>2775</v>
      </c>
      <c r="H3639">
        <v>-0.01</v>
      </c>
      <c r="I3639">
        <v>0</v>
      </c>
      <c r="J3639">
        <v>-170.52</v>
      </c>
      <c r="K3639" t="s">
        <v>6957</v>
      </c>
      <c r="L3639">
        <v>1053.4100000000001</v>
      </c>
      <c r="M3639" t="s">
        <v>12238</v>
      </c>
      <c r="N3639" t="s">
        <v>15411</v>
      </c>
      <c r="O3639" t="s">
        <v>11615</v>
      </c>
      <c r="P3639" t="s">
        <v>13459</v>
      </c>
      <c r="Q3639">
        <v>-961.42</v>
      </c>
      <c r="R3639" t="s">
        <v>15412</v>
      </c>
      <c r="S3639">
        <v>-5.51</v>
      </c>
      <c r="T3639">
        <v>5.63</v>
      </c>
      <c r="U3639" t="s">
        <v>15413</v>
      </c>
      <c r="V3639" t="s">
        <v>7514</v>
      </c>
      <c r="W3639" t="s">
        <v>3030</v>
      </c>
      <c r="X3639">
        <v>-170.52</v>
      </c>
      <c r="Y3639" t="s">
        <v>15414</v>
      </c>
      <c r="Z3639" t="s">
        <v>15414</v>
      </c>
      <c r="AA3639">
        <v>0</v>
      </c>
      <c r="AB3639">
        <v>2670.64</v>
      </c>
      <c r="AC3639" t="s">
        <v>15415</v>
      </c>
      <c r="AD3639">
        <v>1.39</v>
      </c>
      <c r="AE3639" t="s">
        <v>865</v>
      </c>
      <c r="AF3639">
        <v>4.37</v>
      </c>
      <c r="AG3639">
        <v>0</v>
      </c>
      <c r="AH3639">
        <v>0</v>
      </c>
      <c r="AI3639" s="4">
        <v>34758</v>
      </c>
    </row>
    <row r="3640" spans="1:35">
      <c r="A3640">
        <v>3639</v>
      </c>
      <c r="B3640" t="str">
        <f>"000927"</f>
        <v>000927</v>
      </c>
      <c r="C3640" t="s">
        <v>15416</v>
      </c>
      <c r="D3640" s="4">
        <v>43190</v>
      </c>
      <c r="E3640" t="s">
        <v>847</v>
      </c>
      <c r="F3640" t="s">
        <v>847</v>
      </c>
      <c r="G3640" t="s">
        <v>520</v>
      </c>
      <c r="H3640">
        <v>-0.14000000000000001</v>
      </c>
      <c r="I3640">
        <v>-0.1</v>
      </c>
      <c r="J3640">
        <v>-416.71</v>
      </c>
      <c r="K3640" t="s">
        <v>138</v>
      </c>
      <c r="L3640">
        <v>7.22</v>
      </c>
      <c r="M3640" t="s">
        <v>14131</v>
      </c>
      <c r="N3640" t="s">
        <v>15417</v>
      </c>
      <c r="O3640" t="s">
        <v>14131</v>
      </c>
      <c r="P3640" t="s">
        <v>14131</v>
      </c>
      <c r="Q3640">
        <v>16.11</v>
      </c>
      <c r="R3640" t="s">
        <v>15418</v>
      </c>
      <c r="S3640">
        <v>-2.29</v>
      </c>
      <c r="T3640">
        <v>-22.9</v>
      </c>
      <c r="U3640" t="s">
        <v>732</v>
      </c>
      <c r="V3640" t="s">
        <v>1052</v>
      </c>
      <c r="W3640" t="s">
        <v>924</v>
      </c>
      <c r="X3640">
        <v>-416.71</v>
      </c>
      <c r="Y3640" t="s">
        <v>3749</v>
      </c>
      <c r="Z3640" t="s">
        <v>2005</v>
      </c>
      <c r="AA3640" t="s">
        <v>2185</v>
      </c>
      <c r="AB3640">
        <v>-35.49</v>
      </c>
      <c r="AC3640" t="s">
        <v>13286</v>
      </c>
      <c r="AD3640">
        <v>-3.46</v>
      </c>
      <c r="AE3640" t="s">
        <v>924</v>
      </c>
      <c r="AF3640">
        <v>0.84</v>
      </c>
      <c r="AG3640">
        <v>0</v>
      </c>
      <c r="AH3640">
        <v>0</v>
      </c>
      <c r="AI3640" s="4">
        <v>36368</v>
      </c>
    </row>
  </sheetData>
  <autoFilter ref="A1:AI3640" xr:uid="{A5701AFF-EB75-4171-A260-F9FC2D4FFC82}"/>
  <phoneticPr fontId="2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aaron</cp:lastModifiedBy>
  <dcterms:created xsi:type="dcterms:W3CDTF">2018-06-20T00:08:00Z</dcterms:created>
  <dcterms:modified xsi:type="dcterms:W3CDTF">2019-10-03T09:32:20Z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EM_Doc_Temp_ID">
    <vt:lpwstr>42674ce1</vt:lpwstr>
  </property>
</Properties>
</file>