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Visual Summary" sheetId="2" r:id="rId5"/>
    <sheet state="visible" name="Component Breakdown" sheetId="3" r:id="rId6"/>
    <sheet state="visible" name="Thermals" sheetId="4" r:id="rId7"/>
    <sheet state="visible" name="Power Graphs" sheetId="5" r:id="rId8"/>
    <sheet state="visible" name="I-Nuclear Reactor" sheetId="6" r:id="rId9"/>
    <sheet state="visible" name="I-RTG" sheetId="7" r:id="rId10"/>
    <sheet state="visible" name="Power Timeline (arch 1) (Beta A" sheetId="8" r:id="rId11"/>
    <sheet state="visible" name="Power Timeline (arch 2) (Beta A" sheetId="9" r:id="rId12"/>
    <sheet state="visible" name="Power Reqs (Outdated Work)" sheetId="10" r:id="rId13"/>
  </sheets>
  <definedNames/>
  <calcPr/>
  <extLst>
    <ext uri="GoogleSheetsCustomDataVersion1">
      <go:sheetsCustomData xmlns:go="http://customooxmlschemas.google.com/" r:id="rId14" roundtripDataSignature="AMtx7mipp8eEWlHl+AZde0PkmmzFNIFDbw=="/>
    </ext>
  </extLst>
</workbook>
</file>

<file path=xl/comments1.xml><?xml version="1.0" encoding="utf-8"?>
<comments xmlns:r="http://schemas.openxmlformats.org/officeDocument/2006/relationships" xmlns="http://schemas.openxmlformats.org/spreadsheetml/2006/main">
  <authors>
    <author/>
  </authors>
  <commentList>
    <comment authorId="0" ref="I15">
      <text>
        <t xml:space="preserve">======
ID#AAAAkHphms4
tc={7749F784-A569-4A15-B80C-86F0757EB241}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B19">
      <text>
        <t xml:space="preserve">======
ID#AAAAkHphmsw
tc={976E5D7C-9ADA-4289-8207-89BAD2E47359}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B70">
      <text>
        <t xml:space="preserve">======
ID#AAAAkHphmss
tc={20DA4C9E-9D35-4F27-858F-9172F2DDD5F8}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B49">
      <text>
        <t xml:space="preserve">======
ID#AAAAkHphmsY
tc={1DC757BF-63A5-4C80-A493-A87C7461B4FA}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I7">
      <text>
        <t xml:space="preserve">======
ID#AAAAkHphmsA
tc={A09E6902-5F28-415E-B47F-6E2020F7F9DB}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B11">
      <text>
        <t xml:space="preserve">======
ID#AAAAkHphmrY
tc={E2E41355-5417-44C0-9C9B-9420A00DE6E5}    (2022-11-16 21:02:48)
[Threaded comment]
Your version of Excel allows you to read this threaded comment; however, any edits to it will get removed if the file is opened in a newer version of Excel. Learn more: https://go.microsoft.com/fwlink/?linkid=870924
Comment:
    On Orbiter</t>
      </text>
    </comment>
    <comment authorId="0" ref="B64">
      <text>
        <t xml:space="preserve">======
ID#AAAAkHphmrQ
tc={0D5A2067-22B4-4381-9A63-96DBF559C086}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11">
      <text>
        <t xml:space="preserve">======
ID#AAAAkHphmqo
tc={9BF007C8-4107-4669-A3E4-C85F80EDC23F}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14">
      <text>
        <t xml:space="preserve">======
ID#AAAAkHphmqc
tc={C56AF384-E0CE-4BCC-9E59-7F1DBB8C18DA}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8">
      <text>
        <t xml:space="preserve">======
ID#AAAAkHphmqY
tc={D64AFBDA-2672-41CB-B85D-9AA8BB0898BF}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19">
      <text>
        <t xml:space="preserve">======
ID#AAAAkHphmqI
tc={E35C6EA2-258B-4FFA-89FD-E805AC703D1B}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B12">
      <text>
        <t xml:space="preserve">======
ID#AAAAkHphmpo
tc={47D09046-9F30-47B2-830E-AEF199835644}    (2022-11-16 21:02:48)
[Threaded comment]
Your version of Excel allows you to read this threaded comment; however, any edits to it will get removed if the file is opened in a newer version of Excel. Learn more: https://go.microsoft.com/fwlink/?linkid=870924
Comment:
    On Orbiter</t>
      </text>
    </comment>
    <comment authorId="0" ref="B9">
      <text>
        <t xml:space="preserve">======
ID#AAAAkHphmpk
tc={30252090-FE84-4399-844C-7763E88328A8}    (2022-11-16 21:02:48)
[Threaded comment]
Your version of Excel allows you to read this threaded comment; however, any edits to it will get removed if the file is opened in a newer version of Excel. Learn more: https://go.microsoft.com/fwlink/?linkid=870924
Comment:
    On Orbiter</t>
      </text>
    </comment>
    <comment authorId="0" ref="I16">
      <text>
        <t xml:space="preserve">======
ID#AAAAkHphmpY
tc={F9BCC0D3-EB3A-4C54-8A77-AE478045F1B2}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B15">
      <text>
        <t xml:space="preserve">======
ID#AAAAkHphmpE
tc={188E229C-2401-4C4E-9C74-CA911A09230F}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6">
      <text>
        <t xml:space="preserve">======
ID#AAAAkHphmpA
tc={DD4F9A16-7BAF-49E8-B02B-50BF0E9037A1}    (2022-11-16 21:02:48)
[Threaded comment]
Your version of Excel allows you to read this threaded comment; however, any edits to it will get removed if the file is opened in a newer version of Excel. Learn more: https://go.microsoft.com/fwlink/?linkid=870924
Comment:
    Technically on the breakaway engine, but used by combined assembly</t>
      </text>
    </comment>
    <comment authorId="0" ref="I58">
      <text>
        <t xml:space="preserve">======
ID#AAAAkHphmo4
tc={499FF94B-E435-40CD-AA46-E3E420E3BF95}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I40">
      <text>
        <t xml:space="preserve">======
ID#AAAAkHphmo0
tc={57C88CBA-78BC-487E-B4D7-E8E1B545020A}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H5">
      <text>
        <t xml:space="preserve">======
ID#AAAAkHphmok
tc={EE663E21-8811-4EF2-BC2D-8B47A3418837}    (2022-11-16 21:02:48)
[Threaded comment]
Your version of Excel allows you to read this threaded comment; however, any edits to it will get removed if the file is opened in a newer version of Excel. Learn more: https://go.microsoft.com/fwlink/?linkid=870924
Comment:
    Combined represents the state where the orbiter is attached to the landing assembly</t>
      </text>
    </comment>
    <comment authorId="0" ref="I12">
      <text>
        <t xml:space="preserve">======
ID#AAAAkHphmoY
tc={C1000FB2-8D3D-40A9-991E-F7774CA4CBD6}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B21">
      <text>
        <t xml:space="preserve">======
ID#AAAAkHphmoU
tc={DEB21627-D8E1-4351-9772-EEBDD807E669}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37">
      <text>
        <t xml:space="preserve">======
ID#AAAAkHphmoQ
tc={EBBC765D-57A7-400C-9C20-9A2AB6E1BF95}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B17">
      <text>
        <t xml:space="preserve">======
ID#AAAAkHphmn8
tc={59519055-C796-405A-BA9F-8B844622F1FC}    (2022-11-16 21:02:48)
[Threaded comment]
Your version of Excel allows you to read this threaded comment; however, any edits to it will get removed if the file is opened in a newer version of Excel. Learn more: https://go.microsoft.com/fwlink/?linkid=870924
Comment:
    On LAV</t>
      </text>
    </comment>
    <comment authorId="0" ref="I53">
      <text>
        <t xml:space="preserve">======
ID#AAAAkHphmn4
tc={9660BD60-823C-43F8-BB1C-B969F54134B4}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B51">
      <text>
        <t xml:space="preserve">======
ID#AAAAkHphmn0
tc={F1D04939-0C1A-43FC-9A24-0B214E85E513}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I51">
      <text>
        <t xml:space="preserve">======
ID#AAAAkHphmnw
tc={4D9E24CE-AC44-4441-BDE1-08E87FFE7623}    (2022-11-16 21:02:48)
[Threaded comment]
Your version of Excel allows you to read this threaded comment; however, any edits to it will get removed if the file is opened in a newer version of Excel. Learn more: https://go.microsoft.com/fwlink/?linkid=870924
Comment:
    On Breakaway Engine</t>
      </text>
    </comment>
    <comment authorId="0" ref="I20">
      <text>
        <t xml:space="preserve">======
ID#AAAAkHphmns
tc={1C83A9ED-A5E1-4E45-AF23-03F33AF5C786}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I41">
      <text>
        <t xml:space="preserve">======
ID#AAAAkHphmnk
tc={0CF9F9C8-2918-4E45-9F9C-459EC179C202}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B27">
      <text>
        <t xml:space="preserve">======
ID#AAAAkHphmnc
tc={2AFDE4F3-F7D3-48C4-A7BA-842AD3BCB014}    (2022-11-16 21:02:48)
[Threaded comment]
Your version of Excel allows you to read this threaded comment; however, any edits to it will get removed if the file is opened in a newer version of Excel. Learn more: https://go.microsoft.com/fwlink/?linkid=870924
Comment:
    On Rover</t>
      </text>
    </comment>
    <comment authorId="0" ref="I39">
      <text>
        <t xml:space="preserve">======
ID#AAAAkHphmnY
tc={6AD9C227-EE83-485D-941E-5213CEB0023B}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52">
      <text>
        <t xml:space="preserve">======
ID#AAAAkHphmnU
tc={D9F94A1E-B378-4A67-A810-52CE11220E16}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25">
      <text>
        <t xml:space="preserve">======
ID#AAAAkHphmnM
tc={F2C88E48-6F59-4491-8E15-888B80D4FA2D}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16">
      <text>
        <t xml:space="preserve">======
ID#AAAAkHphmnE
tc={B2B03405-631B-4469-994E-0CB8E9B79591}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I10">
      <text>
        <t xml:space="preserve">======
ID#AAAAkHphmm0
tc={B64BE23A-69EE-4856-BBA0-DCF879F7D1A9}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I13">
      <text>
        <t xml:space="preserve">======
ID#AAAAkHphmmw
tc={63D8672E-701C-4597-B957-2F72E2C1461B}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22">
      <text>
        <t xml:space="preserve">======
ID#AAAAkHphml8
tc={C0857B2D-A513-41F3-9689-6C9C2F69EB38}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53">
      <text>
        <t xml:space="preserve">======
ID#AAAAkHphmlw
tc={9CE56EB1-4FA1-42F2-ACE9-6ADF0E0F4303}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10">
      <text>
        <t xml:space="preserve">======
ID#AAAAkHphmls
tc={F461875E-EE68-4182-853B-CFCE0C25E380}    (2022-11-16 21:02:47)
[Threaded comment]
Your version of Excel allows you to read this threaded comment; however, any edits to it will get removed if the file is opened in a newer version of Excel. Learn more: https://go.microsoft.com/fwlink/?linkid=870924
Comment:
    On Orbiter</t>
      </text>
    </comment>
    <comment authorId="0" ref="B28">
      <text>
        <t xml:space="preserve">======
ID#AAAAkHphmlg
tc={090F1A77-AB93-4FD8-9DAC-873B1189108D}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23">
      <text>
        <t xml:space="preserve">======
ID#AAAAkHphmlM
tc={F6B0CD5C-019C-447A-A5D1-65FD28CB5ECE}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I52">
      <text>
        <t xml:space="preserve">======
ID#AAAAkHphmlE
tc={B5906F33-B5F6-4FA8-ABD4-14A40D09D9D1}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I22">
      <text>
        <t xml:space="preserve">======
ID#AAAAkHphmk8
tc={BB488150-98EB-4886-9CF8-2E629FA4AA33}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63">
      <text>
        <t xml:space="preserve">======
ID#AAAAkHphmkw
tc={6F1D2A60-3C68-46EC-BFFD-F92906F10109}    (2022-11-16 21:02:47)
[Threaded comment]
Your version of Excel allows you to read this threaded comment; however, any edits to it will get removed if the file is opened in a newer version of Excel. Learn more: https://go.microsoft.com/fwlink/?linkid=870924
Comment:
    On Orbiter</t>
      </text>
    </comment>
    <comment authorId="0" ref="B50">
      <text>
        <t xml:space="preserve">======
ID#AAAAkHphmks
tc={9D768ACA-8D03-471A-8BEF-015714817161}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8">
      <text>
        <t xml:space="preserve">======
ID#AAAAkHphmko
tc={B3AAF4CE-CDD6-4379-857B-8B6028E99FA9}    (2022-11-16 21:02:47)
[Threaded comment]
Your version of Excel allows you to read this threaded comment; however, any edits to it will get removed if the file is opened in a newer version of Excel. Learn more: https://go.microsoft.com/fwlink/?linkid=870924
Comment:
    On Orbiter</t>
      </text>
    </comment>
    <comment authorId="0" ref="I17">
      <text>
        <t xml:space="preserve">======
ID#AAAAkHphmkc
tc={3B39F686-DD40-4D40-8863-4BEFB48429F9}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6">
      <text>
        <t xml:space="preserve">======
ID#AAAAkHphmkY
tc={EA8182A9-6ADC-41B7-89B7-E094190689DD}    (2022-11-16 21:02:47)
[Threaded comment]
Your version of Excel allows you to read this threaded comment; however, any edits to it will get removed if the file is opened in a newer version of Excel. Learn more: https://go.microsoft.com/fwlink/?linkid=870924
Comment:
    On Orbiter</t>
      </text>
    </comment>
    <comment authorId="0" ref="B65">
      <text>
        <t xml:space="preserve">======
ID#AAAAkHphmkM
tc={50375D5F-5A93-4BAA-BE52-B3EAC79FE743}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A5">
      <text>
        <t xml:space="preserve">======
ID#AAAAkHphmkI
tc={B1468C1C-C708-4739-8ECD-44297FFB587C}    (2022-11-16 21:02:47)
[Threaded comment]
Your version of Excel allows you to read this threaded comment; however, any edits to it will get removed if the file is opened in a newer version of Excel. Learn more: https://go.microsoft.com/fwlink/?linkid=870924
Comment:
    Combined represents the state where the orbiter is attached to the landing assembly</t>
      </text>
    </comment>
    <comment authorId="0" ref="B26">
      <text>
        <t xml:space="preserve">======
ID#AAAAkHphmkE
tc={672F5E22-D8DD-4377-A0EE-7F9629D6D4D5}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I21">
      <text>
        <t xml:space="preserve">======
ID#AAAAkHphmkA
tc={6CA65620-E8F2-40F9-8103-E7C92C5B20CA}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I18">
      <text>
        <t xml:space="preserve">======
ID#AAAAkHphmjw
tc={F5EA4218-8169-4CCE-AECB-71B268727C3C}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18">
      <text>
        <t xml:space="preserve">======
ID#AAAAkHphmjs
tc={BA80A3F6-3B2D-4C01-AF2F-1BBF84BCD7C7}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I38">
      <text>
        <t xml:space="preserve">======
ID#AAAAkHphmjY
tc={0F46E8B0-3416-4184-BC78-6D302168832F}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13">
      <text>
        <t xml:space="preserve">======
ID#AAAAkHphmjU
tc={2E8C4657-8108-432B-95A4-0AABFAA6953B}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20">
      <text>
        <t xml:space="preserve">======
ID#AAAAkHphmjQ
tc={18E53623-0264-470E-AF92-94FD48D7F65D}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24">
      <text>
        <t xml:space="preserve">======
ID#AAAAkHphmiw
tc={9249EFC5-3201-4B87-B8DF-9DC9E2244FA7}    (2022-11-16 21:02:47)
[Threaded comment]
Your version of Excel allows you to read this threaded comment; however, any edits to it will get removed if the file is opened in a newer version of Excel. Learn more: https://go.microsoft.com/fwlink/?linkid=870924
Comment:
    On Rover</t>
      </text>
    </comment>
    <comment authorId="0" ref="B7">
      <text>
        <t xml:space="preserve">======
ID#AAAAkHphmio
tc={839D2FBF-7AFF-4805-88E8-2460F85D946A}    (2022-11-16 21:02:47)
[Threaded comment]
Your version of Excel allows you to read this threaded comment; however, any edits to it will get removed if the file is opened in a newer version of Excel. Learn more: https://go.microsoft.com/fwlink/?linkid=870924
Comment:
    Technically on the orbiter, but used by combined assembly</t>
      </text>
    </comment>
    <comment authorId="0" ref="I9">
      <text>
        <t xml:space="preserve">======
ID#AAAAkHphmiY
tc={730703F4-B83E-44F5-B5D3-B96AEF34A891}    (2022-11-16 21:02:47)
[Threaded comment]
Your version of Excel allows you to read this threaded comment; however, any edits to it will get removed if the file is opened in a newer version of Excel. Learn more: https://go.microsoft.com/fwlink/?linkid=870924
Comment:
    On LAV</t>
      </text>
    </comment>
    <comment authorId="0" ref="B14">
      <text>
        <t xml:space="preserve">======
ID#AAAAkHphmiI
tc={957D3A5B-06FC-4C9B-86A1-7D68A4B4BCA6}    (2022-11-16 21:02:47)
[Threaded comment]
Your version of Excel allows you to read this threaded comment; however, any edits to it will get removed if the file is opened in a newer version of Excel. Learn more: https://go.microsoft.com/fwlink/?linkid=870924
Comment:
    On LAV</t>
      </text>
    </comment>
  </commentList>
  <extLst>
    <ext uri="GoogleSheetsCustomDataVersion1">
      <go:sheetsCustomData xmlns:go="http://customooxmlschemas.google.com/" r:id="rId1" roundtripDataSignature="AMtx7mjX9RrdWwW9BXb050ikARivyBHi5Q=="/>
    </ext>
  </extLst>
</comments>
</file>

<file path=xl/comments2.xml><?xml version="1.0" encoding="utf-8"?>
<comments xmlns:r="http://schemas.openxmlformats.org/officeDocument/2006/relationships" xmlns="http://schemas.openxmlformats.org/spreadsheetml/2006/main">
  <authors>
    <author/>
  </authors>
  <commentList>
    <comment authorId="0" ref="B5">
      <text>
        <t xml:space="preserve">======
ID#AAAAkHphmsg
tc={E3F7CB17-232F-4F2D-A699-A58F2AADE11D}    (2022-11-16 21:02:48)
[Threaded comment]
Your version of Excel allows you to read this threaded comment; however, any edits to it will get removed if the file is opened in a newer version of Excel. Learn more: https://go.microsoft.com/fwlink/?linkid=870924
Comment:
    TBD. Don't move cell because other sheets reference it in calculations</t>
      </text>
    </comment>
    <comment authorId="0" ref="J22">
      <text>
        <t xml:space="preserve">======
ID#AAAAkHphmqQ
tc={11108712-E74A-44F2-B697-4E57DFF2E59A}    (2022-11-16 21:02:48)
[Threaded comment]
Your version of Excel allows you to read this threaded comment; however, any edits to it will get removed if the file is opened in a newer version of Excel. Learn more: https://go.microsoft.com/fwlink/?linkid=870924
Comment:
    EOL</t>
      </text>
    </comment>
    <comment authorId="0" ref="J15">
      <text>
        <t xml:space="preserve">======
ID#AAAAkHphmnQ
tc={B1F11711-C769-4242-9554-B9E621CCAF12}    (2022-11-16 21:02:47)
[Threaded comment]
Your version of Excel allows you to read this threaded comment; however, any edits to it will get removed if the file is opened in a newer version of Excel. Learn more: https://go.microsoft.com/fwlink/?linkid=870924
Comment:
    TBD. Don't move cell because other sheets reference it in calculations. If too small, we can't estimate system power reqs from the payload power reqs in "Power Reqs" sheet for Ascent vehicle.</t>
      </text>
    </comment>
    <comment authorId="0" ref="J4">
      <text>
        <t xml:space="preserve">======
ID#AAAAkHphmlk
tc={F5148596-23F3-4B29-A92A-2D5641BF1189}    (2022-11-16 21:02:47)
[Threaded comment]
Your version of Excel allows you to read this threaded comment; however, any edits to it will get removed if the file is opened in a newer version of Excel. Learn more: https://go.microsoft.com/fwlink/?linkid=870924
Comment:
    TBD. Don't move cell because other sheets reference it in calculations</t>
      </text>
    </comment>
    <comment authorId="0" ref="B23">
      <text>
        <t xml:space="preserve">======
ID#AAAAkHphmlc
tc={D694D47A-9620-49A0-8D97-D080A2EA4BF2}    (2022-11-16 21:02:47)
[Threaded comment]
Your version of Excel allows you to read this threaded comment; however, any edits to it will get removed if the file is opened in a newer version of Excel. Learn more: https://go.microsoft.com/fwlink/?linkid=870924
Comment:
    EOL</t>
      </text>
    </comment>
    <comment authorId="0" ref="B22">
      <text>
        <t xml:space="preserve">======
ID#AAAAkHphmjE
tc={1B1FA5FB-5ACC-4BFA-9BF6-55A94ADBEA73}    (2022-11-16 21:02:47)
[Threaded comment]
Your version of Excel allows you to read this threaded comment; however, any edits to it will get removed if the file is opened in a newer version of Excel. Learn more: https://go.microsoft.com/fwlink/?linkid=870924
Comment:
    EOL</t>
      </text>
    </comment>
    <comment authorId="0" ref="J21">
      <text>
        <t xml:space="preserve">======
ID#AAAAkHphmiM
tc={56786600-0A89-490F-A578-B19AB08BF292}    (2022-11-16 21:02:47)
[Threaded comment]
Your version of Excel allows you to read this threaded comment; however, any edits to it will get removed if the file is opened in a newer version of Excel. Learn more: https://go.microsoft.com/fwlink/?linkid=870924
Comment:
    EOL</t>
      </text>
    </comment>
    <comment authorId="0" ref="B16">
      <text>
        <t xml:space="preserve">======
ID#AAAAkHphmiA
tc={29DAA937-58B2-4620-9A28-45A7EE166026}    (2022-11-16 21:02:47)
[Threaded comment]
Your version of Excel allows you to read this threaded comment; however, any edits to it will get removed if the file is opened in a newer version of Excel. Learn more: https://go.microsoft.com/fwlink/?linkid=870924
Comment:
    TBD. Don't move cell because other sheets reference it in calculations. If too small, we can't estimate system power reqs from the payload power reqs in "Power Reqs" sheet for Ascent vehicle.</t>
      </text>
    </comment>
  </commentList>
  <extLst>
    <ext uri="GoogleSheetsCustomDataVersion1">
      <go:sheetsCustomData xmlns:go="http://customooxmlschemas.google.com/" r:id="rId1" roundtripDataSignature="AMtx7mgtmKdAsEZc/2CaobsGtjav8avx8g=="/>
    </ext>
  </extLst>
</comments>
</file>

<file path=xl/comments3.xml><?xml version="1.0" encoding="utf-8"?>
<comments xmlns:r="http://schemas.openxmlformats.org/officeDocument/2006/relationships" xmlns="http://schemas.openxmlformats.org/spreadsheetml/2006/main">
  <authors>
    <author/>
  </authors>
  <commentList>
    <comment authorId="0" ref="F231">
      <text>
        <t xml:space="preserve">======
ID#AAAAkHphmso
tc={8D7EFA17-0CF2-4CB5-A531-1E3FD1A08F77}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B262">
      <text>
        <t xml:space="preserve">======
ID#AAAAkHphmsk
tc={6F742B26-2634-4F80-997B-0542FF19DEBE}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A1">
      <text>
        <t xml:space="preserve">======
ID#AAAAkHphmsc
tc={CD0C4AC6-CB3F-4063-B116-03D90F325D01}    (2022-11-16 21:02:48)
[Threaded comment]
Your version of Excel allows you to read this threaded comment; however, any edits to it will get removed if the file is opened in a newer version of Excel. Learn more: https://go.microsoft.com/fwlink/?linkid=870924
Comment:
    Source: https://opg.optica.org/oe/fulltext.cfm?uri=oe-22-12-14473&amp;id=289619</t>
      </text>
    </comment>
    <comment authorId="0" ref="U248">
      <text>
        <t xml:space="preserve">======
ID#AAAAkHphmsQ
tc={2EE6BBCA-9489-4702-8547-0F565C62CE7C}    (2022-11-16 21:02:48)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R62">
      <text>
        <t xml:space="preserve">======
ID#AAAAkHphmsM
tc={0CFC8C37-31E8-436B-8879-CD7C0430A88F}    (2022-11-16 21:02:48)
[Threaded comment]
Your version of Excel allows you to read this threaded comment; however, any edits to it will get removed if the file is opened in a newer version of Excel. Learn more: https://go.microsoft.com/fwlink/?linkid=870924
Comment:
    Doesn't matter here because inside climate controlled LAV (Thruster Module)</t>
      </text>
    </comment>
    <comment authorId="0" ref="D125">
      <text>
        <t xml:space="preserve">======
ID#AAAAkHphmsI
tc={9326B1AC-FA48-4FDF-B39F-63906BB07A18}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G62">
      <text>
        <t xml:space="preserve">======
ID#AAAAkHphmsE
tc={EB8497BB-CF30-4B10-9ADE-FD6A170014D2}    (2022-11-16 21:02:48)
[Threaded comment]
Your version of Excel allows you to read this threaded comment; however, any edits to it will get removed if the file is opened in a newer version of Excel. Learn more: https://go.microsoft.com/fwlink/?linkid=870924
Comment:
    Doesn't matter here because inside climate controlled LAV (Thruster Module)</t>
      </text>
    </comment>
    <comment authorId="0" ref="D21">
      <text>
        <t xml:space="preserve">======
ID#AAAAkHphmr8
tc={4BDED8FC-D90B-4CB1-9FE8-DEC47769EF33}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21">
      <text>
        <t xml:space="preserve">======
ID#AAAAkHphmr0
tc={CCA542E6-1AA5-49CD-BF74-FCF853F063C6}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F125">
      <text>
        <t xml:space="preserve">======
ID#AAAAkHphmrs
tc={2B13C9D3-8FEC-46CE-A288-FE388B00C63B}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F262">
      <text>
        <t xml:space="preserve">======
ID#AAAAkHphmrc
tc={1D55A55F-11EC-4FF0-99DD-F8A7B3D96BAE}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G10">
      <text>
        <t xml:space="preserve">======
ID#AAAAkHphmrU
tc={C4893E0B-7B67-491F-B511-C13FFC3DCCDD}    (2022-11-16 21:02:48)
[Threaded comment]
Your version of Excel allows you to read this threaded comment; however, any edits to it will get removed if the file is opened in a newer version of Excel. Learn more: https://go.microsoft.com/fwlink/?linkid=870924
Comment:
    Doesn't matter here because inside climate controlled LAV (Thruster Module)</t>
      </text>
    </comment>
    <comment authorId="0" ref="B248">
      <text>
        <t xml:space="preserve">======
ID#AAAAkHphmrI
tc={183726FC-6762-4CE1-90F4-7F116A2C3FB9}    (2022-11-16 21:02:48)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D262">
      <text>
        <t xml:space="preserve">======
ID#AAAAkHphmrE
tc={6925B859-8690-4836-B6F1-F895C7F94CBC}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M178">
      <text>
        <t xml:space="preserve">======
ID#AAAAkHphmrA
tc={FE817DDE-5C23-4698-945E-C7CD095690B4}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H125">
      <text>
        <t xml:space="preserve">======
ID#AAAAkHphmq8
tc={1716E70A-83C4-4DA1-B079-36A5EE196E1C}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209">
      <text>
        <t xml:space="preserve">======
ID#AAAAkHphmq4
tc={F9F80A39-CD29-4160-B214-CA9842577164}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M73">
      <text>
        <t xml:space="preserve">======
ID#AAAAkHphmq0
tc={A4213288-A4EA-4448-8583-9192DB16E364}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O248">
      <text>
        <t xml:space="preserve">======
ID#AAAAkHphmqw
tc={315BC366-643B-4942-B2C3-65BDF073598F}    (2022-11-16 21:02:48)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F178">
      <text>
        <t xml:space="preserve">======
ID#AAAAkHphmqs
tc={682EFE17-55EE-4078-874C-12593AE471F1}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B231">
      <text>
        <t xml:space="preserve">======
ID#AAAAkHphmqk
tc={4892B35C-E5DA-4DDE-BD50-2CE9777569A0}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L1">
      <text>
        <t xml:space="preserve">======
ID#AAAAkHphmqg
tc={2263287D-70EA-42FC-9F47-AC7A78EEBC87}    (2022-11-16 21:02:48)
[Threaded comment]
Your version of Excel allows you to read this threaded comment; however, any edits to it will get removed if the file is opened in a newer version of Excel. Learn more: https://go.microsoft.com/fwlink/?linkid=870924
Comment:
    Source: https://opg.optica.org/oe/fulltext.cfm?uri=oe-22-12-14473&amp;id=289619</t>
      </text>
    </comment>
    <comment authorId="0" ref="Q156">
      <text>
        <t xml:space="preserve">======
ID#AAAAkHphmqE
tc={2D8325C7-48DA-4B04-911F-792A7228A3FE}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O156">
      <text>
        <t xml:space="preserve">======
ID#AAAAkHphmqA
tc={7AFAC29B-4025-4F01-A790-3EA11023D8B5}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D73">
      <text>
        <t xml:space="preserve">======
ID#AAAAkHphmp8
tc={FED78945-4AD0-40C4-B626-C720F343EE0B}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O21">
      <text>
        <t xml:space="preserve">======
ID#AAAAkHphmp4
tc={48E705FD-8C18-41AD-84C3-139C200600EF}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S156">
      <text>
        <t xml:space="preserve">======
ID#AAAAkHphmp0
tc={BA06E688-E35D-4728-B784-B4A2A7E01917}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H156">
      <text>
        <t xml:space="preserve">======
ID#AAAAkHphmpw
tc={F040A5BC-EFC3-41E7-A9F3-E18024DE7677}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M262">
      <text>
        <t xml:space="preserve">======
ID#AAAAkHphmpU
tc={F42D99E7-0C3B-4E46-AB22-C2335187BFD4}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Q178">
      <text>
        <t xml:space="preserve">======
ID#AAAAkHphmpQ
tc={FEA487B9-332F-4100-89FB-F8D8BC846816}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O262">
      <text>
        <t xml:space="preserve">======
ID#AAAAkHphmow
tc={49FB763C-0E38-4305-994A-B64AFC7B159C}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O231">
      <text>
        <t xml:space="preserve">======
ID#AAAAkHphmos
tc={6BB74D20-C560-4AB2-83EC-BBABD203B429}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S125">
      <text>
        <t xml:space="preserve">======
ID#AAAAkHphmoo
tc={CEE95B4F-7DE8-4DD6-9782-7EF1D9AA187F}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F73">
      <text>
        <t xml:space="preserve">======
ID#AAAAkHphmog
tc={CD7F183B-66CC-4D64-B353-7C581E9F4982}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U209">
      <text>
        <t xml:space="preserve">======
ID#AAAAkHphmoM
tc={08F37154-60D0-4F13-87AE-1C3BF2B07665}    (2022-11-16 21:02:48)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J21">
      <text>
        <t xml:space="preserve">======
ID#AAAAkHphmoI
tc={1BC913C8-7AFE-4477-95BE-D2FB4954CCDD}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D248">
      <text>
        <t xml:space="preserve">======
ID#AAAAkHphmoE
tc={353DDEDF-8FD8-443E-ABDE-81B9045168AB}    (2022-11-16 21:02:48)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J248">
      <text>
        <t xml:space="preserve">======
ID#AAAAkHphmoA
tc={0618D433-6B6E-4104-88AE-6A2D18F2471E}    (2022-11-16 21:02:48)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U178">
      <text>
        <t xml:space="preserve">======
ID#AAAAkHphmno
tc={1CE31747-7566-4662-826A-BAA8D4F569CF}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J178">
      <text>
        <t xml:space="preserve">======
ID#AAAAkHphmng
tc={BE56AF21-0FD1-405D-A63A-B71C576A939E}    (2022-11-16 21:02:48)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262">
      <text>
        <t xml:space="preserve">======
ID#AAAAkHphmnI
tc={DB4AC925-79F7-4B6F-A2B4-640CDF5EAE12}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D209">
      <text>
        <t xml:space="preserve">======
ID#AAAAkHphmnA
tc={5823D0F4-10AE-453F-AB05-07AE56E9854E}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Q231">
      <text>
        <t xml:space="preserve">======
ID#AAAAkHphmm8
tc={BEB1ABC4-DF4B-4A06-8917-E3810CF61A4C}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O73">
      <text>
        <t xml:space="preserve">======
ID#AAAAkHphmm4
tc={E820B590-56D7-4235-8D47-B8BF6148EEE2}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J231">
      <text>
        <t xml:space="preserve">======
ID#AAAAkHphmms
tc={B6F9F0B2-B43F-4EE9-8A21-A7066F0C6D01}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125">
      <text>
        <t xml:space="preserve">======
ID#AAAAkHphmmk
tc={567205CD-4BC9-4811-A51D-EF349B1921E3}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73">
      <text>
        <t xml:space="preserve">======
ID#AAAAkHphmmY
tc={665DB479-58AF-4635-8B9D-86804EBED380}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J73">
      <text>
        <t xml:space="preserve">======
ID#AAAAkHphmmM
tc={448DF2F5-2F96-4920-ABE6-22BAF23F4364}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J209">
      <text>
        <t xml:space="preserve">======
ID#AAAAkHphmmI
tc={B04783C8-E2B3-4AD3-997E-883BFB988174}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R10">
      <text>
        <t xml:space="preserve">======
ID#AAAAkHphmmE
tc={DB8BEBCF-9511-455B-B16C-6F3CB7522AAE}    (2022-11-16 21:02:47)
[Threaded comment]
Your version of Excel allows you to read this threaded comment; however, any edits to it will get removed if the file is opened in a newer version of Excel. Learn more: https://go.microsoft.com/fwlink/?linkid=870924
Comment:
    Doesn't matter here because inside climate controlled LAV (Thruster Module)</t>
      </text>
    </comment>
    <comment authorId="0" ref="M231">
      <text>
        <t xml:space="preserve">======
ID#AAAAkHphml4
tc={32E29BF3-6695-45E5-8431-674309E5B04A}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Q248">
      <text>
        <t xml:space="preserve">======
ID#AAAAkHphmlo
tc={3D9BF47F-F2C5-4C4D-966E-C62F49B73D0F}    (2022-11-16 21:02:47)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F209">
      <text>
        <t xml:space="preserve">======
ID#AAAAkHphmlY
tc={37B44864-911F-4774-9527-72A553565509}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O178">
      <text>
        <t xml:space="preserve">======
ID#AAAAkHphmlQ
tc={1313F7F3-C3E3-47B9-B737-60A2695B0353}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O125">
      <text>
        <t xml:space="preserve">======
ID#AAAAkHphmlA
tc={E7FEC41D-01E7-4CD9-AC2B-7F376ED1AAB7}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B178">
      <text>
        <t xml:space="preserve">======
ID#AAAAkHphmk4
tc={633F5025-B845-4F45-AE19-D469F51124AD}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D231">
      <text>
        <t xml:space="preserve">======
ID#AAAAkHphmk0
tc={EC714DF1-9A47-4A7D-92CA-B9EDB68C4A57}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M209">
      <text>
        <t xml:space="preserve">======
ID#AAAAkHphmkk
tc={CDE80BEA-12BC-466C-A839-6A28AD019D2E}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F248">
      <text>
        <t xml:space="preserve">======
ID#AAAAkHphmkg
tc={64673B82-7A09-40AE-9E21-D34B83472D77}    (2022-11-16 21:02:47)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M248">
      <text>
        <t xml:space="preserve">======
ID#AAAAkHphmkU
tc={3EB1C5DE-09CF-4864-9BE2-EB4C9FCAC8BB}    (2022-11-16 21:02:47)
[Threaded comment]
Your version of Excel allows you to read this threaded comment; however, any edits to it will get removed if the file is opened in a newer version of Excel. Learn more: https://go.microsoft.com/fwlink/?linkid=870924
Comment:
    Inside home base</t>
      </text>
    </comment>
    <comment authorId="0" ref="U21">
      <text>
        <t xml:space="preserve">======
ID#AAAAkHphmkQ
tc={E381E961-650F-48DE-A024-C0E8731BC116}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B209">
      <text>
        <t xml:space="preserve">======
ID#AAAAkHphmj4
tc={5B447FD9-F060-49F9-A853-E59EBC4F2579}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F156">
      <text>
        <t xml:space="preserve">======
ID#AAAAkHphmj0
tc={CAD8854E-430E-462D-9910-2AFB198F4EC9}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M21">
      <text>
        <t xml:space="preserve">======
ID#AAAAkHphmjo
tc={4FD1C3FD-66CD-4730-9EF7-ADF1AD3D737F}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D156">
      <text>
        <t xml:space="preserve">======
ID#AAAAkHphmjg
tc={F7873336-B2E8-4148-A6D1-4D1315A71A26}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B73">
      <text>
        <t xml:space="preserve">======
ID#AAAAkHphmjc
tc={96655DB1-1A4E-4637-93D6-F529E3DDE494}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J262">
      <text>
        <t xml:space="preserve">======
ID#AAAAkHphmjM
tc={1031AB6D-9F95-4F44-A7DC-55DED7970288}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U262">
      <text>
        <t xml:space="preserve">======
ID#AAAAkHphmjI
tc={026B4BBA-280C-42D0-A0F2-27A4ED58242C}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O209">
      <text>
        <t xml:space="preserve">======
ID#AAAAkHphmjA
tc={D4AEAA7D-3E25-412C-A97F-41A85CDFB123}    (2022-11-16 21:02:47)
[Threaded comment]
Your version of Excel allows you to read this threaded comment; however, any edits to it will get removed if the file is opened in a newer version of Excel. Learn more: https://go.microsoft.com/fwlink/?linkid=870924
Comment:
    Source: Wikipedia</t>
      </text>
    </comment>
    <comment authorId="0" ref="D178">
      <text>
        <t xml:space="preserve">======
ID#AAAAkHphmi8
tc={413E1B41-9458-4C46-9F79-5BE39758C136}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F21">
      <text>
        <t xml:space="preserve">======
ID#AAAAkHphmis
tc={7392375E-AEB7-4F9A-AD82-A8219B9161C4}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U231">
      <text>
        <t xml:space="preserve">======
ID#AAAAkHphmik
tc={6F3E6E59-FAD2-4E2C-989B-1F1E82615D37}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 authorId="0" ref="B21">
      <text>
        <t xml:space="preserve">======
ID#AAAAkHphmiQ
tc={BA13B3C3-8794-4F9D-8F67-C8D226ADFA90}    (2022-11-16 21:02:47)
[Threaded comment]
Your version of Excel allows you to read this threaded comment; however, any edits to it will get removed if the file is opened in a newer version of Excel. Learn more: https://go.microsoft.com/fwlink/?linkid=870924
Comment:
    2 fins assumed stick out on either side</t>
      </text>
    </comment>
  </commentList>
  <extLst>
    <ext uri="GoogleSheetsCustomDataVersion1">
      <go:sheetsCustomData xmlns:go="http://customooxmlschemas.google.com/" r:id="rId1" roundtripDataSignature="AMtx7mht9PfiYdNJQcog0TMJ3y0mVQnJ3w=="/>
    </ext>
  </extLst>
</comments>
</file>

<file path=xl/comments4.xml><?xml version="1.0" encoding="utf-8"?>
<comments xmlns:r="http://schemas.openxmlformats.org/officeDocument/2006/relationships" xmlns="http://schemas.openxmlformats.org/spreadsheetml/2006/main">
  <authors>
    <author/>
  </authors>
  <commentList>
    <comment authorId="0" ref="M33">
      <text>
        <t xml:space="preserve">======
ID#AAAAkHphmlI
Alexander Bowen    (2022-11-16 21:02:47)
S/C No longer Comprises of an Orbiter</t>
      </text>
    </comment>
    <comment authorId="0" ref="Q3">
      <text>
        <t xml:space="preserve">======
ID#AAAAkHphmj8
tc={C551E149-8893-4172-A55C-AA6861DA8DFB}    (2022-11-16 21:02:47)
[Threaded comment]
Your version of Excel allows you to read this threaded comment; however, any edits to it will get removed if the file is opened in a newer version of Excel. Learn more: https://go.microsoft.com/fwlink/?linkid=870924
Comment:
    If voltz are too big from config setup, we can use voltage regulators</t>
      </text>
    </comment>
  </commentList>
  <extLst>
    <ext uri="GoogleSheetsCustomDataVersion1">
      <go:sheetsCustomData xmlns:go="http://customooxmlschemas.google.com/" r:id="rId1" roundtripDataSignature="AMtx7mhkCbl49dxbFpw8R/nk0rTtBGOCNQ=="/>
    </ext>
  </extLst>
</comments>
</file>

<file path=xl/comments5.xml><?xml version="1.0" encoding="utf-8"?>
<comments xmlns:r="http://schemas.openxmlformats.org/officeDocument/2006/relationships" xmlns="http://schemas.openxmlformats.org/spreadsheetml/2006/main">
  <authors>
    <author/>
  </authors>
  <commentList>
    <comment authorId="0" ref="M32">
      <text>
        <t xml:space="preserve">======
ID#AAAAkHphmsU
Alexander Bowen    (2022-11-16 21:02:48)
S/C No longer Comprises of an Orbiter</t>
      </text>
    </comment>
    <comment authorId="0" ref="Q3">
      <text>
        <t xml:space="preserve">======
ID#AAAAkHphmiE
tc={6D84E540-030C-4B02-AEC6-4CF7B6D93895}    (2022-11-16 21:02:47)
[Threaded comment]
Your version of Excel allows you to read this threaded comment; however, any edits to it will get removed if the file is opened in a newer version of Excel. Learn more: https://go.microsoft.com/fwlink/?linkid=870924
Comment:
    If voltz are too big from config setup, we can use voltage regulators</t>
      </text>
    </comment>
  </commentList>
  <extLst>
    <ext uri="GoogleSheetsCustomDataVersion1">
      <go:sheetsCustomData xmlns:go="http://customooxmlschemas.google.com/" r:id="rId1" roundtripDataSignature="AMtx7mh4WD3xhTDd5NOTWdledfQDxHb9Rw=="/>
    </ext>
  </extLst>
</comments>
</file>

<file path=xl/comments6.xml><?xml version="1.0" encoding="utf-8"?>
<comments xmlns:r="http://schemas.openxmlformats.org/officeDocument/2006/relationships" xmlns="http://schemas.openxmlformats.org/spreadsheetml/2006/main">
  <authors>
    <author/>
  </authors>
  <commentList>
    <comment authorId="0" ref="T21">
      <text>
        <t xml:space="preserve">======
ID#AAAAkHphms0
tc={47711FAC-6E6E-46D4-A1A6-1F8F882FB1CC}    (2022-11-16 21:02:48)
[Threaded comment]
Your version of Excel allows you to read this threaded comment; however, any edits to it will get removed if the file is opened in a newer version of Excel. Learn more: https://go.microsoft.com/fwlink/?linkid=870924
Comment:
    Has no payload</t>
      </text>
    </comment>
    <comment authorId="0" ref="K31">
      <text>
        <t xml:space="preserve">======
ID#AAAAkHphmr4
tc={A5B8C77B-935F-4CE4-A9A8-794722C04130}    (2022-11-16 21:02:48)
[Threaded comment]
Your version of Excel allows you to read this threaded comment; however, any edits to it will get removed if the file is opened in a newer version of Excel. Learn more: https://go.microsoft.com/fwlink/?linkid=870924
Comment:
    This method does not work for the numbers we have to we will need to use a different estimation than basing off payload power estimates.</t>
      </text>
    </comment>
    <comment authorId="0" ref="W56">
      <text>
        <t xml:space="preserve">======
ID#AAAAkHphmrw
tc={32F2EF67-BB1B-400D-A1A8-385CE9FFBB98}    (2022-11-16 21:02:48)
[Threaded comment]
Your version of Excel allows you to read this threaded comment; however, any edits to it will get removed if the file is opened in a newer version of Excel. Learn more: https://go.microsoft.com/fwlink/?linkid=870924
Comment:
    TBD. DON'T CHANGE VALUE HERE. Change value on "Component Breakdown" sheet.</t>
      </text>
    </comment>
    <comment authorId="0" ref="V42">
      <text>
        <t xml:space="preserve">======
ID#AAAAkHphmro
tc={E4BE370D-B988-453A-90F6-D36BD3F7CA90}    (2022-11-16 21:02:48)
[Threaded comment]
Your version of Excel allows you to read this threaded comment; however, any edits to it will get removed if the file is opened in a newer version of Excel. Learn more: https://go.microsoft.com/fwlink/?linkid=870924
Comment:
    Doesn't Matter</t>
      </text>
    </comment>
    <comment authorId="0" ref="P19">
      <text>
        <t xml:space="preserve">======
ID#AAAAkHphmrk
tc={35FAC849-5022-49BA-8D5A-F247F3C9D423}    (2022-11-16 21:02:48)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P18">
      <text>
        <t xml:space="preserve">======
ID#AAAAkHphmrg
tc={2C40963E-7AFB-434C-92E0-AF6E2C37CFC6}    (2022-11-16 21:02:48)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Z31">
      <text>
        <t xml:space="preserve">======
ID#AAAAkHphmrM
tc={22DFB1EF-3BC0-430B-A904-041FD9FA1898}    (2022-11-16 21:02:48)
[Threaded comment]
Your version of Excel allows you to read this threaded comment; however, any edits to it will get removed if the file is opened in a newer version of Excel. Learn more: https://go.microsoft.com/fwlink/?linkid=870924
Comment:
    This method does not work for the numbers we have to we will need to use a different estimation than basing off payload power estimates.</t>
      </text>
    </comment>
    <comment authorId="0" ref="E55">
      <text>
        <t xml:space="preserve">======
ID#AAAAkHphmqU
tc={6A907AC2-2084-47CB-8716-8032990E27B5}    (2022-11-16 21:02:48)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R55">
      <text>
        <t xml:space="preserve">======
ID#AAAAkHphmqM
tc={51DCD08B-86F7-44B2-A5C5-038626D0BF94}    (2022-11-16 21:02:48)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P55">
      <text>
        <t xml:space="preserve">======
ID#AAAAkHphmps
tc={A1FDDE0B-2844-415E-84F2-25D3C4F1BD00}    (2022-11-16 21:02:48)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P4">
      <text>
        <t xml:space="preserve">======
ID#AAAAkHphmpg
tc={A1E22AC1-CE1D-4B3A-8CBA-945C43D88ADB}    (2022-11-16 21:02:48)
[Threaded comment]
Your version of Excel allows you to read this threaded comment; however, any edits to it will get removed if the file is opened in a newer version of Excel. Learn more: https://go.microsoft.com/fwlink/?linkid=870924
Comment:
    Payload includes ONLY scientific instruments. Ex. no ACS or GNC go here.</t>
      </text>
    </comment>
    <comment authorId="0" ref="H56">
      <text>
        <t xml:space="preserve">======
ID#AAAAkHphmpc
tc={6B56B899-969A-4236-8D6A-8E8DBBF15232}    (2022-11-16 21:02:48)
[Threaded comment]
Your version of Excel allows you to read this threaded comment; however, any edits to it will get removed if the file is opened in a newer version of Excel. Learn more: https://go.microsoft.com/fwlink/?linkid=870924
Comment:
    TBD. DON'T CHANGE VALUE HERE. Change value on "Component Breakdown" sheet.</t>
      </text>
    </comment>
    <comment authorId="0" ref="T31">
      <text>
        <t xml:space="preserve">======
ID#AAAAkHphmpM
tc={007BA9F8-A8B1-4DAE-A6D0-3AE743DA7B56}    (2022-11-16 21:02:48)
[Threaded comment]
Your version of Excel allows you to read this threaded comment; however, any edits to it will get removed if the file is opened in a newer version of Excel. Learn more: https://go.microsoft.com/fwlink/?linkid=870924
Comment:
    Has no payload</t>
      </text>
    </comment>
    <comment authorId="0" ref="Q9">
      <text>
        <t xml:space="preserve">======
ID#AAAAkHphmpI
tc={54F9D9EF-2EBB-49B2-A383-C067BA4299D9}    (2022-11-16 21:02:48)
[Threaded comment]
Your version of Excel allows you to read this threaded comment; however, any edits to it will get removed if the file is opened in a newer version of Excel. Learn more: https://go.microsoft.com/fwlink/?linkid=870924
Comment:
    TBD. DON'T CHANGE VALUE HERE. Change value on "Component Breakdown" sheet.</t>
      </text>
    </comment>
    <comment authorId="0" ref="T55">
      <text>
        <t xml:space="preserve">======
ID#AAAAkHphmo8
tc={60F285E6-B333-47A7-A1E4-C901BB1FCFF0}    (2022-11-16 21:02:48)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A19">
      <text>
        <t xml:space="preserve">======
ID#AAAAkHphmoc
tc={7A80DA1B-B74D-486C-BA65-B188E9C86961}    (2022-11-16 21:02:48)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G31">
      <text>
        <t xml:space="preserve">======
ID#AAAAkHphmmo
tc={B923F404-C66F-48CD-8B29-85895ACCEAED}    (2022-11-16 21:02:47)
[Threaded comment]
Your version of Excel allows you to read this threaded comment; however, any edits to it will get removed if the file is opened in a newer version of Excel. Learn more: https://go.microsoft.com/fwlink/?linkid=870924
Comment:
    Doesn't Matter</t>
      </text>
    </comment>
    <comment authorId="0" ref="C55">
      <text>
        <t xml:space="preserve">======
ID#AAAAkHphmmg
tc={F487C961-B27F-45FA-94A1-A45A186CA681}    (2022-11-16 21:02:47)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A4">
      <text>
        <t xml:space="preserve">======
ID#AAAAkHphmmc
tc={8CB0CA3C-108F-4237-A1F6-19454D06FA2F}    (2022-11-16 21:02:47)
[Threaded comment]
Your version of Excel allows you to read this threaded comment; however, any edits to it will get removed if the file is opened in a newer version of Excel. Learn more: https://go.microsoft.com/fwlink/?linkid=870924
Comment:
    Payload includes ONLY scientific instruments. Ex. no ACS or GNC go here.</t>
      </text>
    </comment>
    <comment authorId="0" ref="G21">
      <text>
        <t xml:space="preserve">======
ID#AAAAkHphmmU
tc={65FDABFD-4143-40A1-B356-E8056C96C6DB}    (2022-11-16 21:02:47)
[Threaded comment]
Your version of Excel allows you to read this threaded comment; however, any edits to it will get removed if the file is opened in a newer version of Excel. Learn more: https://go.microsoft.com/fwlink/?linkid=870924
Comment:
    Doesn't Matter</t>
      </text>
    </comment>
    <comment authorId="0" ref="V31">
      <text>
        <t xml:space="preserve">======
ID#AAAAkHphmmQ
tc={B990FD91-367F-4C79-8239-FF4287D35E71}    (2022-11-16 21:02:47)
[Threaded comment]
Your version of Excel allows you to read this threaded comment; however, any edits to it will get removed if the file is opened in a newer version of Excel. Learn more: https://go.microsoft.com/fwlink/?linkid=870924
Comment:
    Doesn't Matter</t>
      </text>
    </comment>
    <comment authorId="0" ref="P20">
      <text>
        <t xml:space="preserve">======
ID#AAAAkHphmmA
tc={7497A6FD-5923-43D6-A53C-39C213A4A997}    (2022-11-16 21:02:47)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A18">
      <text>
        <t xml:space="preserve">======
ID#AAAAkHphml0
tc={EDC005A3-7A90-440C-980E-730E5B74E46E}    (2022-11-16 21:02:47)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P17">
      <text>
        <t xml:space="preserve">======
ID#AAAAkHphmlU
tc={C80ECFC4-7D80-4DA8-B10A-02A03F26BFE0}    (2022-11-16 21:02:47)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A20">
      <text>
        <t xml:space="preserve">======
ID#AAAAkHphmjk
tc={5648473E-8FCD-4DA9-A56E-8064232F1D9C}    (2022-11-16 21:02:47)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B9">
      <text>
        <t xml:space="preserve">======
ID#AAAAkHphmi4
tc={A9B054CB-CDFF-4ED2-8A32-F871FBAB1F52}    (2022-11-16 21:02:47)
[Threaded comment]
Your version of Excel allows you to read this threaded comment; however, any edits to it will get removed if the file is opened in a newer version of Excel. Learn more: https://go.microsoft.com/fwlink/?linkid=870924
Comment:
    TBD. DON'T CHANGE VALUE HERE. Change value on "Component Breakdown" sheet.</t>
      </text>
    </comment>
    <comment authorId="0" ref="A17">
      <text>
        <t xml:space="preserve">======
ID#AAAAkHphmi0
tc={802CD3AB-2A14-424F-B1DD-2A4ABEAE5ACA}    (2022-11-16 21:02:47)
[Threaded comment]
Your version of Excel allows you to read this threaded comment; however, any edits to it will get removed if the file is opened in a newer version of Excel. Learn more: https://go.microsoft.com/fwlink/?linkid=870924
Comment:
    Sourced from Design Lecture slide 26</t>
      </text>
    </comment>
    <comment authorId="0" ref="A55">
      <text>
        <t xml:space="preserve">======
ID#AAAAkHphmig
tc={8486B39B-2FD3-49D3-8278-1E9C6238DA6B}    (2022-11-16 21:02:47)
[Threaded comment]
Your version of Excel allows you to read this threaded comment; however, any edits to it will get removed if the file is opened in a newer version of Excel. Learn more: https://go.microsoft.com/fwlink/?linkid=870924
Comment:
    Don't have this number accurate</t>
      </text>
    </comment>
    <comment authorId="0" ref="V21">
      <text>
        <t xml:space="preserve">======
ID#AAAAkHphmic
tc={2E22AD4C-2F22-40C7-A58D-02108A8B9885}    (2022-11-16 21:02:47)
[Threaded comment]
Your version of Excel allows you to read this threaded comment; however, any edits to it will get removed if the file is opened in a newer version of Excel. Learn more: https://go.microsoft.com/fwlink/?linkid=870924
Comment:
    Doesn't Matter</t>
      </text>
    </comment>
    <comment authorId="0" ref="G42">
      <text>
        <t xml:space="preserve">======
ID#AAAAkHphmiU
tc={935503DC-EE4D-4307-8658-2A7C30FE857B}    (2022-11-16 21:02:47)
[Threaded comment]
Your version of Excel allows you to read this threaded comment; however, any edits to it will get removed if the file is opened in a newer version of Excel. Learn more: https://go.microsoft.com/fwlink/?linkid=870924
Comment:
    Doesn't Matter</t>
      </text>
    </comment>
  </commentList>
  <extLst>
    <ext uri="GoogleSheetsCustomDataVersion1">
      <go:sheetsCustomData xmlns:go="http://customooxmlschemas.google.com/" r:id="rId1" roundtripDataSignature="AMtx7mg8LhqUKfA+BCP/U62ogewPHVY0zw=="/>
    </ext>
  </extLst>
</comments>
</file>

<file path=xl/sharedStrings.xml><?xml version="1.0" encoding="utf-8"?>
<sst xmlns="http://schemas.openxmlformats.org/spreadsheetml/2006/main" count="2787" uniqueCount="353">
  <si>
    <t>Power information is distributed across sheets</t>
  </si>
  <si>
    <t>"Visual Summary", "Component Breakdown", and "Power Reqs" are cohesive and compact centralizations of info. More in depth breakdowns/number sources and random notes go on individual subsystem sheets.</t>
  </si>
  <si>
    <t>This is NOT the budget breakdowns. Budget breakdowns that go on presentations are not useful. This entire file will be solid, realistic, calculated numbers. No nonsense. Not shooting to pretend we meet reqs. Straight forward real deal only.</t>
  </si>
  <si>
    <t>I repeat do NOT confuse this work with the useless budget breakdowns because those are numbers we attempt to bias to meet reqs and look good. This file is ACCURATE and TRUE numbers only.</t>
  </si>
  <si>
    <t>If things "don't work out" oh well leave them as not working out. We can bias the numbers in the presentation when it comes to that but don't sway from truth at all here.</t>
  </si>
  <si>
    <r>
      <rPr>
        <rFont val="Calibri"/>
        <color theme="1"/>
      </rPr>
      <t>"O-" prefix means the subsystem following will consume (</t>
    </r>
    <r>
      <rPr>
        <rFont val="Calibri"/>
        <b/>
        <color theme="1"/>
        <sz val="11.0"/>
      </rPr>
      <t>O</t>
    </r>
    <r>
      <rPr>
        <rFont val="Calibri"/>
        <color theme="1"/>
        <sz val="11.0"/>
      </rPr>
      <t>utput) power from the system</t>
    </r>
  </si>
  <si>
    <r>
      <rPr>
        <rFont val="Calibri"/>
        <color theme="1"/>
      </rPr>
      <t>"I-" prefix mean the subsystem following will produce (</t>
    </r>
    <r>
      <rPr>
        <rFont val="Calibri"/>
        <b/>
        <color theme="1"/>
        <sz val="11.0"/>
      </rPr>
      <t>I</t>
    </r>
    <r>
      <rPr>
        <rFont val="Calibri"/>
        <color theme="1"/>
        <sz val="11.0"/>
      </rPr>
      <t>nput) power into the system</t>
    </r>
  </si>
  <si>
    <t>Gray means present on craft at this stage, however not in use at this stage</t>
  </si>
  <si>
    <t>Orange means not present on the craft at this stage, however in use at this stage</t>
  </si>
  <si>
    <t>Architecture 1 - Power Outputs (Uses power)</t>
  </si>
  <si>
    <t>Architecture 2 - Power Outputs (Uses power)</t>
  </si>
  <si>
    <t>Combined</t>
  </si>
  <si>
    <t>CIRS</t>
  </si>
  <si>
    <t>Electric Propulsion Engine</t>
  </si>
  <si>
    <t>FSS (2x)</t>
  </si>
  <si>
    <t>Lander Vision System Camera LCAM (2x)</t>
  </si>
  <si>
    <t>MR-103M (16x)</t>
  </si>
  <si>
    <t>Mastcam-Z (2x)</t>
  </si>
  <si>
    <t>RDR 68-3 (4x)</t>
  </si>
  <si>
    <t>MPS Methane Gas Sensor (2x)</t>
  </si>
  <si>
    <t>STIM300 (2x)</t>
  </si>
  <si>
    <t>T1 (2x)</t>
  </si>
  <si>
    <t>MR-107S (16x)</t>
  </si>
  <si>
    <t>Sample Containment System</t>
  </si>
  <si>
    <t>TEDA</t>
  </si>
  <si>
    <t>HazCams (2x)</t>
  </si>
  <si>
    <t>Mastcam-Z</t>
  </si>
  <si>
    <t>NavCams (2x)</t>
  </si>
  <si>
    <t>SHERLOC</t>
  </si>
  <si>
    <t>Breakaway Engine</t>
  </si>
  <si>
    <t>LAV</t>
  </si>
  <si>
    <t>Orbiter</t>
  </si>
  <si>
    <t>Rover</t>
  </si>
  <si>
    <t>TEDA (MEDA)</t>
  </si>
  <si>
    <t>Architecture 2 - Power Inputs (Generates power)</t>
  </si>
  <si>
    <t>Nuclear Reactor #1</t>
  </si>
  <si>
    <t>RTG Assembly #1</t>
  </si>
  <si>
    <t>RTG Assembly #2</t>
  </si>
  <si>
    <t>Architecture 1 - Power Inputs (Generates power)</t>
  </si>
  <si>
    <t>Units are Watts</t>
  </si>
  <si>
    <t>Architecture 1</t>
  </si>
  <si>
    <t>Architecture 2</t>
  </si>
  <si>
    <t>FSS</t>
  </si>
  <si>
    <t>HazCams</t>
  </si>
  <si>
    <t>Lander Vision System Camera LCAM</t>
  </si>
  <si>
    <t>MPS Methane Gas Sensor</t>
  </si>
  <si>
    <t>MR-103M</t>
  </si>
  <si>
    <t>MR-107S</t>
  </si>
  <si>
    <t>NavCams</t>
  </si>
  <si>
    <t>PIXL</t>
  </si>
  <si>
    <t>RDR 68-3</t>
  </si>
  <si>
    <t>STIM300</t>
  </si>
  <si>
    <t>T1</t>
  </si>
  <si>
    <t>UVIS</t>
  </si>
  <si>
    <t>Battery Assembly #1</t>
  </si>
  <si>
    <t>Battery Assembly #2</t>
  </si>
  <si>
    <t>Distance dependent sphere on sphere view factor
---&gt;</t>
  </si>
  <si>
    <t>Stephan Boltzman</t>
  </si>
  <si>
    <t>Electronics need be heated, can't recycle thermal waste</t>
  </si>
  <si>
    <t>page 695 ^</t>
  </si>
  <si>
    <t>Aluminum: .09, .45</t>
  </si>
  <si>
    <t>Galvinized Metal: .65, .13</t>
  </si>
  <si>
    <t>Gray Pigment Paint: .03, .87</t>
  </si>
  <si>
    <t>Aluminum #2: .61, .25</t>
  </si>
  <si>
    <t>http://www.solarmirror.com/fom/fom-serve/cache/43.html</t>
  </si>
  <si>
    <t>Black Paint: .96, .86</t>
  </si>
  <si>
    <t>LAV (De-Orbit Module) - Earth Orbit Calcs</t>
  </si>
  <si>
    <t>LAV (Thruster Module) - Earth Orbit Calcs</t>
  </si>
  <si>
    <t>LAV (Electronics Module) - Earth Orbit Calcs</t>
  </si>
  <si>
    <t>Rover - Earth Orbit Calcs</t>
  </si>
  <si>
    <t>Orbiter - Earth Orbit Calcs</t>
  </si>
  <si>
    <t>Breakaway Engine - Earth Orbit Calcs</t>
  </si>
  <si>
    <t>Material Alpha</t>
  </si>
  <si>
    <t>Doesn't matter here because inside climate controlled LAV (Thruster Module)</t>
  </si>
  <si>
    <t>Material Epsilon</t>
  </si>
  <si>
    <t>Material Projected Area</t>
  </si>
  <si>
    <t>Material Surface Area</t>
  </si>
  <si>
    <t>Radiative Fin Alpha</t>
  </si>
  <si>
    <t>Radiative Fin Epsilon</t>
  </si>
  <si>
    <t>Radiative Fin Height</t>
  </si>
  <si>
    <t>Radiative Fin Width</t>
  </si>
  <si>
    <t>Radiative Fin Thickness</t>
  </si>
  <si>
    <t>Radiative Fin Number</t>
  </si>
  <si>
    <t>Radiative Fin Projected Area</t>
  </si>
  <si>
    <t>Radiative Fin Surface Area</t>
  </si>
  <si>
    <t>Average Projected Alpha</t>
  </si>
  <si>
    <t>Average Projected Epsilon</t>
  </si>
  <si>
    <t>Average Surface Alpha</t>
  </si>
  <si>
    <t>Average Surface Epsilon</t>
  </si>
  <si>
    <t>Solar Constant @ Distance</t>
  </si>
  <si>
    <t>Solar Area Projection</t>
  </si>
  <si>
    <t>Solar Power Absorbed</t>
  </si>
  <si>
    <t>Planet Alpha Max</t>
  </si>
  <si>
    <t>Planet Alpha Min</t>
  </si>
  <si>
    <t>Planet Radius</t>
  </si>
  <si>
    <t>Orbital Altitude</t>
  </si>
  <si>
    <t>Planet "k" Collimation Value</t>
  </si>
  <si>
    <t>Vehicle Volume</t>
  </si>
  <si>
    <t>Vehicle Radius</t>
  </si>
  <si>
    <t>View Factor</t>
  </si>
  <si>
    <t>Planet Area Projection</t>
  </si>
  <si>
    <t>Planet Solar Power Absorbed Max</t>
  </si>
  <si>
    <t>Planet Solar Power Absorbed Min</t>
  </si>
  <si>
    <t>Internal Electrical Power Max</t>
  </si>
  <si>
    <t>Internal Electrical Power Min</t>
  </si>
  <si>
    <t>Planet IR Emitted Max</t>
  </si>
  <si>
    <t>Planet IR Emitted Min</t>
  </si>
  <si>
    <t>Planet IR Power Absorbed Max</t>
  </si>
  <si>
    <t>Planet IR Power Absorbed Min</t>
  </si>
  <si>
    <t>Target Temperature [C]</t>
  </si>
  <si>
    <t>Target Temperature [K]</t>
  </si>
  <si>
    <t>Avg Ambient Surrounding Temperature [K]</t>
  </si>
  <si>
    <t>LHS Max</t>
  </si>
  <si>
    <t>LHS Min</t>
  </si>
  <si>
    <t>RHS</t>
  </si>
  <si>
    <t>Necessary Heater Input Max</t>
  </si>
  <si>
    <t>Necessary Heater Input Min</t>
  </si>
  <si>
    <t>Temperature Achieved w/o cool/heat Max</t>
  </si>
  <si>
    <t>Temperature Achieved w/o cool/heat Min</t>
  </si>
  <si>
    <t>LAV (De-Orbit Module) - Titan Orbit Calcs</t>
  </si>
  <si>
    <t>LAV (Thruster Module) - Titan Orbit Calcs</t>
  </si>
  <si>
    <t>LAV (Electronics Module) - Titan Orbit Calcs</t>
  </si>
  <si>
    <t>Orbiter - Titan Orbit Calcs</t>
  </si>
  <si>
    <t>Breakaway Engine - Titan Orbit Calcs</t>
  </si>
  <si>
    <t>Would have broken off by here</t>
  </si>
  <si>
    <t>LAV (De-Orbit Module) - Exposed Titan Surface Calcs</t>
  </si>
  <si>
    <t>LAV (Thruster Module) - Exposed Titan Surface Calcs</t>
  </si>
  <si>
    <t>LAV (Electronics Module) - Exposed Titan Surface Calcs</t>
  </si>
  <si>
    <t>Rover - Exposed Titan Surface Calcs</t>
  </si>
  <si>
    <t>Orbiter - Exposed Titan Surface Calcs</t>
  </si>
  <si>
    <t>Breakaway Engine - Exposed Titan Surface Calcs</t>
  </si>
  <si>
    <t>Doesn't matter here because we left module on entry</t>
  </si>
  <si>
    <t>If the orbiter is on the Titan surface, somebody is getting fired</t>
  </si>
  <si>
    <t>LAV (De-Orbit Module) - Earth Half of Space Calcs</t>
  </si>
  <si>
    <t>LAV (Thruster Module) - Earth Half of Space Calcs</t>
  </si>
  <si>
    <t>LAV (Electronics Module) - Earth Half of Space Calcs</t>
  </si>
  <si>
    <t>Rover - Earth Half of Space Calcs</t>
  </si>
  <si>
    <t>Orbiter - Earth Half of Space Calcs</t>
  </si>
  <si>
    <t>Breakaway Engine - Earth Half of Space Calcs</t>
  </si>
  <si>
    <t>LAV (De-Orbit Module) - Titan Half of Space Calcs</t>
  </si>
  <si>
    <t>LAV (Thruster Module) - Titan Half of Space Calcs</t>
  </si>
  <si>
    <t>LAV (Electronics Module) - Titan Half of Space Calcs</t>
  </si>
  <si>
    <t>Rover - Titan Half of Space Calcs</t>
  </si>
  <si>
    <t>Orbiter - Titan Half of Space Calcs</t>
  </si>
  <si>
    <t>Breakaway Engine - Titan Half of Space Calcs</t>
  </si>
  <si>
    <t>Nuke</t>
  </si>
  <si>
    <t>RTG1</t>
  </si>
  <si>
    <t>RTG2</t>
  </si>
  <si>
    <t>Nuke Power</t>
  </si>
  <si>
    <t>RTG1 Power</t>
  </si>
  <si>
    <t>RTG2 Power</t>
  </si>
  <si>
    <t>ALL ANALYSIS/IMPORTANT NUCLEAR REACTOR INFO HERE</t>
  </si>
  <si>
    <t xml:space="preserve">Important Notes: </t>
  </si>
  <si>
    <t>Some on team say reactor can be scaled easily anywhere from 1-10 kW.</t>
  </si>
  <si>
    <t>Sure we can run with that but in the press release they explain that there are two distinct setups, one for 1-3 kW and a different for 3-10 kW. So scale the 3-10 kW for our mission rather than the 1-3.</t>
  </si>
  <si>
    <t>Specs:</t>
  </si>
  <si>
    <t>Electric Power Output: 10 kW</t>
  </si>
  <si>
    <t>Thermal Power Output: 43.3 kW</t>
  </si>
  <si>
    <t>ALL ANALYSIS/IMPORTANT RTG INFO HERE</t>
  </si>
  <si>
    <t>Per RTG BOL Power [W]</t>
  </si>
  <si>
    <t>RTG Power Loss Rate [W/year]</t>
  </si>
  <si>
    <t>Mission Length [days]</t>
  </si>
  <si>
    <t>Per RTG EOL Power [W]</t>
  </si>
  <si>
    <t>Voyager has 3</t>
  </si>
  <si>
    <t>Per RTG Mass [kg]</t>
  </si>
  <si>
    <t>Per RTG Volume [L]</t>
  </si>
  <si>
    <t>Necessary RTG</t>
  </si>
  <si>
    <t>Total RTG Mass [kg]</t>
  </si>
  <si>
    <t>Total RTG Power [W]</t>
  </si>
  <si>
    <t>Total RTG Volume [L]</t>
  </si>
  <si>
    <t>Cassini has 3</t>
  </si>
  <si>
    <t>Legend</t>
  </si>
  <si>
    <t>Column Is Formulized</t>
  </si>
  <si>
    <t>ALL ENTRY'S ARE EXAMPLES (XANDER DELETE THIS)</t>
  </si>
  <si>
    <t>Column Is Input</t>
  </si>
  <si>
    <t>Battery Specs</t>
  </si>
  <si>
    <t>Single Cell Input</t>
  </si>
  <si>
    <t>Battery #</t>
  </si>
  <si>
    <t>Single Cell Volts</t>
  </si>
  <si>
    <t>Single Cell Max Amps</t>
  </si>
  <si>
    <t>Single Cell Energy Capacity</t>
  </si>
  <si>
    <t>Number of Cells</t>
  </si>
  <si>
    <t>Number of Strings</t>
  </si>
  <si>
    <t>Battery Volts</t>
  </si>
  <si>
    <t>Max Amp Output</t>
  </si>
  <si>
    <t>Total Battery Energy Capacity</t>
  </si>
  <si>
    <t>Battery Energy Rating</t>
  </si>
  <si>
    <t>Title</t>
  </si>
  <si>
    <t>#</t>
  </si>
  <si>
    <t>V</t>
  </si>
  <si>
    <t>A</t>
  </si>
  <si>
    <t>Ah</t>
  </si>
  <si>
    <t>Wh</t>
  </si>
  <si>
    <t>Power Generation Specs</t>
  </si>
  <si>
    <t>Nuclear Reactor Starting Power</t>
  </si>
  <si>
    <t>Nuclear Material Half Life</t>
  </si>
  <si>
    <t>Nuclear Reactor Assembly Day</t>
  </si>
  <si>
    <t>Power Generation Number</t>
  </si>
  <si>
    <t>W</t>
  </si>
  <si>
    <t>Years</t>
  </si>
  <si>
    <t>Date/Time</t>
  </si>
  <si>
    <t>Xander's Timeline WIP (VERY VERY ROUGH) Arch. 1</t>
  </si>
  <si>
    <t>Notes:</t>
  </si>
  <si>
    <t>Launch</t>
  </si>
  <si>
    <t>downlink &amp; uplink times must be mapped</t>
  </si>
  <si>
    <t>Trans-Titan Transit</t>
  </si>
  <si>
    <t>Begin Thrust</t>
  </si>
  <si>
    <t>Stop Thrust</t>
  </si>
  <si>
    <t>Battery Legend</t>
  </si>
  <si>
    <t>Home battery</t>
  </si>
  <si>
    <t>Nuke charges</t>
  </si>
  <si>
    <t>Rover battery</t>
  </si>
  <si>
    <t>Ascent battery</t>
  </si>
  <si>
    <t>RTG 1 charges</t>
  </si>
  <si>
    <t>Orbiter battery</t>
  </si>
  <si>
    <t>RTG 2 charges</t>
  </si>
  <si>
    <t>Begin Spiral</t>
  </si>
  <si>
    <t>End Spiral</t>
  </si>
  <si>
    <t>Power Table</t>
  </si>
  <si>
    <t>temp</t>
  </si>
  <si>
    <t>fill out more if any events are within this bracket</t>
  </si>
  <si>
    <t>Activity</t>
  </si>
  <si>
    <t>Battery Used</t>
  </si>
  <si>
    <t>Battery 2 State</t>
  </si>
  <si>
    <t>Mission Time Start</t>
  </si>
  <si>
    <t>Mission Time End</t>
  </si>
  <si>
    <t>S/C Power Consumption</t>
  </si>
  <si>
    <t>Time of Segment</t>
  </si>
  <si>
    <t>Power Generated</t>
  </si>
  <si>
    <t>Power Generated Total</t>
  </si>
  <si>
    <t>Time Since Launch</t>
  </si>
  <si>
    <t>Time Since Reactor Assembly</t>
  </si>
  <si>
    <t>Energy Generated</t>
  </si>
  <si>
    <t>Total Generated Energy</t>
  </si>
  <si>
    <t>Energy Consumption</t>
  </si>
  <si>
    <t>Power Balance</t>
  </si>
  <si>
    <t>Power Balance Total</t>
  </si>
  <si>
    <t>Energy Balance For Segment</t>
  </si>
  <si>
    <t>Energy Balance Total</t>
  </si>
  <si>
    <t>Battery SoC 1 (Orbiter)</t>
  </si>
  <si>
    <t>Battery SoC 2 (Rover)</t>
  </si>
  <si>
    <t>Battery SoC 3 (End of Segment)</t>
  </si>
  <si>
    <t>Battery SoC 4 (End of Segment)</t>
  </si>
  <si>
    <t>Landing</t>
  </si>
  <si>
    <t>Descent Stage Separation</t>
  </si>
  <si>
    <t>Name</t>
  </si>
  <si>
    <t>Select</t>
  </si>
  <si>
    <t>Hours</t>
  </si>
  <si>
    <r>
      <rPr>
        <rFont val="Calibri"/>
        <color theme="1"/>
        <sz val="11.0"/>
      </rPr>
      <t>W</t>
    </r>
    <r>
      <rPr>
        <rFont val="Calibri"/>
        <color theme="1"/>
        <sz val="11.0"/>
        <vertAlign val="subscript"/>
      </rPr>
      <t>avg</t>
    </r>
  </si>
  <si>
    <r>
      <rPr>
        <rFont val="Calibri"/>
        <color theme="1"/>
        <sz val="11.0"/>
      </rPr>
      <t>W</t>
    </r>
    <r>
      <rPr>
        <rFont val="Calibri"/>
        <color theme="1"/>
        <sz val="11.0"/>
        <vertAlign val="subscript"/>
      </rPr>
      <t>avg</t>
    </r>
  </si>
  <si>
    <t>Days to End of Segment</t>
  </si>
  <si>
    <t>Hours to Middle of Segment</t>
  </si>
  <si>
    <t>%</t>
  </si>
  <si>
    <t>Descent onto Titan</t>
  </si>
  <si>
    <t>jettison prop?</t>
  </si>
  <si>
    <t>&lt;------  Battery Starting SOC</t>
  </si>
  <si>
    <t>Parachute Deployment</t>
  </si>
  <si>
    <t>NOT CHARGING</t>
  </si>
  <si>
    <t>Landing Leg Deployment</t>
  </si>
  <si>
    <t>xander &amp; armando need to flush out descent</t>
  </si>
  <si>
    <t>Reaction Wheel Desaturation</t>
  </si>
  <si>
    <t>Transit</t>
  </si>
  <si>
    <t>Surface Ops</t>
  </si>
  <si>
    <t>Home Base Checkout</t>
  </si>
  <si>
    <t>LTM 1</t>
  </si>
  <si>
    <t>Rover Deployment</t>
  </si>
  <si>
    <t>Rover Transit to Lake</t>
  </si>
  <si>
    <t>LTM 2</t>
  </si>
  <si>
    <t>Rover Collects Sample</t>
  </si>
  <si>
    <t>Rover Transit to Home Base</t>
  </si>
  <si>
    <t>LMT 3</t>
  </si>
  <si>
    <t>Repeat above x times</t>
  </si>
  <si>
    <t>needs to be flushed out w/ garret</t>
  </si>
  <si>
    <t>Spiral Capture</t>
  </si>
  <si>
    <t>Rover Recharges at Home Base</t>
  </si>
  <si>
    <t>exact time this happens needs addressing</t>
  </si>
  <si>
    <t>S/C Loitering Until Descent Window</t>
  </si>
  <si>
    <t>other operations must be flushed out w/ team (such as checkout, downlink, etc.)</t>
  </si>
  <si>
    <t>Ascent</t>
  </si>
  <si>
    <t>Rover Transferred to Home Base</t>
  </si>
  <si>
    <t>Home Base Nose Cone Opens</t>
  </si>
  <si>
    <t>Parachute Coasting</t>
  </si>
  <si>
    <t>Ascent Vehicle Launch</t>
  </si>
  <si>
    <t>Circularization Burn</t>
  </si>
  <si>
    <t>Rendezvous Maneuver</t>
  </si>
  <si>
    <t>Ascent Vehicle Docking</t>
  </si>
  <si>
    <t>Rover Collects 3 Samples</t>
  </si>
  <si>
    <t>Ascent Vehicle Refueling</t>
  </si>
  <si>
    <t>Ascent Vehicle Reorientation</t>
  </si>
  <si>
    <t>CHARGING</t>
  </si>
  <si>
    <t>Trans-Earth Transit</t>
  </si>
  <si>
    <t>Ascent Vehicle Trans-Earth Transit</t>
  </si>
  <si>
    <t>Xander's Timeline WIP (VERY VERY ROUGH) Arch. 2</t>
  </si>
  <si>
    <t>Ascent Vehicle Loitering Until TEI Window</t>
  </si>
  <si>
    <t>Ascent Vehicle TEI</t>
  </si>
  <si>
    <t>Earth Entry</t>
  </si>
  <si>
    <t>Rover Collects Fuel</t>
  </si>
  <si>
    <t>Rover Transit to Ice Rocks</t>
  </si>
  <si>
    <t>Rover Collects Oxidizer</t>
  </si>
  <si>
    <t>Rover Processes Oxidizer</t>
  </si>
  <si>
    <t>TBD</t>
  </si>
  <si>
    <t>Thruster Power</t>
  </si>
  <si>
    <t>Continuous Reaction Wheel Power</t>
  </si>
  <si>
    <t>120W</t>
  </si>
  <si>
    <t>Days since launch</t>
  </si>
  <si>
    <t>Continuous GNC Power</t>
  </si>
  <si>
    <t>10.1W</t>
  </si>
  <si>
    <t>Days Since Launch from Titan</t>
  </si>
  <si>
    <t>Battery SoC 2 (Home Base)</t>
  </si>
  <si>
    <r>
      <rPr>
        <rFont val="Calibri"/>
        <color theme="1"/>
        <sz val="11.0"/>
      </rPr>
      <t>W</t>
    </r>
    <r>
      <rPr>
        <rFont val="Calibri"/>
        <color theme="1"/>
        <sz val="11.0"/>
        <vertAlign val="subscript"/>
      </rPr>
      <t>avg</t>
    </r>
  </si>
  <si>
    <r>
      <rPr>
        <rFont val="Calibri"/>
        <color theme="1"/>
        <sz val="11.0"/>
      </rPr>
      <t>W</t>
    </r>
    <r>
      <rPr>
        <rFont val="Calibri"/>
        <color theme="1"/>
        <sz val="11.0"/>
        <vertAlign val="subscript"/>
      </rPr>
      <t>avg</t>
    </r>
  </si>
  <si>
    <t>Rover Delivers ISPC Hose to Lake</t>
  </si>
  <si>
    <t>Home Base Pumps Fuel from Lake</t>
  </si>
  <si>
    <t>Rover Processes Oxygen</t>
  </si>
  <si>
    <t>All units are in watts</t>
  </si>
  <si>
    <t>Arch 1</t>
  </si>
  <si>
    <t>Arch 2</t>
  </si>
  <si>
    <t>Accurate Payload Power</t>
  </si>
  <si>
    <t>HazCam (2x)</t>
  </si>
  <si>
    <t>Total PL Standalone:</t>
  </si>
  <si>
    <t>Total PL w/ Children:</t>
  </si>
  <si>
    <t>NavCam (2x)</t>
  </si>
  <si>
    <t>Estimates Based off Payload Power</t>
  </si>
  <si>
    <t>Contingency % (0-500 W)</t>
  </si>
  <si>
    <t>Contingency % (500-1500 W)</t>
  </si>
  <si>
    <t>Contingency % (1500-5000 W)</t>
  </si>
  <si>
    <t>Contingency % (5000+ W)</t>
  </si>
  <si>
    <t>Total PL to Build Off</t>
  </si>
  <si>
    <t>SC Estimated Power</t>
  </si>
  <si>
    <t>Contingency %</t>
  </si>
  <si>
    <t>Subsystem Estimated Power</t>
  </si>
  <si>
    <t>Estimated Margin</t>
  </si>
  <si>
    <t>SC Estimated Total Power:</t>
  </si>
  <si>
    <t>Subsystem Breakdowns Based off Payload Power</t>
  </si>
  <si>
    <t>Attitude Control</t>
  </si>
  <si>
    <t>CDS</t>
  </si>
  <si>
    <t>Communications</t>
  </si>
  <si>
    <t>Mechanisms</t>
  </si>
  <si>
    <t>Power</t>
  </si>
  <si>
    <t>Propulsion</t>
  </si>
  <si>
    <t>Thermal Control</t>
  </si>
  <si>
    <t>Accurate ACS Power</t>
  </si>
  <si>
    <t>Total ACS Power:</t>
  </si>
  <si>
    <t>MR-103M (16x) (Averaged pwr)</t>
  </si>
  <si>
    <t>MR-107S (16x) (Averaged pwr)</t>
  </si>
  <si>
    <t>RDR 68-3 (4x) (Treated as 2 for power avg)</t>
  </si>
  <si>
    <t>Accurate Propulsion Power</t>
  </si>
  <si>
    <t>Total Propulsion Power:</t>
  </si>
  <si>
    <t>Accurate Thermal Control Power</t>
  </si>
  <si>
    <t>Info being worked on in 'Thermals' and 'Thermals (Lies)' sheets.</t>
  </si>
  <si>
    <t>Accurate CDH Power</t>
  </si>
  <si>
    <t>Accurate Communications Power</t>
  </si>
  <si>
    <t>Accurate Mechanisms Power</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</si>
</sst>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color theme="1"/>
      <name val="Calibri"/>
      <scheme val="minor"/>
    </font>
    <font>
      <b/>
      <sz val="11.0"/>
      <color theme="1"/>
      <name val="Calibri"/>
    </font>
    <font/>
    <font>
      <sz val="11.0"/>
      <color theme="1"/>
      <name val="Calibri"/>
    </font>
    <font>
      <sz val="10.0"/>
      <color theme="1"/>
      <name val="Calibri"/>
    </font>
    <font>
      <sz val="11.0"/>
      <color rgb="FF000000"/>
      <name val="Calibri"/>
    </font>
    <font>
      <sz val="11.0"/>
      <color rgb="FF006100"/>
      <name val="Calibri"/>
    </font>
  </fonts>
  <fills count="18">
    <fill>
      <patternFill patternType="none"/>
    </fill>
    <fill>
      <patternFill patternType="lightGray"/>
    </fill>
    <fill>
      <patternFill patternType="solid">
        <fgColor rgb="FFD8D8D8"/>
        <bgColor rgb="FFD8D8D8"/>
      </patternFill>
    </fill>
    <fill>
      <patternFill patternType="solid">
        <fgColor theme="1"/>
        <bgColor theme="1"/>
      </patternFill>
    </fill>
    <fill>
      <patternFill patternType="solid">
        <fgColor rgb="FFFBE4D5"/>
        <bgColor rgb="FFFBE4D5"/>
      </patternFill>
    </fill>
    <fill>
      <patternFill patternType="solid">
        <fgColor rgb="FFD0CECE"/>
        <bgColor rgb="FFD0CECE"/>
      </patternFill>
    </fill>
    <fill>
      <patternFill patternType="solid">
        <fgColor rgb="FFD9D9D9"/>
        <bgColor rgb="FFD9D9D9"/>
      </patternFill>
    </fill>
    <fill>
      <patternFill patternType="solid">
        <fgColor rgb="FFFFFF00"/>
        <bgColor rgb="FFFFFF00"/>
      </patternFill>
    </fill>
    <fill>
      <patternFill patternType="solid">
        <fgColor rgb="FFE2EFD9"/>
        <bgColor rgb="FFE2EFD9"/>
      </patternFill>
    </fill>
    <fill>
      <patternFill patternType="solid">
        <fgColor rgb="FFFF0000"/>
        <bgColor rgb="FFFF0000"/>
      </patternFill>
    </fill>
    <fill>
      <patternFill patternType="solid">
        <fgColor rgb="FFF2F2F2"/>
        <bgColor rgb="FFF2F2F2"/>
      </patternFill>
    </fill>
    <fill>
      <patternFill patternType="solid">
        <fgColor rgb="FF8EA9DB"/>
        <bgColor rgb="FF8EA9DB"/>
      </patternFill>
    </fill>
    <fill>
      <patternFill patternType="solid">
        <fgColor theme="7"/>
        <bgColor theme="7"/>
      </patternFill>
    </fill>
    <fill>
      <patternFill patternType="solid">
        <fgColor rgb="FFB4C6E7"/>
        <bgColor rgb="FFB4C6E7"/>
      </patternFill>
    </fill>
    <fill>
      <patternFill patternType="solid">
        <fgColor rgb="FFC5E0B3"/>
        <bgColor rgb="FFC5E0B3"/>
      </patternFill>
    </fill>
    <fill>
      <patternFill patternType="solid">
        <fgColor rgb="FFF7CAAC"/>
        <bgColor rgb="FFF7CAAC"/>
      </patternFill>
    </fill>
    <fill>
      <patternFill patternType="solid">
        <fgColor rgb="FFF4B083"/>
        <bgColor rgb="FFF4B083"/>
      </patternFill>
    </fill>
    <fill>
      <patternFill patternType="solid">
        <fgColor rgb="FFC6EFCE"/>
        <bgColor rgb="FFC6EFCE"/>
      </patternFill>
    </fill>
  </fills>
  <borders count="36">
    <border/>
    <border>
      <left/>
      <top/>
      <bottom/>
    </border>
    <border>
      <top/>
      <bottom/>
    </border>
    <border>
      <right/>
      <top/>
      <bottom/>
    </border>
    <border>
      <left/>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right/>
      <top/>
      <bottom style="medium">
        <color rgb="FF000000"/>
      </bottom>
    </border>
    <border>
      <left/>
      <right/>
      <top style="thin">
        <color rgb="FF000000"/>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thin">
        <color rgb="FF000000"/>
      </top>
    </border>
    <border>
      <left/>
      <right/>
      <top/>
    </border>
    <border>
      <left/>
      <right/>
    </border>
    <border>
      <left/>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right style="thin">
        <color rgb="FF000000"/>
      </right>
      <top style="thin">
        <color rgb="FF000000"/>
      </top>
      <bottom/>
    </border>
    <border>
      <left style="thin">
        <color rgb="FF000000"/>
      </left>
    </border>
    <border>
      <left/>
      <right style="thin">
        <color rgb="FF000000"/>
      </right>
      <top/>
      <bottom/>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right style="medium">
        <color rgb="FF000000"/>
      </right>
      <top/>
      <bottom/>
    </border>
    <border>
      <left/>
      <right style="medium">
        <color rgb="FF000000"/>
      </right>
      <top/>
      <bottom style="medium">
        <color rgb="FF000000"/>
      </bottom>
    </border>
    <border>
      <left style="thin">
        <color rgb="FF000000"/>
      </left>
      <top/>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2" fillId="0" fontId="3" numFmtId="0" xfId="0" applyBorder="1" applyFont="1"/>
    <xf borderId="3" fillId="0" fontId="3" numFmtId="0" xfId="0" applyBorder="1" applyFont="1"/>
    <xf borderId="4" fillId="3" fontId="4" numFmtId="0" xfId="0" applyBorder="1" applyFill="1" applyFont="1"/>
    <xf borderId="1" fillId="4" fontId="2" numFmtId="0" xfId="0" applyAlignment="1" applyBorder="1" applyFill="1" applyFont="1">
      <alignment horizontal="center"/>
    </xf>
    <xf borderId="5" fillId="0" fontId="2"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left"/>
    </xf>
    <xf borderId="0" fillId="0" fontId="4" numFmtId="0" xfId="0" applyAlignment="1" applyFont="1">
      <alignment horizontal="center"/>
    </xf>
    <xf borderId="9" fillId="0" fontId="4" numFmtId="0" xfId="0" applyAlignment="1" applyBorder="1" applyFont="1">
      <alignment horizontal="center"/>
    </xf>
    <xf borderId="4" fillId="4" fontId="4" numFmtId="0" xfId="0" applyAlignment="1" applyBorder="1" applyFont="1">
      <alignment horizontal="center"/>
    </xf>
    <xf borderId="6" fillId="0" fontId="4" numFmtId="0" xfId="0" applyAlignment="1" applyBorder="1" applyFont="1">
      <alignment horizontal="center"/>
    </xf>
    <xf borderId="4" fillId="5" fontId="4" numFmtId="0" xfId="0" applyAlignment="1" applyBorder="1" applyFill="1" applyFont="1">
      <alignment horizontal="center"/>
    </xf>
    <xf borderId="10" fillId="5" fontId="4" numFmtId="0" xfId="0" applyAlignment="1" applyBorder="1" applyFont="1">
      <alignment horizontal="center"/>
    </xf>
    <xf borderId="9" fillId="0" fontId="4" numFmtId="0" xfId="0" applyBorder="1" applyFont="1"/>
    <xf borderId="8" fillId="0" fontId="4" numFmtId="0" xfId="0" applyBorder="1" applyFont="1"/>
    <xf borderId="4" fillId="2" fontId="4" numFmtId="0" xfId="0" applyAlignment="1" applyBorder="1" applyFont="1">
      <alignment horizontal="center"/>
    </xf>
    <xf borderId="4" fillId="6" fontId="4" numFmtId="0" xfId="0" applyAlignment="1" applyBorder="1" applyFill="1" applyFont="1">
      <alignment horizontal="center"/>
    </xf>
    <xf borderId="11" fillId="2" fontId="4" numFmtId="0" xfId="0" applyAlignment="1" applyBorder="1" applyFont="1">
      <alignment horizontal="center"/>
    </xf>
    <xf borderId="12" fillId="0" fontId="4" numFmtId="0" xfId="0" applyAlignment="1" applyBorder="1" applyFont="1">
      <alignment horizontal="left"/>
    </xf>
    <xf borderId="13" fillId="0" fontId="4" numFmtId="0" xfId="0" applyAlignment="1" applyBorder="1" applyFont="1">
      <alignment horizontal="center"/>
    </xf>
    <xf borderId="14" fillId="0" fontId="4" numFmtId="0" xfId="0" applyAlignment="1" applyBorder="1" applyFont="1">
      <alignment horizontal="center"/>
    </xf>
    <xf borderId="4" fillId="4" fontId="4" numFmtId="0" xfId="0" applyBorder="1" applyFont="1"/>
    <xf borderId="4" fillId="5"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Font="1"/>
    <xf borderId="0" fillId="0" fontId="2" numFmtId="0" xfId="0" applyAlignment="1" applyFont="1">
      <alignment horizontal="center"/>
    </xf>
    <xf borderId="5" fillId="0" fontId="4" numFmtId="0" xfId="0" applyAlignment="1" applyBorder="1" applyFont="1">
      <alignment horizontal="center"/>
    </xf>
    <xf borderId="4" fillId="7" fontId="4" numFmtId="0" xfId="0" applyAlignment="1" applyBorder="1" applyFill="1" applyFont="1">
      <alignment horizontal="right"/>
    </xf>
    <xf borderId="0" fillId="0" fontId="4" numFmtId="0" xfId="0" applyAlignment="1" applyFont="1">
      <alignment horizontal="right"/>
    </xf>
    <xf borderId="15" fillId="0" fontId="4" numFmtId="0" xfId="0" applyBorder="1" applyFont="1"/>
    <xf borderId="10" fillId="7" fontId="4" numFmtId="0" xfId="0" applyAlignment="1" applyBorder="1" applyFont="1">
      <alignment horizontal="right"/>
    </xf>
    <xf borderId="0" fillId="0" fontId="4" numFmtId="3" xfId="0" applyAlignment="1" applyFont="1" applyNumberFormat="1">
      <alignment horizontal="right"/>
    </xf>
    <xf borderId="16" fillId="8" fontId="4" numFmtId="0" xfId="0" applyAlignment="1" applyBorder="1" applyFill="1" applyFont="1">
      <alignment horizontal="center" shrinkToFit="0" vertical="center" wrapText="1"/>
    </xf>
    <xf borderId="4" fillId="8" fontId="4" numFmtId="0" xfId="0" applyBorder="1" applyFont="1"/>
    <xf borderId="0" fillId="0" fontId="4" numFmtId="0" xfId="0" applyAlignment="1" applyFont="1">
      <alignment shrinkToFit="0" vertical="center" wrapText="1"/>
    </xf>
    <xf borderId="17" fillId="0" fontId="3" numFmtId="0" xfId="0" applyBorder="1" applyFont="1"/>
    <xf borderId="0" fillId="0" fontId="4" numFmtId="0" xfId="0" applyAlignment="1" applyFont="1">
      <alignment vertical="center"/>
    </xf>
    <xf borderId="18" fillId="0" fontId="3" numFmtId="0" xfId="0" applyBorder="1" applyFont="1"/>
    <xf borderId="0" fillId="0" fontId="5" numFmtId="0" xfId="0" applyAlignment="1" applyFont="1">
      <alignment shrinkToFit="0" vertical="center" wrapText="1"/>
    </xf>
    <xf borderId="0" fillId="0" fontId="5" numFmtId="0" xfId="0" applyAlignment="1" applyFont="1">
      <alignment vertical="center"/>
    </xf>
    <xf borderId="19" fillId="0" fontId="2" numFmtId="0" xfId="0" applyAlignment="1" applyBorder="1" applyFont="1">
      <alignment horizontal="center"/>
    </xf>
    <xf borderId="19" fillId="0" fontId="3" numFmtId="0" xfId="0" applyBorder="1" applyFont="1"/>
    <xf borderId="20" fillId="0" fontId="4" numFmtId="0" xfId="0" applyAlignment="1" applyBorder="1" applyFont="1">
      <alignment horizontal="center"/>
    </xf>
    <xf borderId="21" fillId="0" fontId="3" numFmtId="0" xfId="0" applyBorder="1" applyFont="1"/>
    <xf borderId="22" fillId="9" fontId="4" numFmtId="0" xfId="0" applyAlignment="1" applyBorder="1" applyFill="1" applyFont="1">
      <alignment horizontal="center"/>
    </xf>
    <xf borderId="23" fillId="0" fontId="3" numFmtId="0" xfId="0" applyBorder="1" applyFont="1"/>
    <xf borderId="24" fillId="0" fontId="4" numFmtId="0" xfId="0" applyBorder="1" applyFont="1"/>
    <xf borderId="25" fillId="7" fontId="4" numFmtId="0" xfId="0" applyBorder="1" applyFont="1"/>
    <xf borderId="4" fillId="7" fontId="4" numFmtId="0" xfId="0" applyBorder="1" applyFont="1"/>
    <xf borderId="24" fillId="0" fontId="4" numFmtId="0" xfId="0" applyAlignment="1" applyBorder="1" applyFont="1">
      <alignment horizontal="center" shrinkToFit="0" wrapText="1"/>
    </xf>
    <xf borderId="26" fillId="0" fontId="3" numFmtId="0" xfId="0" applyBorder="1" applyFont="1"/>
    <xf borderId="27" fillId="0" fontId="3" numFmtId="0" xfId="0" applyBorder="1" applyFont="1"/>
    <xf borderId="28" fillId="0" fontId="3" numFmtId="0" xfId="0" applyBorder="1" applyFont="1"/>
    <xf borderId="26" fillId="0" fontId="4" numFmtId="0" xfId="0" applyBorder="1" applyFont="1"/>
    <xf borderId="20" fillId="0" fontId="4" numFmtId="0" xfId="0" applyBorder="1" applyFont="1"/>
    <xf borderId="29" fillId="0" fontId="4" numFmtId="0" xfId="0" applyBorder="1" applyFont="1"/>
    <xf borderId="25" fillId="10" fontId="4" numFmtId="0" xfId="0" applyBorder="1" applyFill="1" applyFont="1"/>
    <xf borderId="4" fillId="10" fontId="4" numFmtId="0" xfId="0" applyBorder="1" applyFont="1"/>
    <xf borderId="25" fillId="7" fontId="4" numFmtId="3" xfId="0" applyBorder="1" applyFont="1" applyNumberFormat="1"/>
    <xf borderId="4" fillId="7" fontId="4" numFmtId="3" xfId="0" applyBorder="1" applyFont="1" applyNumberFormat="1"/>
    <xf borderId="26" fillId="0" fontId="4" numFmtId="3" xfId="0" applyBorder="1" applyFont="1" applyNumberFormat="1"/>
    <xf borderId="0" fillId="0" fontId="4" numFmtId="3" xfId="0" applyFont="1" applyNumberFormat="1"/>
    <xf borderId="27" fillId="0" fontId="4" numFmtId="0" xfId="0" applyBorder="1" applyFont="1"/>
    <xf borderId="28" fillId="0" fontId="4" numFmtId="0" xfId="0" applyBorder="1" applyFont="1"/>
    <xf borderId="19" fillId="0" fontId="4" numFmtId="0" xfId="0" applyBorder="1" applyFont="1"/>
    <xf borderId="24" fillId="0" fontId="4" numFmtId="0" xfId="0" applyAlignment="1" applyBorder="1" applyFont="1">
      <alignment horizontal="center" shrinkToFit="0" vertical="center" wrapText="1"/>
    </xf>
    <xf borderId="24" fillId="0" fontId="3" numFmtId="0" xfId="0" applyBorder="1" applyFont="1"/>
    <xf borderId="21" fillId="0" fontId="4" numFmtId="0" xfId="0" applyBorder="1" applyFont="1"/>
    <xf borderId="26" fillId="0" fontId="6" numFmtId="0" xfId="0" applyBorder="1" applyFont="1"/>
    <xf borderId="0" fillId="0" fontId="6" numFmtId="0" xfId="0" applyFont="1"/>
    <xf borderId="0" fillId="0" fontId="4" numFmtId="0" xfId="0" applyAlignment="1" applyFont="1">
      <alignment horizontal="center" shrinkToFit="0" vertical="center" wrapText="1"/>
    </xf>
    <xf borderId="20" fillId="0" fontId="4" numFmtId="0" xfId="0" applyAlignment="1" applyBorder="1" applyFont="1">
      <alignment horizontal="center" shrinkToFit="0" vertical="center" wrapText="1"/>
    </xf>
    <xf borderId="29" fillId="0" fontId="3" numFmtId="0" xfId="0" applyBorder="1" applyFont="1"/>
    <xf borderId="0" fillId="0" fontId="4" numFmtId="14" xfId="0" applyFont="1" applyNumberFormat="1"/>
    <xf borderId="25" fillId="11" fontId="6" numFmtId="0" xfId="0" applyBorder="1" applyFill="1" applyFont="1"/>
    <xf borderId="25" fillId="7" fontId="6" numFmtId="0" xfId="0" applyBorder="1" applyFont="1"/>
    <xf borderId="0" fillId="0" fontId="4" numFmtId="0" xfId="0" applyAlignment="1" applyFont="1">
      <alignment horizontal="center" vertical="center"/>
    </xf>
    <xf borderId="30" fillId="12" fontId="2" numFmtId="0" xfId="0" applyBorder="1" applyFill="1" applyFont="1"/>
    <xf borderId="31" fillId="13" fontId="4" numFmtId="14" xfId="0" applyBorder="1" applyFill="1" applyFont="1" applyNumberFormat="1"/>
    <xf borderId="7" fillId="0" fontId="4" numFmtId="14" xfId="0" applyAlignment="1" applyBorder="1" applyFont="1" applyNumberFormat="1">
      <alignment horizontal="center"/>
    </xf>
    <xf borderId="0" fillId="0" fontId="4" numFmtId="2" xfId="0" applyFont="1" applyNumberFormat="1"/>
    <xf borderId="0" fillId="0" fontId="4" numFmtId="10" xfId="0" applyFont="1" applyNumberFormat="1"/>
    <xf borderId="8" fillId="0" fontId="4" numFmtId="0" xfId="0" applyAlignment="1" applyBorder="1" applyFont="1">
      <alignment horizontal="center"/>
    </xf>
    <xf borderId="4" fillId="14" fontId="4" numFmtId="14" xfId="0" applyBorder="1" applyFill="1" applyFont="1" applyNumberFormat="1"/>
    <xf borderId="9" fillId="0" fontId="4" numFmtId="14" xfId="0" applyAlignment="1" applyBorder="1" applyFont="1" applyNumberFormat="1">
      <alignment horizontal="center"/>
    </xf>
    <xf borderId="30" fillId="12" fontId="2" numFmtId="0" xfId="0" applyAlignment="1" applyBorder="1" applyFont="1">
      <alignment horizontal="center"/>
    </xf>
    <xf borderId="31" fillId="14" fontId="4" numFmtId="0" xfId="0" applyBorder="1" applyFont="1"/>
    <xf borderId="31" fillId="14" fontId="4" numFmtId="2" xfId="0" applyBorder="1" applyFont="1" applyNumberFormat="1"/>
    <xf borderId="31" fillId="13" fontId="4" numFmtId="0" xfId="0" applyBorder="1" applyFont="1"/>
    <xf borderId="32" fillId="13" fontId="4" numFmtId="0" xfId="0" applyBorder="1" applyFont="1"/>
    <xf borderId="8" fillId="0" fontId="3" numFmtId="0" xfId="0" applyBorder="1" applyFont="1"/>
    <xf borderId="4" fillId="15" fontId="4" numFmtId="14" xfId="0" applyBorder="1" applyFill="1" applyFont="1" applyNumberFormat="1"/>
    <xf borderId="0" fillId="0" fontId="4" numFmtId="2" xfId="0" applyAlignment="1" applyFont="1" applyNumberFormat="1">
      <alignment horizontal="center"/>
    </xf>
    <xf borderId="12" fillId="0" fontId="3" numFmtId="0" xfId="0" applyBorder="1" applyFont="1"/>
    <xf borderId="10" fillId="12" fontId="4" numFmtId="14" xfId="0" applyBorder="1" applyFont="1" applyNumberFormat="1"/>
    <xf borderId="14" fillId="0" fontId="4" numFmtId="14" xfId="0" applyAlignment="1" applyBorder="1" applyFont="1" applyNumberFormat="1">
      <alignment horizontal="center"/>
    </xf>
    <xf borderId="0" fillId="0" fontId="4" numFmtId="14" xfId="0" applyAlignment="1" applyFont="1" applyNumberFormat="1">
      <alignment horizontal="center"/>
    </xf>
    <xf borderId="9" fillId="0" fontId="4" numFmtId="0" xfId="0" applyAlignment="1" applyBorder="1" applyFont="1">
      <alignment horizontal="center" vertical="center"/>
    </xf>
    <xf borderId="30" fillId="12" fontId="2" numFmtId="0" xfId="0" applyAlignment="1" applyBorder="1" applyFont="1">
      <alignment horizontal="center" shrinkToFit="0" vertical="center" wrapText="1"/>
    </xf>
    <xf borderId="6" fillId="0" fontId="2" numFmtId="0" xfId="0" applyAlignment="1" applyBorder="1" applyFont="1">
      <alignment horizontal="center" shrinkToFit="0" wrapText="1"/>
    </xf>
    <xf borderId="6" fillId="0" fontId="2" numFmtId="14" xfId="0" applyAlignment="1" applyBorder="1" applyFont="1" applyNumberFormat="1">
      <alignment horizontal="center" shrinkToFit="0" wrapText="1"/>
    </xf>
    <xf borderId="7" fillId="0" fontId="2" numFmtId="14" xfId="0" applyAlignment="1" applyBorder="1" applyFont="1" applyNumberFormat="1">
      <alignment horizontal="center" shrinkToFit="0" wrapText="1"/>
    </xf>
    <xf borderId="8" fillId="0" fontId="4" numFmtId="0" xfId="0" applyAlignment="1" applyBorder="1" applyFont="1">
      <alignment horizontal="center" shrinkToFit="0" vertical="center" wrapText="1"/>
    </xf>
    <xf borderId="8" fillId="0" fontId="4" numFmtId="0" xfId="0" applyAlignment="1" applyBorder="1" applyFont="1">
      <alignment horizontal="center" vertical="center"/>
    </xf>
    <xf borderId="13" fillId="0" fontId="4" numFmtId="2" xfId="0" applyAlignment="1" applyBorder="1" applyFont="1" applyNumberFormat="1">
      <alignment horizontal="center"/>
    </xf>
    <xf borderId="14" fillId="0" fontId="4" numFmtId="0" xfId="0" applyAlignment="1" applyBorder="1" applyFont="1">
      <alignment horizontal="center" vertical="center"/>
    </xf>
    <xf borderId="4" fillId="15" fontId="4" numFmtId="0" xfId="0" applyAlignment="1" applyBorder="1" applyFont="1">
      <alignment horizontal="center"/>
    </xf>
    <xf borderId="4" fillId="15" fontId="4" numFmtId="2" xfId="0" applyAlignment="1" applyBorder="1" applyFont="1" applyNumberFormat="1">
      <alignment horizontal="center"/>
    </xf>
    <xf borderId="33" fillId="15" fontId="4" numFmtId="14" xfId="0" applyAlignment="1" applyBorder="1" applyFont="1" applyNumberFormat="1">
      <alignment horizontal="center"/>
    </xf>
    <xf borderId="0" fillId="0" fontId="4" numFmtId="15" xfId="0" applyFont="1" applyNumberFormat="1"/>
    <xf borderId="12" fillId="0" fontId="4" numFmtId="0" xfId="0" applyAlignment="1" applyBorder="1" applyFont="1">
      <alignment horizontal="center" vertical="center"/>
    </xf>
    <xf borderId="10" fillId="15" fontId="4" numFmtId="0" xfId="0" applyAlignment="1" applyBorder="1" applyFont="1">
      <alignment horizontal="center"/>
    </xf>
    <xf borderId="10" fillId="15" fontId="4" numFmtId="2" xfId="0" applyAlignment="1" applyBorder="1" applyFont="1" applyNumberFormat="1">
      <alignment horizontal="center"/>
    </xf>
    <xf borderId="34" fillId="15" fontId="4" numFmtId="14" xfId="0" applyAlignment="1" applyBorder="1" applyFont="1" applyNumberFormat="1">
      <alignment horizontal="center"/>
    </xf>
    <xf borderId="30" fillId="12" fontId="4" numFmtId="0" xfId="0" applyAlignment="1" applyBorder="1" applyFont="1">
      <alignment horizontal="center" vertical="center"/>
    </xf>
    <xf borderId="7" fillId="0" fontId="4" numFmtId="0" xfId="0" applyAlignment="1" applyBorder="1" applyFont="1">
      <alignment horizontal="center"/>
    </xf>
    <xf borderId="4" fillId="12" fontId="2" numFmtId="0" xfId="0" applyAlignment="1" applyBorder="1" applyFont="1">
      <alignment horizontal="center" vertical="center"/>
    </xf>
    <xf borderId="4" fillId="14" fontId="2" numFmtId="0" xfId="0" applyAlignment="1" applyBorder="1" applyFont="1">
      <alignment horizontal="center" vertical="center"/>
    </xf>
    <xf borderId="4" fillId="14" fontId="4" numFmtId="0" xfId="0" applyAlignment="1" applyBorder="1" applyFont="1">
      <alignment horizontal="center" vertical="center"/>
    </xf>
    <xf borderId="4" fillId="14" fontId="4" numFmtId="14" xfId="0" applyAlignment="1" applyBorder="1" applyFont="1" applyNumberFormat="1">
      <alignment horizontal="center" vertical="center"/>
    </xf>
    <xf borderId="4" fillId="13" fontId="4" numFmtId="0" xfId="0" applyAlignment="1" applyBorder="1" applyFont="1">
      <alignment horizontal="center" vertical="center"/>
    </xf>
    <xf borderId="4" fillId="13" fontId="4" numFmtId="2" xfId="0" applyAlignment="1" applyBorder="1" applyFont="1" applyNumberFormat="1">
      <alignment horizontal="center" vertical="center"/>
    </xf>
    <xf borderId="4" fillId="13" fontId="4" numFmtId="10" xfId="0" applyAlignment="1" applyBorder="1" applyFont="1" applyNumberFormat="1">
      <alignment horizontal="center" vertical="center"/>
    </xf>
    <xf borderId="0" fillId="0" fontId="2" numFmtId="0" xfId="0" applyAlignment="1" applyFont="1">
      <alignment horizontal="center" vertical="center"/>
    </xf>
    <xf borderId="0" fillId="0" fontId="2" numFmtId="14" xfId="0" applyAlignment="1" applyFont="1" applyNumberFormat="1">
      <alignment horizontal="center" vertical="center"/>
    </xf>
    <xf borderId="0" fillId="0" fontId="2" numFmtId="2" xfId="0" applyAlignment="1" applyFont="1" applyNumberFormat="1">
      <alignment horizontal="center" vertical="center"/>
    </xf>
    <xf borderId="0" fillId="0" fontId="2" numFmtId="10" xfId="0" applyAlignment="1" applyFont="1" applyNumberFormat="1">
      <alignment horizontal="center" vertical="center"/>
    </xf>
    <xf borderId="0" fillId="0" fontId="4" numFmtId="14" xfId="0" applyAlignment="1" applyFont="1" applyNumberFormat="1">
      <alignment horizontal="center" vertical="center"/>
    </xf>
    <xf borderId="0" fillId="0" fontId="4" numFmtId="2" xfId="0" applyAlignment="1" applyFont="1" applyNumberFormat="1">
      <alignment horizontal="center" vertical="center"/>
    </xf>
    <xf borderId="0" fillId="0" fontId="4" numFmtId="10" xfId="0" applyAlignment="1" applyFont="1" applyNumberFormat="1">
      <alignment horizontal="center" vertical="center"/>
    </xf>
    <xf borderId="4" fillId="16" fontId="4" numFmtId="9" xfId="0" applyAlignment="1" applyBorder="1" applyFill="1" applyFont="1" applyNumberFormat="1">
      <alignment horizontal="center" vertical="center"/>
    </xf>
    <xf borderId="0" fillId="0" fontId="4" numFmtId="1" xfId="0" applyAlignment="1" applyFont="1" applyNumberFormat="1">
      <alignment horizontal="center" vertical="center"/>
    </xf>
    <xf borderId="0" fillId="0" fontId="4" numFmtId="9" xfId="0" applyAlignment="1" applyFont="1" applyNumberFormat="1">
      <alignment horizontal="center" vertical="center"/>
    </xf>
    <xf borderId="4" fillId="17" fontId="7" numFmtId="0" xfId="0" applyBorder="1" applyFill="1" applyFont="1"/>
    <xf borderId="4" fillId="17" fontId="7" numFmtId="0" xfId="0" applyAlignment="1" applyBorder="1" applyFont="1">
      <alignment horizontal="center"/>
    </xf>
    <xf borderId="4" fillId="17" fontId="7" numFmtId="0" xfId="0" applyAlignment="1" applyBorder="1" applyFont="1">
      <alignment horizontal="center" vertical="center"/>
    </xf>
    <xf borderId="4" fillId="17" fontId="7" numFmtId="14" xfId="0" applyAlignment="1" applyBorder="1" applyFont="1" applyNumberFormat="1">
      <alignment horizontal="center" vertical="center"/>
    </xf>
    <xf borderId="4" fillId="17" fontId="7" numFmtId="1" xfId="0" applyAlignment="1" applyBorder="1" applyFont="1" applyNumberFormat="1">
      <alignment horizontal="center" vertical="center"/>
    </xf>
    <xf borderId="0" fillId="0" fontId="4" numFmtId="9" xfId="0" applyFont="1" applyNumberFormat="1"/>
    <xf borderId="4" fillId="7" fontId="4" numFmtId="14" xfId="0" applyAlignment="1" applyBorder="1" applyFont="1" applyNumberFormat="1">
      <alignment horizontal="center" vertical="center"/>
    </xf>
    <xf borderId="1" fillId="2" fontId="4" numFmtId="0" xfId="0" applyAlignment="1" applyBorder="1" applyFont="1">
      <alignment horizontal="center"/>
    </xf>
    <xf borderId="0" fillId="0" fontId="4" numFmtId="0" xfId="0" applyAlignment="1" applyFont="1">
      <alignment horizontal="left"/>
    </xf>
    <xf borderId="24" fillId="0" fontId="4" numFmtId="0" xfId="0" applyAlignment="1" applyBorder="1" applyFont="1">
      <alignment horizontal="left"/>
    </xf>
    <xf borderId="35" fillId="2" fontId="4"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Nuke Power vs Time</c:v>
          </c:tx>
          <c:spPr>
            <a:ln>
              <a:noFill/>
            </a:ln>
          </c:spPr>
          <c:marker>
            <c:symbol val="circle"/>
            <c:size val="7"/>
            <c:spPr>
              <a:solidFill>
                <a:schemeClr val="accent1"/>
              </a:solidFill>
              <a:ln cmpd="sng">
                <a:solidFill>
                  <a:schemeClr val="accent1"/>
                </a:solidFill>
              </a:ln>
            </c:spPr>
          </c:marker>
          <c:xVal>
            <c:numRef>
              <c:f>'Power Graphs'!$B$2:$B$275</c:f>
            </c:numRef>
          </c:xVal>
          <c:yVal>
            <c:numRef>
              <c:f>'Power Graphs'!$F$2:$F$275</c:f>
              <c:numCache/>
            </c:numRef>
          </c:yVal>
        </c:ser>
        <c:dLbls>
          <c:showLegendKey val="0"/>
          <c:showVal val="0"/>
          <c:showCatName val="0"/>
          <c:showSerName val="0"/>
          <c:showPercent val="0"/>
          <c:showBubbleSize val="0"/>
        </c:dLbls>
        <c:axId val="1555307681"/>
        <c:axId val="90168207"/>
      </c:scatterChart>
      <c:valAx>
        <c:axId val="1555307681"/>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0168207"/>
      </c:valAx>
      <c:valAx>
        <c:axId val="90168207"/>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5530768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RTG1 Power vs Time</c:v>
          </c:tx>
          <c:spPr>
            <a:ln>
              <a:noFill/>
            </a:ln>
          </c:spPr>
          <c:marker>
            <c:symbol val="circle"/>
            <c:size val="7"/>
            <c:spPr>
              <a:solidFill>
                <a:schemeClr val="accent1"/>
              </a:solidFill>
              <a:ln cmpd="sng">
                <a:solidFill>
                  <a:schemeClr val="accent1"/>
                </a:solidFill>
              </a:ln>
            </c:spPr>
          </c:marker>
          <c:xVal>
            <c:numRef>
              <c:f>'Power Graphs'!$C$2:$C$275</c:f>
            </c:numRef>
          </c:xVal>
          <c:yVal>
            <c:numRef>
              <c:f>'Power Graphs'!$G$2:$G$275</c:f>
              <c:numCache/>
            </c:numRef>
          </c:yVal>
        </c:ser>
        <c:dLbls>
          <c:showLegendKey val="0"/>
          <c:showVal val="0"/>
          <c:showCatName val="0"/>
          <c:showSerName val="0"/>
          <c:showPercent val="0"/>
          <c:showBubbleSize val="0"/>
        </c:dLbls>
        <c:axId val="1040252168"/>
        <c:axId val="1735860531"/>
      </c:scatterChart>
      <c:valAx>
        <c:axId val="1040252168"/>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35860531"/>
      </c:valAx>
      <c:valAx>
        <c:axId val="173586053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40252168"/>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RTG2 Power vs Time</c:v>
          </c:tx>
          <c:spPr>
            <a:ln>
              <a:noFill/>
            </a:ln>
          </c:spPr>
          <c:marker>
            <c:symbol val="circle"/>
            <c:size val="7"/>
            <c:spPr>
              <a:solidFill>
                <a:schemeClr val="accent1"/>
              </a:solidFill>
              <a:ln cmpd="sng">
                <a:solidFill>
                  <a:schemeClr val="accent1"/>
                </a:solidFill>
              </a:ln>
            </c:spPr>
          </c:marker>
          <c:xVal>
            <c:numRef>
              <c:f>'Power Graphs'!$D$2:$D$275</c:f>
            </c:numRef>
          </c:xVal>
          <c:yVal>
            <c:numRef>
              <c:f>'Power Graphs'!$H$2:$H$275</c:f>
              <c:numCache/>
            </c:numRef>
          </c:yVal>
        </c:ser>
        <c:dLbls>
          <c:showLegendKey val="0"/>
          <c:showVal val="0"/>
          <c:showCatName val="0"/>
          <c:showSerName val="0"/>
          <c:showPercent val="0"/>
          <c:showBubbleSize val="0"/>
        </c:dLbls>
        <c:axId val="1946488497"/>
        <c:axId val="1441310672"/>
      </c:scatterChart>
      <c:valAx>
        <c:axId val="1946488497"/>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41310672"/>
      </c:valAx>
      <c:valAx>
        <c:axId val="1441310672"/>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46488497"/>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Battery 1 Percent Battery Charge vs Time</c:v>
          </c:tx>
          <c:spPr>
            <a:ln>
              <a:noFill/>
            </a:ln>
          </c:spPr>
          <c:marker>
            <c:symbol val="circle"/>
            <c:size val="7"/>
            <c:spPr>
              <a:solidFill>
                <a:schemeClr val="accent1"/>
              </a:solidFill>
              <a:ln cmpd="sng">
                <a:solidFill>
                  <a:schemeClr val="accent1"/>
                </a:solidFill>
              </a:ln>
            </c:spPr>
          </c:marker>
          <c:xVal>
            <c:numRef>
              <c:f>'Power Timeline (arch 1) (Beta A'!$H$23:$H$104</c:f>
            </c:numRef>
          </c:xVal>
          <c:yVal>
            <c:numRef>
              <c:f>'Power Timeline (arch 1) (Beta A'!$U$22:$U$104</c:f>
              <c:numCache/>
            </c:numRef>
          </c:yVal>
        </c:ser>
        <c:dLbls>
          <c:showLegendKey val="0"/>
          <c:showVal val="0"/>
          <c:showCatName val="0"/>
          <c:showSerName val="0"/>
          <c:showPercent val="0"/>
          <c:showBubbleSize val="0"/>
        </c:dLbls>
        <c:axId val="801930438"/>
        <c:axId val="1151799058"/>
      </c:scatterChart>
      <c:valAx>
        <c:axId val="801930438"/>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51799058"/>
      </c:valAx>
      <c:valAx>
        <c:axId val="115179905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0.0%" sourceLinked="0"/>
        <c:majorTickMark val="none"/>
        <c:minorTickMark val="none"/>
        <c:tickLblPos val="nextTo"/>
        <c:spPr>
          <a:ln/>
        </c:spPr>
        <c:txPr>
          <a:bodyPr/>
          <a:lstStyle/>
          <a:p>
            <a:pPr lvl="0">
              <a:defRPr b="0" i="0" sz="900">
                <a:solidFill>
                  <a:srgbClr val="000000"/>
                </a:solidFill>
                <a:latin typeface="+mn-lt"/>
              </a:defRPr>
            </a:pPr>
          </a:p>
        </c:txPr>
        <c:crossAx val="801930438"/>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Battery 2 Percent Battery Charge vs Time</c:v>
          </c:tx>
          <c:spPr>
            <a:ln>
              <a:noFill/>
            </a:ln>
          </c:spPr>
          <c:marker>
            <c:symbol val="circle"/>
            <c:size val="7"/>
            <c:spPr>
              <a:solidFill>
                <a:schemeClr val="accent1"/>
              </a:solidFill>
              <a:ln cmpd="sng">
                <a:solidFill>
                  <a:schemeClr val="accent1"/>
                </a:solidFill>
              </a:ln>
            </c:spPr>
          </c:marker>
          <c:xVal>
            <c:numRef>
              <c:f>'Power Timeline (arch 1) (Beta A'!$H$23:$H$104</c:f>
            </c:numRef>
          </c:xVal>
          <c:yVal>
            <c:numRef>
              <c:f>'Power Timeline (arch 1) (Beta A'!$V$22:$V$104</c:f>
              <c:numCache/>
            </c:numRef>
          </c:yVal>
        </c:ser>
        <c:dLbls>
          <c:showLegendKey val="0"/>
          <c:showVal val="0"/>
          <c:showCatName val="0"/>
          <c:showSerName val="0"/>
          <c:showPercent val="0"/>
          <c:showBubbleSize val="0"/>
        </c:dLbls>
        <c:axId val="1900033082"/>
        <c:axId val="1013227018"/>
      </c:scatterChart>
      <c:valAx>
        <c:axId val="1900033082"/>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3227018"/>
      </c:valAx>
      <c:valAx>
        <c:axId val="101322701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0.0%" sourceLinked="0"/>
        <c:majorTickMark val="none"/>
        <c:minorTickMark val="none"/>
        <c:tickLblPos val="nextTo"/>
        <c:spPr>
          <a:ln/>
        </c:spPr>
        <c:txPr>
          <a:bodyPr/>
          <a:lstStyle/>
          <a:p>
            <a:pPr lvl="0">
              <a:defRPr b="0" i="0" sz="900">
                <a:solidFill>
                  <a:srgbClr val="000000"/>
                </a:solidFill>
                <a:latin typeface="+mn-lt"/>
              </a:defRPr>
            </a:pPr>
          </a:p>
        </c:txPr>
        <c:crossAx val="1900033082"/>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Battery 3 Percent Battery Charge vs Time</c:v>
          </c:tx>
          <c:spPr>
            <a:ln>
              <a:noFill/>
            </a:ln>
          </c:spPr>
          <c:marker>
            <c:symbol val="circle"/>
            <c:size val="7"/>
            <c:spPr>
              <a:solidFill>
                <a:schemeClr val="accent1"/>
              </a:solidFill>
              <a:ln cmpd="sng">
                <a:solidFill>
                  <a:schemeClr val="accent1"/>
                </a:solidFill>
              </a:ln>
            </c:spPr>
          </c:marker>
          <c:xVal>
            <c:numRef>
              <c:f>'Power Timeline (arch 1) (Beta A'!$H$23:$H$104</c:f>
            </c:numRef>
          </c:xVal>
          <c:yVal>
            <c:numRef>
              <c:f>'Power Timeline (arch 1) (Beta A'!$W$22:$W$91</c:f>
              <c:numCache/>
            </c:numRef>
          </c:yVal>
        </c:ser>
        <c:dLbls>
          <c:showLegendKey val="0"/>
          <c:showVal val="0"/>
          <c:showCatName val="0"/>
          <c:showSerName val="0"/>
          <c:showPercent val="0"/>
          <c:showBubbleSize val="0"/>
        </c:dLbls>
        <c:axId val="681339751"/>
        <c:axId val="463235901"/>
      </c:scatterChart>
      <c:valAx>
        <c:axId val="681339751"/>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63235901"/>
      </c:valAx>
      <c:valAx>
        <c:axId val="463235901"/>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0.0%" sourceLinked="0"/>
        <c:majorTickMark val="none"/>
        <c:minorTickMark val="none"/>
        <c:tickLblPos val="nextTo"/>
        <c:spPr>
          <a:ln/>
        </c:spPr>
        <c:txPr>
          <a:bodyPr/>
          <a:lstStyle/>
          <a:p>
            <a:pPr lvl="0">
              <a:defRPr b="0" i="0" sz="900">
                <a:solidFill>
                  <a:srgbClr val="000000"/>
                </a:solidFill>
                <a:latin typeface="+mn-lt"/>
              </a:defRPr>
            </a:pPr>
          </a:p>
        </c:txPr>
        <c:crossAx val="681339751"/>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Battery 4 Percent Battery Charge vs Time</c:v>
          </c:tx>
          <c:spPr>
            <a:ln>
              <a:noFill/>
            </a:ln>
          </c:spPr>
          <c:marker>
            <c:symbol val="circle"/>
            <c:size val="7"/>
            <c:spPr>
              <a:solidFill>
                <a:schemeClr val="accent1"/>
              </a:solidFill>
              <a:ln cmpd="sng">
                <a:solidFill>
                  <a:schemeClr val="accent1"/>
                </a:solidFill>
              </a:ln>
            </c:spPr>
          </c:marker>
          <c:xVal>
            <c:numRef>
              <c:f>'Power Timeline (arch 1) (Beta A'!$H$23:$H$104</c:f>
            </c:numRef>
          </c:xVal>
          <c:yVal>
            <c:numRef>
              <c:f>'Power Timeline (arch 1) (Beta A'!$X$22:$X$91</c:f>
              <c:numCache/>
            </c:numRef>
          </c:yVal>
        </c:ser>
        <c:dLbls>
          <c:showLegendKey val="0"/>
          <c:showVal val="0"/>
          <c:showCatName val="0"/>
          <c:showSerName val="0"/>
          <c:showPercent val="0"/>
          <c:showBubbleSize val="0"/>
        </c:dLbls>
        <c:axId val="754273075"/>
        <c:axId val="2038132377"/>
      </c:scatterChart>
      <c:valAx>
        <c:axId val="754273075"/>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Date</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38132377"/>
      </c:valAx>
      <c:valAx>
        <c:axId val="2038132377"/>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Power (W)</a:t>
                </a:r>
              </a:p>
            </c:rich>
          </c:tx>
          <c:overlay val="0"/>
        </c:title>
        <c:numFmt formatCode="0.0%" sourceLinked="0"/>
        <c:majorTickMark val="none"/>
        <c:minorTickMark val="none"/>
        <c:tickLblPos val="nextTo"/>
        <c:spPr>
          <a:ln/>
        </c:spPr>
        <c:txPr>
          <a:bodyPr/>
          <a:lstStyle/>
          <a:p>
            <a:pPr lvl="0">
              <a:defRPr b="0" i="0" sz="900">
                <a:solidFill>
                  <a:srgbClr val="000000"/>
                </a:solidFill>
                <a:latin typeface="+mn-lt"/>
              </a:defRPr>
            </a:pPr>
          </a:p>
        </c:txPr>
        <c:crossAx val="754273075"/>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7.png"/><Relationship Id="rId3"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38100</xdr:rowOff>
    </xdr:from>
    <xdr:ext cx="3076575"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285750</xdr:colOff>
      <xdr:row>1</xdr:row>
      <xdr:rowOff>76200</xdr:rowOff>
    </xdr:from>
    <xdr:ext cx="1885950" cy="8953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57150</xdr:colOff>
      <xdr:row>0</xdr:row>
      <xdr:rowOff>38100</xdr:rowOff>
    </xdr:from>
    <xdr:ext cx="3076575"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285750</xdr:colOff>
      <xdr:row>1</xdr:row>
      <xdr:rowOff>76200</xdr:rowOff>
    </xdr:from>
    <xdr:ext cx="2743200" cy="12954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1466850</xdr:colOff>
      <xdr:row>0</xdr:row>
      <xdr:rowOff>114300</xdr:rowOff>
    </xdr:from>
    <xdr:ext cx="4000500" cy="4286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57150</xdr:colOff>
      <xdr:row>0</xdr:row>
      <xdr:rowOff>38100</xdr:rowOff>
    </xdr:from>
    <xdr:ext cx="3076575" cy="628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285750</xdr:colOff>
      <xdr:row>1</xdr:row>
      <xdr:rowOff>76200</xdr:rowOff>
    </xdr:from>
    <xdr:ext cx="1885950" cy="8572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2</xdr:row>
      <xdr:rowOff>0</xdr:rowOff>
    </xdr:from>
    <xdr:ext cx="4000500" cy="4191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57150</xdr:colOff>
      <xdr:row>0</xdr:row>
      <xdr:rowOff>38100</xdr:rowOff>
    </xdr:from>
    <xdr:ext cx="3076575" cy="628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285750</xdr:colOff>
      <xdr:row>1</xdr:row>
      <xdr:rowOff>76200</xdr:rowOff>
    </xdr:from>
    <xdr:ext cx="1885950" cy="8572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2</xdr:row>
      <xdr:rowOff>0</xdr:rowOff>
    </xdr:from>
    <xdr:ext cx="4000500" cy="4191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xdr:colOff>
      <xdr:row>0</xdr:row>
      <xdr:rowOff>28575</xdr:rowOff>
    </xdr:from>
    <xdr:ext cx="6238875" cy="4838700"/>
    <xdr:graphicFrame>
      <xdr:nvGraphicFramePr>
        <xdr:cNvPr id="131533544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47625</xdr:colOff>
      <xdr:row>24</xdr:row>
      <xdr:rowOff>47625</xdr:rowOff>
    </xdr:from>
    <xdr:ext cx="6238875" cy="4838700"/>
    <xdr:graphicFrame>
      <xdr:nvGraphicFramePr>
        <xdr:cNvPr id="1641472867"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47625</xdr:colOff>
      <xdr:row>48</xdr:row>
      <xdr:rowOff>66675</xdr:rowOff>
    </xdr:from>
    <xdr:ext cx="6238875" cy="4838700"/>
    <xdr:graphicFrame>
      <xdr:nvGraphicFramePr>
        <xdr:cNvPr id="121271196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19</xdr:col>
      <xdr:colOff>523875</xdr:colOff>
      <xdr:row>0</xdr:row>
      <xdr:rowOff>9525</xdr:rowOff>
    </xdr:from>
    <xdr:ext cx="6210300" cy="4838700"/>
    <xdr:graphicFrame>
      <xdr:nvGraphicFramePr>
        <xdr:cNvPr id="1275687983"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19</xdr:col>
      <xdr:colOff>523875</xdr:colOff>
      <xdr:row>24</xdr:row>
      <xdr:rowOff>66675</xdr:rowOff>
    </xdr:from>
    <xdr:ext cx="6210300" cy="4838700"/>
    <xdr:graphicFrame>
      <xdr:nvGraphicFramePr>
        <xdr:cNvPr id="1935413309"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19</xdr:col>
      <xdr:colOff>523875</xdr:colOff>
      <xdr:row>48</xdr:row>
      <xdr:rowOff>123825</xdr:rowOff>
    </xdr:from>
    <xdr:ext cx="6210300" cy="4838700"/>
    <xdr:graphicFrame>
      <xdr:nvGraphicFramePr>
        <xdr:cNvPr id="1407350143"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19</xdr:col>
      <xdr:colOff>523875</xdr:colOff>
      <xdr:row>72</xdr:row>
      <xdr:rowOff>161925</xdr:rowOff>
    </xdr:from>
    <xdr:ext cx="6210300" cy="4857750"/>
    <xdr:graphicFrame>
      <xdr:nvGraphicFramePr>
        <xdr:cNvPr id="1533840471" name="Chart 7"/>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8</xdr:row>
      <xdr:rowOff>28575</xdr:rowOff>
    </xdr:from>
    <xdr:ext cx="9001125" cy="24669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5</xdr:row>
      <xdr:rowOff>0</xdr:rowOff>
    </xdr:from>
    <xdr:ext cx="6067425" cy="435292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27</xdr:row>
      <xdr:rowOff>0</xdr:rowOff>
    </xdr:from>
    <xdr:ext cx="5953125" cy="48768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52</xdr:row>
      <xdr:rowOff>0</xdr:rowOff>
    </xdr:from>
    <xdr:ext cx="5943600" cy="42862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row>
    <row r="2">
      <c r="A2" s="1" t="s">
        <v>1</v>
      </c>
    </row>
    <row r="3">
      <c r="A3" s="1" t="s">
        <v>2</v>
      </c>
    </row>
    <row r="4">
      <c r="A4" s="1" t="s">
        <v>3</v>
      </c>
    </row>
    <row r="5">
      <c r="A5" s="1" t="s">
        <v>4</v>
      </c>
    </row>
    <row r="6">
      <c r="A6" s="1" t="s">
        <v>5</v>
      </c>
    </row>
    <row r="7">
      <c r="A7" s="1" t="s">
        <v>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11.0"/>
    <col customWidth="1" min="3" max="3" width="35.0"/>
    <col customWidth="1" min="4" max="4" width="12.0"/>
    <col customWidth="1" min="5" max="5" width="37.14"/>
    <col customWidth="1" min="6" max="6" width="12.0"/>
    <col customWidth="1" min="7" max="7" width="26.57"/>
    <col customWidth="1" min="8" max="8" width="19.71"/>
    <col customWidth="1" min="9" max="9" width="26.57"/>
    <col customWidth="1" min="10" max="10" width="12.0"/>
    <col customWidth="1" min="11" max="11" width="26.57"/>
    <col customWidth="1" min="12" max="12" width="12.86"/>
    <col customWidth="1" min="13" max="15" width="8.71"/>
    <col customWidth="1" min="16" max="16" width="35.0"/>
    <col customWidth="1" min="17" max="17" width="12.71"/>
    <col customWidth="1" min="18" max="18" width="35.0"/>
    <col customWidth="1" min="19" max="19" width="12.71"/>
    <col customWidth="1" min="20" max="20" width="35.0"/>
    <col customWidth="1" min="21" max="21" width="12.0"/>
    <col customWidth="1" min="22" max="22" width="26.57"/>
    <col customWidth="1" min="23" max="23" width="21.29"/>
    <col customWidth="1" min="24" max="24" width="35.0"/>
    <col customWidth="1" min="25" max="25" width="12.71"/>
    <col customWidth="1" min="26" max="26" width="26.57"/>
    <col customWidth="1" min="27" max="27" width="15.43"/>
  </cols>
  <sheetData>
    <row r="1">
      <c r="A1" s="1" t="s">
        <v>314</v>
      </c>
      <c r="N1" s="5"/>
    </row>
    <row r="2">
      <c r="N2" s="5"/>
    </row>
    <row r="3">
      <c r="A3" s="11" t="s">
        <v>315</v>
      </c>
      <c r="N3" s="5"/>
      <c r="P3" s="11" t="s">
        <v>316</v>
      </c>
    </row>
    <row r="4">
      <c r="A4" s="146" t="s">
        <v>317</v>
      </c>
      <c r="B4" s="3"/>
      <c r="C4" s="3"/>
      <c r="D4" s="3"/>
      <c r="E4" s="3"/>
      <c r="F4" s="3"/>
      <c r="G4" s="3"/>
      <c r="H4" s="3"/>
      <c r="I4" s="3"/>
      <c r="J4" s="3"/>
      <c r="K4" s="3"/>
      <c r="L4" s="4"/>
      <c r="N4" s="5"/>
      <c r="P4" s="146" t="s">
        <v>317</v>
      </c>
      <c r="Q4" s="3"/>
      <c r="R4" s="3"/>
      <c r="S4" s="3"/>
      <c r="T4" s="3"/>
      <c r="U4" s="3"/>
      <c r="V4" s="3"/>
      <c r="W4" s="3"/>
      <c r="X4" s="3"/>
      <c r="Y4" s="3"/>
      <c r="Z4" s="3"/>
      <c r="AA4" s="4"/>
    </row>
    <row r="5">
      <c r="A5" s="48" t="s">
        <v>30</v>
      </c>
      <c r="B5" s="78"/>
      <c r="C5" s="48" t="s">
        <v>32</v>
      </c>
      <c r="D5" s="49"/>
      <c r="E5" s="48" t="s">
        <v>31</v>
      </c>
      <c r="F5" s="49"/>
      <c r="G5" s="48" t="s">
        <v>11</v>
      </c>
      <c r="H5" s="49"/>
      <c r="N5" s="5"/>
      <c r="P5" s="48" t="s">
        <v>30</v>
      </c>
      <c r="Q5" s="78"/>
      <c r="R5" s="48" t="s">
        <v>32</v>
      </c>
      <c r="S5" s="49"/>
      <c r="T5" s="48" t="s">
        <v>29</v>
      </c>
      <c r="U5" s="49"/>
      <c r="V5" s="48" t="s">
        <v>11</v>
      </c>
      <c r="W5" s="49"/>
    </row>
    <row r="6">
      <c r="A6" s="147" t="s">
        <v>15</v>
      </c>
      <c r="B6" s="59">
        <f>2*5</f>
        <v>10</v>
      </c>
      <c r="C6" s="1" t="s">
        <v>318</v>
      </c>
      <c r="D6" s="59">
        <f>2*2.15</f>
        <v>4.3</v>
      </c>
      <c r="E6" s="1" t="s">
        <v>12</v>
      </c>
      <c r="F6" s="1">
        <v>26.37</v>
      </c>
      <c r="G6" s="52" t="s">
        <v>319</v>
      </c>
      <c r="H6" s="59">
        <v>0.0</v>
      </c>
      <c r="N6" s="5"/>
      <c r="P6" s="148" t="s">
        <v>15</v>
      </c>
      <c r="Q6" s="59">
        <f>2*5</f>
        <v>10</v>
      </c>
      <c r="R6" s="1" t="s">
        <v>318</v>
      </c>
      <c r="S6" s="59">
        <f>2*2.15</f>
        <v>4.3</v>
      </c>
      <c r="T6" s="52" t="s">
        <v>319</v>
      </c>
      <c r="U6" s="59">
        <v>0.0</v>
      </c>
      <c r="V6" s="52" t="s">
        <v>319</v>
      </c>
      <c r="W6" s="59">
        <v>0.0</v>
      </c>
    </row>
    <row r="7">
      <c r="A7" s="147" t="s">
        <v>17</v>
      </c>
      <c r="B7" s="59">
        <f>2*17.4</f>
        <v>34.8</v>
      </c>
      <c r="C7" s="1" t="s">
        <v>26</v>
      </c>
      <c r="D7" s="59">
        <v>17.4</v>
      </c>
      <c r="E7" s="1" t="s">
        <v>53</v>
      </c>
      <c r="F7" s="1">
        <v>12.0</v>
      </c>
      <c r="G7" s="68" t="s">
        <v>320</v>
      </c>
      <c r="H7" s="69">
        <f>H6+F9+D12+B12</f>
        <v>217.028</v>
      </c>
      <c r="N7" s="5"/>
      <c r="P7" s="148" t="s">
        <v>17</v>
      </c>
      <c r="Q7" s="59">
        <f>2*17.4</f>
        <v>34.8</v>
      </c>
      <c r="R7" s="1" t="s">
        <v>26</v>
      </c>
      <c r="S7" s="59">
        <v>17.4</v>
      </c>
      <c r="T7" s="68" t="s">
        <v>320</v>
      </c>
      <c r="U7" s="69">
        <f>U6</f>
        <v>0</v>
      </c>
      <c r="V7" s="68" t="s">
        <v>320</v>
      </c>
      <c r="W7" s="69">
        <f>W6+U6+S12+Q12</f>
        <v>153.658</v>
      </c>
    </row>
    <row r="8">
      <c r="A8" s="147" t="s">
        <v>19</v>
      </c>
      <c r="B8" s="59">
        <f>2*0.029</f>
        <v>0.058</v>
      </c>
      <c r="C8" s="1" t="s">
        <v>321</v>
      </c>
      <c r="D8" s="59">
        <f>2*2.15</f>
        <v>4.3</v>
      </c>
      <c r="N8" s="5"/>
      <c r="P8" s="148" t="s">
        <v>19</v>
      </c>
      <c r="Q8" s="59">
        <f>2*0.029</f>
        <v>0.058</v>
      </c>
      <c r="R8" s="1" t="s">
        <v>321</v>
      </c>
      <c r="S8" s="59">
        <f>2*2.15</f>
        <v>4.3</v>
      </c>
    </row>
    <row r="9">
      <c r="A9" s="147" t="s">
        <v>23</v>
      </c>
      <c r="B9" s="53">
        <f>'Component Breakdown'!B16</f>
        <v>25</v>
      </c>
      <c r="C9" s="1" t="s">
        <v>28</v>
      </c>
      <c r="D9" s="59">
        <v>48.8</v>
      </c>
      <c r="E9" s="52" t="s">
        <v>319</v>
      </c>
      <c r="F9" s="59">
        <f>SUM(F6:F7)</f>
        <v>38.37</v>
      </c>
      <c r="N9" s="5"/>
      <c r="P9" s="148" t="s">
        <v>23</v>
      </c>
      <c r="Q9" s="53" t="str">
        <f>'Component Breakdown'!Q16</f>
        <v/>
      </c>
      <c r="R9" s="1" t="s">
        <v>28</v>
      </c>
      <c r="S9" s="59">
        <v>48.8</v>
      </c>
    </row>
    <row r="10">
      <c r="A10" s="147" t="s">
        <v>24</v>
      </c>
      <c r="B10" s="59">
        <f>17</f>
        <v>17</v>
      </c>
      <c r="C10" s="1" t="s">
        <v>24</v>
      </c>
      <c r="D10" s="59">
        <v>17.0</v>
      </c>
      <c r="E10" s="68" t="s">
        <v>320</v>
      </c>
      <c r="F10" s="69">
        <f>F9</f>
        <v>38.37</v>
      </c>
      <c r="N10" s="5"/>
      <c r="P10" s="148" t="s">
        <v>24</v>
      </c>
      <c r="Q10" s="59">
        <f>17</f>
        <v>17</v>
      </c>
      <c r="R10" s="1" t="s">
        <v>24</v>
      </c>
      <c r="S10" s="59">
        <v>17.0</v>
      </c>
    </row>
    <row r="11">
      <c r="A11" s="147"/>
      <c r="N11" s="5"/>
      <c r="P11" s="148"/>
    </row>
    <row r="12">
      <c r="A12" s="68" t="s">
        <v>319</v>
      </c>
      <c r="B12" s="69">
        <f>SUM(B6:B10)</f>
        <v>86.858</v>
      </c>
      <c r="C12" s="70" t="s">
        <v>319</v>
      </c>
      <c r="D12" s="69">
        <f>SUM(D6:D10)</f>
        <v>91.8</v>
      </c>
      <c r="N12" s="5"/>
      <c r="P12" s="68" t="s">
        <v>319</v>
      </c>
      <c r="Q12" s="69">
        <f>SUM(Q6:Q10)</f>
        <v>61.858</v>
      </c>
      <c r="R12" s="70" t="s">
        <v>319</v>
      </c>
      <c r="S12" s="69">
        <f>SUM(S6:S10)</f>
        <v>91.8</v>
      </c>
    </row>
    <row r="13">
      <c r="N13" s="5"/>
    </row>
    <row r="14">
      <c r="B14" s="61"/>
      <c r="N14" s="5"/>
    </row>
    <row r="15">
      <c r="A15" s="5"/>
      <c r="B15" s="5"/>
      <c r="C15" s="5"/>
      <c r="D15" s="5"/>
      <c r="E15" s="5"/>
      <c r="F15" s="5"/>
      <c r="G15" s="5"/>
      <c r="H15" s="5"/>
      <c r="I15" s="5"/>
      <c r="J15" s="5"/>
      <c r="K15" s="5"/>
      <c r="L15" s="5"/>
      <c r="N15" s="5"/>
      <c r="P15" s="5"/>
      <c r="Q15" s="5"/>
      <c r="R15" s="5"/>
      <c r="S15" s="5"/>
      <c r="T15" s="5"/>
      <c r="U15" s="5"/>
      <c r="V15" s="5"/>
      <c r="W15" s="5"/>
      <c r="X15" s="5"/>
      <c r="Y15" s="5"/>
      <c r="Z15" s="5"/>
      <c r="AA15" s="5"/>
    </row>
    <row r="16">
      <c r="A16" s="146" t="s">
        <v>322</v>
      </c>
      <c r="B16" s="3"/>
      <c r="C16" s="3"/>
      <c r="D16" s="3"/>
      <c r="E16" s="3"/>
      <c r="F16" s="3"/>
      <c r="G16" s="3"/>
      <c r="H16" s="3"/>
      <c r="I16" s="3"/>
      <c r="J16" s="3"/>
      <c r="K16" s="3"/>
      <c r="L16" s="4"/>
      <c r="N16" s="5"/>
      <c r="P16" s="146" t="s">
        <v>322</v>
      </c>
      <c r="Q16" s="3"/>
      <c r="R16" s="3"/>
      <c r="S16" s="3"/>
      <c r="T16" s="3"/>
      <c r="U16" s="3"/>
      <c r="V16" s="3"/>
      <c r="W16" s="3"/>
      <c r="X16" s="3"/>
      <c r="Y16" s="3"/>
      <c r="Z16" s="3"/>
      <c r="AA16" s="4"/>
    </row>
    <row r="17">
      <c r="A17" s="1" t="s">
        <v>323</v>
      </c>
      <c r="B17" s="1">
        <v>0.9</v>
      </c>
      <c r="N17" s="5"/>
      <c r="P17" s="1" t="s">
        <v>323</v>
      </c>
      <c r="Q17" s="1">
        <v>0.9</v>
      </c>
    </row>
    <row r="18">
      <c r="A18" s="1" t="s">
        <v>324</v>
      </c>
      <c r="B18" s="1">
        <v>0.8</v>
      </c>
      <c r="N18" s="5"/>
      <c r="P18" s="1" t="s">
        <v>324</v>
      </c>
      <c r="Q18" s="1">
        <v>0.8</v>
      </c>
    </row>
    <row r="19">
      <c r="A19" s="1" t="s">
        <v>325</v>
      </c>
      <c r="B19" s="1">
        <v>0.7</v>
      </c>
      <c r="N19" s="5"/>
      <c r="P19" s="1" t="s">
        <v>325</v>
      </c>
      <c r="Q19" s="1">
        <v>0.7</v>
      </c>
    </row>
    <row r="20">
      <c r="A20" s="1" t="s">
        <v>326</v>
      </c>
      <c r="B20" s="1">
        <v>0.4</v>
      </c>
      <c r="N20" s="5"/>
      <c r="P20" s="1" t="s">
        <v>326</v>
      </c>
      <c r="Q20" s="1">
        <v>0.4</v>
      </c>
    </row>
    <row r="21" ht="15.75" customHeight="1">
      <c r="A21" s="48" t="s">
        <v>30</v>
      </c>
      <c r="B21" s="49"/>
      <c r="C21" s="48" t="s">
        <v>32</v>
      </c>
      <c r="D21" s="49"/>
      <c r="E21" s="48" t="s">
        <v>31</v>
      </c>
      <c r="F21" s="49"/>
      <c r="G21" s="50" t="s">
        <v>11</v>
      </c>
      <c r="H21" s="51"/>
      <c r="I21" s="11"/>
      <c r="J21" s="11"/>
      <c r="K21" s="11"/>
      <c r="L21" s="11"/>
      <c r="N21" s="5"/>
      <c r="P21" s="48" t="s">
        <v>30</v>
      </c>
      <c r="Q21" s="49"/>
      <c r="R21" s="48" t="s">
        <v>32</v>
      </c>
      <c r="S21" s="49"/>
      <c r="T21" s="50" t="s">
        <v>29</v>
      </c>
      <c r="U21" s="51"/>
      <c r="V21" s="50" t="s">
        <v>11</v>
      </c>
      <c r="W21" s="51"/>
      <c r="X21" s="11"/>
      <c r="Y21" s="11"/>
      <c r="Z21" s="11"/>
      <c r="AA21" s="11"/>
    </row>
    <row r="22" ht="15.75" customHeight="1">
      <c r="A22" s="52" t="s">
        <v>327</v>
      </c>
      <c r="B22" s="59">
        <f>B12</f>
        <v>86.858</v>
      </c>
      <c r="C22" s="52" t="s">
        <v>327</v>
      </c>
      <c r="D22" s="59">
        <f>D12</f>
        <v>91.8</v>
      </c>
      <c r="E22" s="52" t="s">
        <v>327</v>
      </c>
      <c r="F22" s="59">
        <f>F9</f>
        <v>38.37</v>
      </c>
      <c r="G22" s="52" t="s">
        <v>327</v>
      </c>
      <c r="H22" s="59">
        <f>H6</f>
        <v>0</v>
      </c>
      <c r="N22" s="5"/>
      <c r="P22" s="52" t="s">
        <v>327</v>
      </c>
      <c r="Q22" s="59">
        <f>Q12</f>
        <v>61.858</v>
      </c>
      <c r="R22" s="52" t="s">
        <v>327</v>
      </c>
      <c r="S22" s="59">
        <f>S12</f>
        <v>91.8</v>
      </c>
      <c r="T22" s="52" t="s">
        <v>327</v>
      </c>
      <c r="U22" s="59">
        <f>U6</f>
        <v>0</v>
      </c>
      <c r="V22" s="52" t="s">
        <v>327</v>
      </c>
      <c r="W22" s="59">
        <f>W6</f>
        <v>0</v>
      </c>
    </row>
    <row r="23" ht="15.75" customHeight="1">
      <c r="A23" s="52" t="s">
        <v>328</v>
      </c>
      <c r="B23" s="59">
        <f>332.93*LOG(B22,EXP(1))-1046.6</f>
        <v>439.690943</v>
      </c>
      <c r="C23" s="52" t="s">
        <v>329</v>
      </c>
      <c r="D23" s="59">
        <f>IF(D22&lt;501,$B$17,IF(D22&lt;1501,$B$18,IF(D22&lt;5001,$B$19,$B$20)))</f>
        <v>0.9</v>
      </c>
      <c r="E23" s="52" t="s">
        <v>328</v>
      </c>
      <c r="F23" s="59">
        <f>332.93*LOG(F22,EXP(1))-1046.6</f>
        <v>167.6875668</v>
      </c>
      <c r="G23" s="52" t="s">
        <v>328</v>
      </c>
      <c r="H23" s="59" t="str">
        <f>332.93*LOG(H22,EXP(1))-1046.6</f>
        <v>#NUM!</v>
      </c>
      <c r="N23" s="5"/>
      <c r="P23" s="52" t="s">
        <v>328</v>
      </c>
      <c r="Q23" s="59">
        <f>332.93*LOG(Q22,EXP(1))-1046.6</f>
        <v>326.6834592</v>
      </c>
      <c r="R23" s="52" t="s">
        <v>329</v>
      </c>
      <c r="S23" s="59">
        <f>IF(S22&lt;501,$B$17,IF(S22&lt;1501,$B$18,IF(S22&lt;5001,$B$19,$B$20)))</f>
        <v>0.9</v>
      </c>
      <c r="T23" s="52" t="s">
        <v>328</v>
      </c>
      <c r="U23" s="59" t="str">
        <f>332.93*LOG(U22,EXP(1))-1046.6</f>
        <v>#NUM!</v>
      </c>
      <c r="V23" s="52" t="s">
        <v>328</v>
      </c>
      <c r="W23" s="59" t="str">
        <f>332.93*LOG(W22,EXP(1))-1046.6</f>
        <v>#NUM!</v>
      </c>
    </row>
    <row r="24" ht="15.75" customHeight="1">
      <c r="A24" s="52" t="s">
        <v>330</v>
      </c>
      <c r="B24" s="59">
        <f>B23-B22</f>
        <v>352.832943</v>
      </c>
      <c r="C24" s="52" t="s">
        <v>331</v>
      </c>
      <c r="D24" s="59">
        <f>D22*D23</f>
        <v>82.62</v>
      </c>
      <c r="E24" s="52" t="s">
        <v>330</v>
      </c>
      <c r="F24" s="59">
        <f>F23-F22</f>
        <v>129.3175668</v>
      </c>
      <c r="G24" s="52" t="s">
        <v>330</v>
      </c>
      <c r="H24" s="59" t="str">
        <f>H23-H22</f>
        <v>#NUM!</v>
      </c>
      <c r="N24" s="5"/>
      <c r="P24" s="52" t="s">
        <v>330</v>
      </c>
      <c r="Q24" s="59">
        <f>Q23-Q22</f>
        <v>264.8254592</v>
      </c>
      <c r="R24" s="52" t="s">
        <v>331</v>
      </c>
      <c r="S24" s="59">
        <f>S22*S23</f>
        <v>82.62</v>
      </c>
      <c r="T24" s="52" t="s">
        <v>330</v>
      </c>
      <c r="U24" s="59" t="str">
        <f>U23-U22</f>
        <v>#NUM!</v>
      </c>
      <c r="V24" s="52" t="s">
        <v>330</v>
      </c>
      <c r="W24" s="59" t="str">
        <f>W23-W22</f>
        <v>#NUM!</v>
      </c>
    </row>
    <row r="25" ht="15.75" customHeight="1">
      <c r="A25" s="52" t="s">
        <v>329</v>
      </c>
      <c r="B25" s="59">
        <f>IF(B22&lt;501,$B$17,IF(B22&lt;1501,$B$18,IF(B22&lt;5001,$B$19,$B$20)))</f>
        <v>0.9</v>
      </c>
      <c r="C25" s="52"/>
      <c r="D25" s="59"/>
      <c r="E25" s="52" t="s">
        <v>329</v>
      </c>
      <c r="F25" s="59">
        <f>IF(F22&lt;501,$B$17,IF(F22&lt;1501,$B$18,IF(F22&lt;5001,$B$19,$B$20)))</f>
        <v>0.9</v>
      </c>
      <c r="G25" s="52" t="s">
        <v>329</v>
      </c>
      <c r="H25" s="59">
        <f>IF(H22&lt;501,$B$17,IF(H22&lt;1501,$B$18,IF(H22&lt;5001,$B$19,$B$20)))</f>
        <v>0.9</v>
      </c>
      <c r="N25" s="5"/>
      <c r="P25" s="52" t="s">
        <v>329</v>
      </c>
      <c r="Q25" s="59">
        <f>IF(Q22&lt;501,$B$17,IF(Q22&lt;1501,$B$18,IF(Q22&lt;5001,$B$19,$B$20)))</f>
        <v>0.9</v>
      </c>
      <c r="R25" s="52"/>
      <c r="S25" s="59"/>
      <c r="T25" s="52" t="s">
        <v>329</v>
      </c>
      <c r="U25" s="59">
        <f>IF(U22&lt;501,$B$17,IF(U22&lt;1501,$B$18,IF(U22&lt;5001,$B$19,$B$20)))</f>
        <v>0.9</v>
      </c>
      <c r="V25" s="52" t="s">
        <v>329</v>
      </c>
      <c r="W25" s="59">
        <f>IF(W22&lt;501,$B$17,IF(W22&lt;1501,$B$18,IF(W22&lt;5001,$B$19,$B$20)))</f>
        <v>0.9</v>
      </c>
    </row>
    <row r="26" ht="15.75" customHeight="1">
      <c r="A26" s="52" t="s">
        <v>331</v>
      </c>
      <c r="B26" s="59">
        <f>B24*B25</f>
        <v>317.5496487</v>
      </c>
      <c r="C26" s="68" t="s">
        <v>332</v>
      </c>
      <c r="D26" s="69">
        <f>D22+D24</f>
        <v>174.42</v>
      </c>
      <c r="E26" s="52" t="s">
        <v>331</v>
      </c>
      <c r="F26" s="59">
        <f>F24*F25</f>
        <v>116.3858101</v>
      </c>
      <c r="G26" s="52" t="s">
        <v>331</v>
      </c>
      <c r="H26" s="59" t="str">
        <f>H24*H25</f>
        <v>#NUM!</v>
      </c>
      <c r="N26" s="5"/>
      <c r="P26" s="52" t="s">
        <v>331</v>
      </c>
      <c r="Q26" s="59">
        <f>Q24*Q25</f>
        <v>238.3429133</v>
      </c>
      <c r="R26" s="68" t="s">
        <v>332</v>
      </c>
      <c r="S26" s="69">
        <f>S22+S24</f>
        <v>174.42</v>
      </c>
      <c r="T26" s="52" t="s">
        <v>331</v>
      </c>
      <c r="U26" s="59" t="str">
        <f>U24*U25</f>
        <v>#NUM!</v>
      </c>
      <c r="V26" s="52" t="s">
        <v>331</v>
      </c>
      <c r="W26" s="59" t="str">
        <f>W24*W25</f>
        <v>#NUM!</v>
      </c>
    </row>
    <row r="27" ht="15.75" customHeight="1">
      <c r="A27" s="52"/>
      <c r="B27" s="59"/>
      <c r="E27" s="52"/>
      <c r="F27" s="59"/>
      <c r="G27" s="52"/>
      <c r="H27" s="59"/>
      <c r="N27" s="5"/>
      <c r="P27" s="52"/>
      <c r="Q27" s="59"/>
      <c r="T27" s="52"/>
      <c r="U27" s="59"/>
      <c r="V27" s="52"/>
      <c r="W27" s="59"/>
    </row>
    <row r="28" ht="15.75" customHeight="1">
      <c r="A28" s="68" t="s">
        <v>332</v>
      </c>
      <c r="B28" s="69">
        <f>B23+B26</f>
        <v>757.2405917</v>
      </c>
      <c r="E28" s="68" t="s">
        <v>332</v>
      </c>
      <c r="F28" s="69">
        <f>F23+F26</f>
        <v>284.0733769</v>
      </c>
      <c r="G28" s="68" t="s">
        <v>332</v>
      </c>
      <c r="H28" s="69" t="str">
        <f>H23+H26</f>
        <v>#NUM!</v>
      </c>
      <c r="N28" s="5"/>
      <c r="P28" s="68" t="s">
        <v>332</v>
      </c>
      <c r="Q28" s="69">
        <f>Q23+Q26</f>
        <v>565.0263724</v>
      </c>
      <c r="T28" s="68" t="s">
        <v>332</v>
      </c>
      <c r="U28" s="69" t="str">
        <f>U23+U26</f>
        <v>#NUM!</v>
      </c>
      <c r="V28" s="68" t="s">
        <v>332</v>
      </c>
      <c r="W28" s="69" t="str">
        <f>W23+W26</f>
        <v>#NUM!</v>
      </c>
    </row>
    <row r="29" ht="15.75" customHeight="1">
      <c r="N29" s="5"/>
    </row>
    <row r="30" ht="15.75" customHeight="1">
      <c r="A30" s="146" t="s">
        <v>333</v>
      </c>
      <c r="B30" s="3"/>
      <c r="C30" s="3"/>
      <c r="D30" s="3"/>
      <c r="E30" s="3"/>
      <c r="F30" s="3"/>
      <c r="G30" s="3"/>
      <c r="H30" s="3"/>
      <c r="I30" s="3"/>
      <c r="J30" s="3"/>
      <c r="K30" s="3"/>
      <c r="L30" s="4"/>
      <c r="N30" s="5"/>
      <c r="P30" s="146" t="s">
        <v>333</v>
      </c>
      <c r="Q30" s="3"/>
      <c r="R30" s="3"/>
      <c r="S30" s="3"/>
      <c r="T30" s="3"/>
      <c r="U30" s="3"/>
      <c r="V30" s="3"/>
      <c r="W30" s="3"/>
      <c r="X30" s="3"/>
      <c r="Y30" s="3"/>
      <c r="Z30" s="3"/>
      <c r="AA30" s="4"/>
    </row>
    <row r="31" ht="15.75" customHeight="1">
      <c r="A31" s="48" t="s">
        <v>30</v>
      </c>
      <c r="B31" s="49"/>
      <c r="C31" s="48" t="s">
        <v>32</v>
      </c>
      <c r="D31" s="49"/>
      <c r="E31" s="48" t="s">
        <v>31</v>
      </c>
      <c r="F31" s="49"/>
      <c r="G31" s="50" t="s">
        <v>11</v>
      </c>
      <c r="H31" s="51"/>
      <c r="I31" s="11"/>
      <c r="J31" s="11"/>
      <c r="K31" s="11"/>
      <c r="L31" s="11"/>
      <c r="N31" s="5"/>
      <c r="P31" s="48" t="s">
        <v>30</v>
      </c>
      <c r="Q31" s="49"/>
      <c r="R31" s="48" t="s">
        <v>32</v>
      </c>
      <c r="S31" s="49"/>
      <c r="T31" s="50" t="s">
        <v>29</v>
      </c>
      <c r="U31" s="51"/>
      <c r="V31" s="50" t="s">
        <v>11</v>
      </c>
      <c r="W31" s="51"/>
      <c r="X31" s="11"/>
      <c r="Y31" s="11"/>
      <c r="Z31" s="11"/>
      <c r="AA31" s="11"/>
    </row>
    <row r="32" ht="15.75" customHeight="1">
      <c r="A32" s="52" t="s">
        <v>334</v>
      </c>
      <c r="B32" s="59">
        <f>0.2*B28</f>
        <v>151.4481183</v>
      </c>
      <c r="C32" s="52" t="s">
        <v>334</v>
      </c>
      <c r="D32" s="59">
        <f>0.2*D26</f>
        <v>34.884</v>
      </c>
      <c r="E32" s="52" t="s">
        <v>334</v>
      </c>
      <c r="F32" s="59">
        <f>0.2*F28</f>
        <v>56.81467539</v>
      </c>
      <c r="G32" s="52" t="s">
        <v>334</v>
      </c>
      <c r="H32" s="59" t="str">
        <f>0.2*H28</f>
        <v>#NUM!</v>
      </c>
      <c r="N32" s="5"/>
      <c r="P32" s="52" t="s">
        <v>334</v>
      </c>
      <c r="Q32" s="59">
        <f>0.2*Q28</f>
        <v>113.0052745</v>
      </c>
      <c r="R32" s="52" t="s">
        <v>334</v>
      </c>
      <c r="S32" s="59">
        <f>0.2*S26</f>
        <v>34.884</v>
      </c>
      <c r="T32" s="52" t="s">
        <v>334</v>
      </c>
      <c r="U32" s="59" t="str">
        <f>0.2*U28</f>
        <v>#NUM!</v>
      </c>
      <c r="V32" s="52" t="s">
        <v>334</v>
      </c>
      <c r="W32" s="59" t="str">
        <f>0.2*W28</f>
        <v>#NUM!</v>
      </c>
    </row>
    <row r="33" ht="15.75" customHeight="1">
      <c r="A33" s="52" t="s">
        <v>335</v>
      </c>
      <c r="B33" s="59">
        <f>0.17*B28</f>
        <v>128.7309006</v>
      </c>
      <c r="C33" s="52" t="s">
        <v>335</v>
      </c>
      <c r="D33" s="59">
        <f>0.17*D26</f>
        <v>29.6514</v>
      </c>
      <c r="E33" s="52" t="s">
        <v>335</v>
      </c>
      <c r="F33" s="59">
        <f>0.17*F28</f>
        <v>48.29247408</v>
      </c>
      <c r="G33" s="52" t="s">
        <v>335</v>
      </c>
      <c r="H33" s="59" t="str">
        <f>0.17*H28</f>
        <v>#NUM!</v>
      </c>
      <c r="N33" s="5"/>
      <c r="P33" s="52" t="s">
        <v>335</v>
      </c>
      <c r="Q33" s="59">
        <f>0.17*Q28</f>
        <v>96.05448331</v>
      </c>
      <c r="R33" s="52" t="s">
        <v>335</v>
      </c>
      <c r="S33" s="59">
        <f>0.17*S26</f>
        <v>29.6514</v>
      </c>
      <c r="T33" s="52" t="s">
        <v>335</v>
      </c>
      <c r="U33" s="59" t="str">
        <f>0.17*U28</f>
        <v>#NUM!</v>
      </c>
      <c r="V33" s="52" t="s">
        <v>335</v>
      </c>
      <c r="W33" s="59" t="str">
        <f>0.17*W28</f>
        <v>#NUM!</v>
      </c>
    </row>
    <row r="34" ht="15.75" customHeight="1">
      <c r="A34" s="52" t="s">
        <v>336</v>
      </c>
      <c r="B34" s="59">
        <f>0.23*B28</f>
        <v>174.1653361</v>
      </c>
      <c r="C34" s="52" t="s">
        <v>336</v>
      </c>
      <c r="D34" s="59">
        <f>0.23*D26</f>
        <v>40.1166</v>
      </c>
      <c r="E34" s="52" t="s">
        <v>336</v>
      </c>
      <c r="F34" s="59">
        <f>0.23*F28</f>
        <v>65.33687669</v>
      </c>
      <c r="G34" s="52" t="s">
        <v>336</v>
      </c>
      <c r="H34" s="59" t="str">
        <f>0.23*H28</f>
        <v>#NUM!</v>
      </c>
      <c r="N34" s="5"/>
      <c r="P34" s="52" t="s">
        <v>336</v>
      </c>
      <c r="Q34" s="59">
        <f>0.23*Q28</f>
        <v>129.9560657</v>
      </c>
      <c r="R34" s="52" t="s">
        <v>336</v>
      </c>
      <c r="S34" s="59">
        <f>0.23*S26</f>
        <v>40.1166</v>
      </c>
      <c r="T34" s="52" t="s">
        <v>336</v>
      </c>
      <c r="U34" s="59" t="str">
        <f>0.23*U28</f>
        <v>#NUM!</v>
      </c>
      <c r="V34" s="52" t="s">
        <v>336</v>
      </c>
      <c r="W34" s="59" t="str">
        <f>0.23*W28</f>
        <v>#NUM!</v>
      </c>
    </row>
    <row r="35" ht="15.75" customHeight="1">
      <c r="A35" s="52" t="s">
        <v>337</v>
      </c>
      <c r="B35" s="59">
        <f>0.01*B28</f>
        <v>7.572405917</v>
      </c>
      <c r="C35" s="52" t="s">
        <v>337</v>
      </c>
      <c r="D35" s="59">
        <f>0.01*D26</f>
        <v>1.7442</v>
      </c>
      <c r="E35" s="52" t="s">
        <v>337</v>
      </c>
      <c r="F35" s="59">
        <f>0.01*F28</f>
        <v>2.840733769</v>
      </c>
      <c r="G35" s="52" t="s">
        <v>337</v>
      </c>
      <c r="H35" s="59" t="str">
        <f>0.01*H28</f>
        <v>#NUM!</v>
      </c>
      <c r="N35" s="5"/>
      <c r="P35" s="52" t="s">
        <v>337</v>
      </c>
      <c r="Q35" s="59">
        <f>0.01*Q28</f>
        <v>5.650263724</v>
      </c>
      <c r="R35" s="52" t="s">
        <v>337</v>
      </c>
      <c r="S35" s="59">
        <f>0.01*S26</f>
        <v>1.7442</v>
      </c>
      <c r="T35" s="52" t="s">
        <v>337</v>
      </c>
      <c r="U35" s="59" t="str">
        <f>0.01*U28</f>
        <v>#NUM!</v>
      </c>
      <c r="V35" s="52" t="s">
        <v>337</v>
      </c>
      <c r="W35" s="59" t="str">
        <f>0.01*W28</f>
        <v>#NUM!</v>
      </c>
    </row>
    <row r="36" ht="15.75" customHeight="1">
      <c r="A36" s="52" t="s">
        <v>338</v>
      </c>
      <c r="B36" s="59">
        <f>0.1*B28</f>
        <v>75.72405917</v>
      </c>
      <c r="C36" s="52" t="s">
        <v>338</v>
      </c>
      <c r="D36" s="59">
        <f>0.1*D26</f>
        <v>17.442</v>
      </c>
      <c r="E36" s="52" t="s">
        <v>338</v>
      </c>
      <c r="F36" s="59">
        <f>0.1*F28</f>
        <v>28.40733769</v>
      </c>
      <c r="G36" s="52" t="s">
        <v>338</v>
      </c>
      <c r="H36" s="59" t="str">
        <f>0.1*H28</f>
        <v>#NUM!</v>
      </c>
      <c r="N36" s="5"/>
      <c r="P36" s="52" t="s">
        <v>338</v>
      </c>
      <c r="Q36" s="59">
        <f>0.1*Q28</f>
        <v>56.50263724</v>
      </c>
      <c r="R36" s="52" t="s">
        <v>338</v>
      </c>
      <c r="S36" s="59">
        <f>0.1*S26</f>
        <v>17.442</v>
      </c>
      <c r="T36" s="52" t="s">
        <v>338</v>
      </c>
      <c r="U36" s="59" t="str">
        <f>0.1*U28</f>
        <v>#NUM!</v>
      </c>
      <c r="V36" s="52" t="s">
        <v>338</v>
      </c>
      <c r="W36" s="59" t="str">
        <f>0.1*W28</f>
        <v>#NUM!</v>
      </c>
    </row>
    <row r="37" ht="15.75" customHeight="1">
      <c r="A37" s="52" t="s">
        <v>339</v>
      </c>
      <c r="B37" s="59">
        <f>0.01*B28</f>
        <v>7.572405917</v>
      </c>
      <c r="C37" s="52" t="s">
        <v>339</v>
      </c>
      <c r="D37" s="59">
        <f>0.01*D26</f>
        <v>1.7442</v>
      </c>
      <c r="E37" s="52" t="s">
        <v>339</v>
      </c>
      <c r="F37" s="59">
        <f>0.01*F28</f>
        <v>2.840733769</v>
      </c>
      <c r="G37" s="52" t="s">
        <v>339</v>
      </c>
      <c r="H37" s="59" t="str">
        <f>0.01*H28</f>
        <v>#NUM!</v>
      </c>
      <c r="N37" s="5"/>
      <c r="P37" s="52" t="s">
        <v>339</v>
      </c>
      <c r="Q37" s="59">
        <f>0.01*Q28</f>
        <v>5.650263724</v>
      </c>
      <c r="R37" s="52" t="s">
        <v>339</v>
      </c>
      <c r="S37" s="59">
        <f>0.01*S26</f>
        <v>1.7442</v>
      </c>
      <c r="T37" s="52" t="s">
        <v>339</v>
      </c>
      <c r="U37" s="59" t="str">
        <f>0.01*U28</f>
        <v>#NUM!</v>
      </c>
      <c r="V37" s="52" t="s">
        <v>339</v>
      </c>
      <c r="W37" s="59" t="str">
        <f>0.01*W28</f>
        <v>#NUM!</v>
      </c>
    </row>
    <row r="38" ht="15.75" customHeight="1">
      <c r="A38" s="68" t="s">
        <v>340</v>
      </c>
      <c r="B38" s="69">
        <f>0.28*B28</f>
        <v>212.0273657</v>
      </c>
      <c r="C38" s="68" t="s">
        <v>340</v>
      </c>
      <c r="D38" s="69">
        <f>0.28*D26</f>
        <v>48.8376</v>
      </c>
      <c r="E38" s="68" t="s">
        <v>340</v>
      </c>
      <c r="F38" s="69">
        <f>0.28*F28</f>
        <v>79.54054554</v>
      </c>
      <c r="G38" s="68" t="s">
        <v>340</v>
      </c>
      <c r="H38" s="69" t="str">
        <f>0.28*H28</f>
        <v>#NUM!</v>
      </c>
      <c r="N38" s="5"/>
      <c r="P38" s="68" t="s">
        <v>340</v>
      </c>
      <c r="Q38" s="69">
        <f>0.28*Q28</f>
        <v>158.2073843</v>
      </c>
      <c r="R38" s="68" t="s">
        <v>340</v>
      </c>
      <c r="S38" s="69">
        <f>0.28*S26</f>
        <v>48.8376</v>
      </c>
      <c r="T38" s="68" t="s">
        <v>340</v>
      </c>
      <c r="U38" s="69" t="str">
        <f>0.28*U28</f>
        <v>#NUM!</v>
      </c>
      <c r="V38" s="68" t="s">
        <v>340</v>
      </c>
      <c r="W38" s="69" t="str">
        <f>0.28*W28</f>
        <v>#NUM!</v>
      </c>
    </row>
    <row r="39" ht="15.75" customHeight="1">
      <c r="H39" s="61"/>
      <c r="N39" s="5"/>
      <c r="W39" s="61"/>
    </row>
    <row r="40" ht="15.75" customHeight="1">
      <c r="A40" s="5"/>
      <c r="B40" s="5"/>
      <c r="C40" s="5"/>
      <c r="D40" s="5"/>
      <c r="E40" s="5"/>
      <c r="F40" s="5"/>
      <c r="G40" s="5"/>
      <c r="H40" s="5"/>
      <c r="I40" s="5"/>
      <c r="J40" s="5"/>
      <c r="K40" s="5"/>
      <c r="L40" s="5"/>
      <c r="N40" s="5"/>
      <c r="P40" s="5"/>
      <c r="Q40" s="5"/>
      <c r="R40" s="5"/>
      <c r="S40" s="5"/>
      <c r="T40" s="5"/>
      <c r="U40" s="5"/>
      <c r="V40" s="5"/>
      <c r="W40" s="5"/>
      <c r="X40" s="5"/>
      <c r="Y40" s="5"/>
      <c r="Z40" s="5"/>
      <c r="AA40" s="5"/>
    </row>
    <row r="41" ht="15.75" customHeight="1">
      <c r="A41" s="146" t="s">
        <v>341</v>
      </c>
      <c r="B41" s="3"/>
      <c r="C41" s="3"/>
      <c r="D41" s="3"/>
      <c r="E41" s="3"/>
      <c r="F41" s="3"/>
      <c r="G41" s="3"/>
      <c r="H41" s="3"/>
      <c r="I41" s="3"/>
      <c r="J41" s="3"/>
      <c r="K41" s="3"/>
      <c r="L41" s="4"/>
      <c r="N41" s="5"/>
      <c r="P41" s="146" t="s">
        <v>341</v>
      </c>
      <c r="Q41" s="3"/>
      <c r="R41" s="3"/>
      <c r="S41" s="3"/>
      <c r="T41" s="3"/>
      <c r="U41" s="3"/>
      <c r="V41" s="3"/>
      <c r="W41" s="3"/>
      <c r="X41" s="3"/>
      <c r="Y41" s="3"/>
      <c r="Z41" s="3"/>
      <c r="AA41" s="4"/>
    </row>
    <row r="42" ht="15.75" customHeight="1">
      <c r="A42" s="48" t="s">
        <v>30</v>
      </c>
      <c r="B42" s="49"/>
      <c r="C42" s="48" t="s">
        <v>32</v>
      </c>
      <c r="D42" s="49"/>
      <c r="E42" s="48" t="s">
        <v>31</v>
      </c>
      <c r="F42" s="49"/>
      <c r="G42" s="50" t="s">
        <v>11</v>
      </c>
      <c r="H42" s="51"/>
      <c r="I42" s="11"/>
      <c r="J42" s="11"/>
      <c r="K42" s="11"/>
      <c r="L42" s="11"/>
      <c r="N42" s="5"/>
      <c r="P42" s="48" t="s">
        <v>30</v>
      </c>
      <c r="Q42" s="49"/>
      <c r="R42" s="48" t="s">
        <v>32</v>
      </c>
      <c r="S42" s="49"/>
      <c r="T42" s="48" t="s">
        <v>29</v>
      </c>
      <c r="U42" s="49"/>
      <c r="V42" s="50" t="s">
        <v>11</v>
      </c>
      <c r="W42" s="51"/>
      <c r="X42" s="11"/>
      <c r="Y42" s="11"/>
      <c r="Z42" s="11"/>
      <c r="AA42" s="11"/>
    </row>
    <row r="43" ht="15.75" customHeight="1">
      <c r="A43" s="52" t="s">
        <v>14</v>
      </c>
      <c r="B43" s="59">
        <f>2*0.25</f>
        <v>0.5</v>
      </c>
      <c r="C43" s="68" t="s">
        <v>342</v>
      </c>
      <c r="D43" s="69">
        <f>0</f>
        <v>0</v>
      </c>
      <c r="E43" s="1" t="s">
        <v>14</v>
      </c>
      <c r="F43" s="59">
        <f>2*0.25</f>
        <v>0.5</v>
      </c>
      <c r="G43" s="68" t="s">
        <v>342</v>
      </c>
      <c r="H43" s="69">
        <v>0.0</v>
      </c>
      <c r="N43" s="5"/>
      <c r="P43" s="52" t="s">
        <v>14</v>
      </c>
      <c r="Q43" s="59">
        <f>2*0.25</f>
        <v>0.5</v>
      </c>
      <c r="R43" s="68" t="s">
        <v>342</v>
      </c>
      <c r="S43" s="69">
        <f>0</f>
        <v>0</v>
      </c>
      <c r="T43" s="68" t="s">
        <v>342</v>
      </c>
      <c r="U43" s="69">
        <v>0.0</v>
      </c>
      <c r="V43" s="68" t="s">
        <v>342</v>
      </c>
      <c r="W43" s="69">
        <v>0.0</v>
      </c>
    </row>
    <row r="44" ht="15.75" customHeight="1">
      <c r="A44" s="52" t="s">
        <v>343</v>
      </c>
      <c r="B44" s="59">
        <f>16*7.1*0.1</f>
        <v>11.36</v>
      </c>
      <c r="C44" s="52"/>
      <c r="E44" s="52" t="s">
        <v>343</v>
      </c>
      <c r="F44" s="59">
        <f>16*7.1*0.1</f>
        <v>11.36</v>
      </c>
      <c r="N44" s="5"/>
      <c r="O44" s="59"/>
      <c r="P44" s="52" t="s">
        <v>343</v>
      </c>
      <c r="Q44" s="59">
        <f>16*7.1*0.1</f>
        <v>11.36</v>
      </c>
      <c r="R44" s="52"/>
    </row>
    <row r="45" ht="15.75" customHeight="1">
      <c r="A45" s="1" t="s">
        <v>344</v>
      </c>
      <c r="B45" s="59">
        <f>16*34.8*0.1</f>
        <v>55.68</v>
      </c>
      <c r="E45" s="52" t="s">
        <v>345</v>
      </c>
      <c r="F45" s="59">
        <f>2*30</f>
        <v>60</v>
      </c>
      <c r="N45" s="5"/>
      <c r="P45" s="1" t="s">
        <v>344</v>
      </c>
      <c r="Q45" s="59">
        <f>16*34.8*0.1</f>
        <v>55.68</v>
      </c>
    </row>
    <row r="46" ht="15.75" customHeight="1">
      <c r="A46" s="52" t="s">
        <v>345</v>
      </c>
      <c r="B46" s="59">
        <f>2*30</f>
        <v>60</v>
      </c>
      <c r="D46" s="59"/>
      <c r="E46" s="1" t="s">
        <v>20</v>
      </c>
      <c r="F46" s="59">
        <f>2*1.5</f>
        <v>3</v>
      </c>
      <c r="N46" s="5"/>
      <c r="P46" s="52" t="s">
        <v>345</v>
      </c>
      <c r="Q46" s="59">
        <f>2*30</f>
        <v>60</v>
      </c>
    </row>
    <row r="47" ht="15.75" customHeight="1">
      <c r="A47" s="52" t="s">
        <v>20</v>
      </c>
      <c r="B47" s="59">
        <f>2*1.5</f>
        <v>3</v>
      </c>
      <c r="D47" s="59"/>
      <c r="E47" s="1" t="s">
        <v>21</v>
      </c>
      <c r="F47" s="59">
        <f>2*3.3</f>
        <v>6.6</v>
      </c>
      <c r="N47" s="5"/>
      <c r="P47" s="52" t="s">
        <v>20</v>
      </c>
      <c r="Q47" s="59">
        <f>2*1.5</f>
        <v>3</v>
      </c>
    </row>
    <row r="48" ht="15.75" customHeight="1">
      <c r="A48" s="52" t="s">
        <v>21</v>
      </c>
      <c r="B48" s="59">
        <f>2*3.3</f>
        <v>6.6</v>
      </c>
      <c r="E48" s="52"/>
      <c r="F48" s="59"/>
      <c r="N48" s="5"/>
      <c r="P48" s="52" t="s">
        <v>21</v>
      </c>
      <c r="Q48" s="59">
        <f>2*3.3</f>
        <v>6.6</v>
      </c>
    </row>
    <row r="49" ht="15.75" customHeight="1">
      <c r="A49" s="52"/>
      <c r="B49" s="59"/>
      <c r="E49" s="68" t="s">
        <v>342</v>
      </c>
      <c r="F49" s="69">
        <f>SUM(F43:F47)</f>
        <v>81.46</v>
      </c>
      <c r="N49" s="5"/>
      <c r="P49" s="52"/>
      <c r="Q49" s="59"/>
    </row>
    <row r="50" ht="15.75" customHeight="1">
      <c r="A50" s="68" t="s">
        <v>342</v>
      </c>
      <c r="B50" s="69">
        <f>SUM(B43:B48)</f>
        <v>137.14</v>
      </c>
      <c r="N50" s="5"/>
      <c r="P50" s="68" t="s">
        <v>342</v>
      </c>
      <c r="Q50" s="69">
        <f>SUM(Q43:Q48)</f>
        <v>137.14</v>
      </c>
    </row>
    <row r="51" ht="15.75" customHeight="1">
      <c r="N51" s="5"/>
    </row>
    <row r="52" ht="15.75" customHeight="1">
      <c r="N52" s="5"/>
    </row>
    <row r="53" ht="15.75" customHeight="1">
      <c r="A53" s="5"/>
      <c r="B53" s="5"/>
      <c r="C53" s="5"/>
      <c r="D53" s="5"/>
      <c r="E53" s="5"/>
      <c r="F53" s="5"/>
      <c r="G53" s="5"/>
      <c r="H53" s="5"/>
      <c r="I53" s="5"/>
      <c r="J53" s="5"/>
      <c r="K53" s="5"/>
      <c r="L53" s="5"/>
      <c r="N53" s="5"/>
      <c r="P53" s="5"/>
      <c r="Q53" s="5"/>
      <c r="R53" s="5"/>
      <c r="S53" s="5"/>
      <c r="T53" s="5"/>
      <c r="U53" s="5"/>
      <c r="V53" s="5"/>
      <c r="W53" s="5"/>
      <c r="X53" s="5"/>
      <c r="Y53" s="5"/>
      <c r="Z53" s="5"/>
      <c r="AA53" s="5"/>
    </row>
    <row r="54" ht="15.75" customHeight="1">
      <c r="A54" s="146" t="s">
        <v>346</v>
      </c>
      <c r="B54" s="3"/>
      <c r="C54" s="3"/>
      <c r="D54" s="3"/>
      <c r="E54" s="3"/>
      <c r="F54" s="3"/>
      <c r="G54" s="3"/>
      <c r="H54" s="3"/>
      <c r="I54" s="3"/>
      <c r="J54" s="3"/>
      <c r="K54" s="3"/>
      <c r="L54" s="4"/>
      <c r="N54" s="5"/>
      <c r="P54" s="149" t="s">
        <v>346</v>
      </c>
      <c r="Q54" s="3"/>
      <c r="R54" s="3"/>
      <c r="S54" s="3"/>
      <c r="T54" s="3"/>
      <c r="U54" s="3"/>
      <c r="V54" s="3"/>
      <c r="W54" s="3"/>
      <c r="X54" s="3"/>
      <c r="Y54" s="3"/>
      <c r="Z54" s="3"/>
      <c r="AA54" s="4"/>
    </row>
    <row r="55" ht="15.75" customHeight="1">
      <c r="A55" s="50" t="s">
        <v>30</v>
      </c>
      <c r="B55" s="51"/>
      <c r="C55" s="50" t="s">
        <v>32</v>
      </c>
      <c r="D55" s="51"/>
      <c r="E55" s="50" t="s">
        <v>31</v>
      </c>
      <c r="F55" s="51"/>
      <c r="G55" s="48" t="s">
        <v>11</v>
      </c>
      <c r="H55" s="49"/>
      <c r="N55" s="5"/>
      <c r="P55" s="50" t="s">
        <v>30</v>
      </c>
      <c r="Q55" s="51"/>
      <c r="R55" s="50" t="s">
        <v>32</v>
      </c>
      <c r="S55" s="51"/>
      <c r="T55" s="50" t="s">
        <v>29</v>
      </c>
      <c r="U55" s="51"/>
      <c r="V55" s="48" t="s">
        <v>11</v>
      </c>
      <c r="W55" s="49"/>
    </row>
    <row r="56" ht="15.75" customHeight="1">
      <c r="A56" s="68" t="s">
        <v>347</v>
      </c>
      <c r="B56" s="69">
        <v>0.0</v>
      </c>
      <c r="C56" s="68" t="s">
        <v>347</v>
      </c>
      <c r="D56" s="69">
        <v>0.0</v>
      </c>
      <c r="E56" s="68" t="s">
        <v>347</v>
      </c>
      <c r="F56" s="69">
        <v>0.0</v>
      </c>
      <c r="G56" s="148" t="s">
        <v>13</v>
      </c>
      <c r="H56" s="53">
        <f>'Component Breakdown'!B5</f>
        <v>5500</v>
      </c>
      <c r="N56" s="5"/>
      <c r="P56" s="68" t="s">
        <v>347</v>
      </c>
      <c r="Q56" s="69">
        <v>0.0</v>
      </c>
      <c r="R56" s="68" t="s">
        <v>347</v>
      </c>
      <c r="S56" s="69">
        <v>0.0</v>
      </c>
      <c r="T56" s="68" t="s">
        <v>347</v>
      </c>
      <c r="U56" s="69">
        <v>0.0</v>
      </c>
      <c r="V56" s="148" t="s">
        <v>13</v>
      </c>
      <c r="W56" s="53">
        <f>'Component Breakdown'!J4</f>
        <v>5500</v>
      </c>
    </row>
    <row r="57" ht="15.75" customHeight="1">
      <c r="F57" s="73"/>
      <c r="H57" s="59"/>
      <c r="N57" s="5"/>
      <c r="U57" s="73"/>
      <c r="W57" s="59"/>
    </row>
    <row r="58" ht="15.75" customHeight="1">
      <c r="G58" s="68" t="s">
        <v>347</v>
      </c>
      <c r="H58" s="69">
        <f>H56</f>
        <v>5500</v>
      </c>
      <c r="N58" s="5"/>
      <c r="V58" s="68" t="s">
        <v>347</v>
      </c>
      <c r="W58" s="69">
        <f>W56</f>
        <v>5500</v>
      </c>
    </row>
    <row r="59" ht="15.75" customHeight="1">
      <c r="N59" s="5"/>
    </row>
    <row r="60" ht="15.75" customHeight="1">
      <c r="A60" s="5"/>
      <c r="B60" s="5"/>
      <c r="C60" s="5"/>
      <c r="D60" s="5"/>
      <c r="E60" s="5"/>
      <c r="F60" s="5"/>
      <c r="G60" s="5"/>
      <c r="H60" s="5"/>
      <c r="I60" s="5"/>
      <c r="J60" s="5"/>
      <c r="K60" s="5"/>
      <c r="L60" s="5"/>
      <c r="N60" s="5"/>
      <c r="P60" s="5"/>
      <c r="Q60" s="5"/>
      <c r="R60" s="5"/>
      <c r="S60" s="5"/>
      <c r="T60" s="5"/>
      <c r="U60" s="5"/>
      <c r="V60" s="5"/>
      <c r="W60" s="5"/>
      <c r="X60" s="5"/>
      <c r="Y60" s="5"/>
      <c r="Z60" s="5"/>
      <c r="AA60" s="5"/>
    </row>
    <row r="61" ht="15.75" customHeight="1">
      <c r="A61" s="146" t="s">
        <v>348</v>
      </c>
      <c r="B61" s="3"/>
      <c r="C61" s="3"/>
      <c r="D61" s="3"/>
      <c r="E61" s="3"/>
      <c r="F61" s="3"/>
      <c r="G61" s="3"/>
      <c r="H61" s="3"/>
      <c r="I61" s="3"/>
      <c r="J61" s="3"/>
      <c r="K61" s="3"/>
      <c r="L61" s="4"/>
      <c r="N61" s="5"/>
      <c r="P61" s="146" t="s">
        <v>348</v>
      </c>
      <c r="Q61" s="3"/>
      <c r="R61" s="3"/>
      <c r="S61" s="3"/>
      <c r="T61" s="3"/>
      <c r="U61" s="3"/>
      <c r="V61" s="3"/>
      <c r="W61" s="3"/>
      <c r="X61" s="3"/>
      <c r="Y61" s="3"/>
      <c r="Z61" s="3"/>
      <c r="AA61" s="4"/>
    </row>
    <row r="62" ht="15.75" customHeight="1">
      <c r="A62" s="1" t="s">
        <v>349</v>
      </c>
      <c r="N62" s="5"/>
      <c r="P62" s="1" t="s">
        <v>349</v>
      </c>
    </row>
    <row r="63" ht="15.75" customHeight="1">
      <c r="N63" s="5"/>
    </row>
    <row r="64" ht="15.75" customHeight="1">
      <c r="A64" s="5"/>
      <c r="B64" s="5"/>
      <c r="C64" s="5"/>
      <c r="D64" s="5"/>
      <c r="E64" s="5"/>
      <c r="F64" s="5"/>
      <c r="G64" s="5"/>
      <c r="H64" s="5"/>
      <c r="I64" s="5"/>
      <c r="J64" s="5"/>
      <c r="K64" s="5"/>
      <c r="L64" s="5"/>
      <c r="N64" s="5"/>
      <c r="P64" s="5"/>
      <c r="Q64" s="5"/>
      <c r="R64" s="5"/>
      <c r="S64" s="5"/>
      <c r="T64" s="5"/>
      <c r="U64" s="5"/>
      <c r="V64" s="5"/>
      <c r="W64" s="5"/>
      <c r="X64" s="5"/>
      <c r="Y64" s="5"/>
      <c r="Z64" s="5"/>
      <c r="AA64" s="5"/>
    </row>
    <row r="65" ht="15.75" customHeight="1">
      <c r="A65" s="146" t="s">
        <v>350</v>
      </c>
      <c r="B65" s="3"/>
      <c r="C65" s="3"/>
      <c r="D65" s="3"/>
      <c r="E65" s="3"/>
      <c r="F65" s="3"/>
      <c r="G65" s="3"/>
      <c r="H65" s="3"/>
      <c r="I65" s="3"/>
      <c r="J65" s="3"/>
      <c r="K65" s="3"/>
      <c r="L65" s="4"/>
      <c r="N65" s="5"/>
      <c r="P65" s="146" t="s">
        <v>350</v>
      </c>
      <c r="Q65" s="3"/>
      <c r="R65" s="3"/>
      <c r="S65" s="3"/>
      <c r="T65" s="3"/>
      <c r="U65" s="3"/>
      <c r="V65" s="3"/>
      <c r="W65" s="3"/>
      <c r="X65" s="3"/>
      <c r="Y65" s="3"/>
      <c r="Z65" s="3"/>
      <c r="AA65" s="4"/>
    </row>
    <row r="66" ht="15.75" customHeight="1">
      <c r="N66" s="5"/>
    </row>
    <row r="67" ht="15.75" customHeight="1">
      <c r="N67" s="5"/>
    </row>
    <row r="68" ht="15.75" customHeight="1">
      <c r="N68" s="5"/>
    </row>
    <row r="69" ht="15.75" customHeight="1">
      <c r="A69" s="5"/>
      <c r="B69" s="5"/>
      <c r="C69" s="5"/>
      <c r="D69" s="5"/>
      <c r="E69" s="5"/>
      <c r="F69" s="5"/>
      <c r="G69" s="5"/>
      <c r="H69" s="5"/>
      <c r="I69" s="5"/>
      <c r="J69" s="5"/>
      <c r="K69" s="5"/>
      <c r="L69" s="5"/>
      <c r="N69" s="5"/>
      <c r="P69" s="5"/>
      <c r="Q69" s="5"/>
      <c r="R69" s="5"/>
      <c r="S69" s="5"/>
      <c r="T69" s="5"/>
      <c r="U69" s="5"/>
      <c r="V69" s="5"/>
      <c r="W69" s="5"/>
      <c r="X69" s="5"/>
      <c r="Y69" s="5"/>
      <c r="Z69" s="5"/>
      <c r="AA69" s="5"/>
    </row>
    <row r="70" ht="15.75" customHeight="1">
      <c r="A70" s="146" t="s">
        <v>351</v>
      </c>
      <c r="B70" s="3"/>
      <c r="C70" s="3"/>
      <c r="D70" s="3"/>
      <c r="E70" s="3"/>
      <c r="F70" s="3"/>
      <c r="G70" s="3"/>
      <c r="H70" s="3"/>
      <c r="I70" s="3"/>
      <c r="J70" s="3"/>
      <c r="K70" s="3"/>
      <c r="L70" s="4"/>
      <c r="N70" s="5"/>
      <c r="P70" s="146" t="s">
        <v>351</v>
      </c>
      <c r="Q70" s="3"/>
      <c r="R70" s="3"/>
      <c r="S70" s="3"/>
      <c r="T70" s="3"/>
      <c r="U70" s="3"/>
      <c r="V70" s="3"/>
      <c r="W70" s="3"/>
      <c r="X70" s="3"/>
      <c r="Y70" s="3"/>
      <c r="Z70" s="3"/>
      <c r="AA70" s="4"/>
    </row>
    <row r="71" ht="15.75" customHeight="1">
      <c r="N71" s="5"/>
    </row>
    <row r="72" ht="15.75" customHeight="1">
      <c r="A72" s="5"/>
      <c r="B72" s="5"/>
      <c r="C72" s="5"/>
      <c r="D72" s="5"/>
      <c r="E72" s="5"/>
      <c r="F72" s="5"/>
      <c r="G72" s="5"/>
      <c r="H72" s="5"/>
      <c r="I72" s="5"/>
      <c r="J72" s="5"/>
      <c r="K72" s="5"/>
      <c r="L72" s="5"/>
      <c r="N72" s="5"/>
      <c r="P72" s="5"/>
      <c r="Q72" s="5"/>
      <c r="R72" s="5"/>
      <c r="S72" s="5"/>
      <c r="T72" s="5"/>
      <c r="U72" s="5"/>
      <c r="V72" s="5"/>
      <c r="W72" s="5"/>
      <c r="X72" s="5"/>
      <c r="Y72" s="5"/>
      <c r="Z72" s="5"/>
      <c r="AA72" s="5"/>
    </row>
    <row r="73" ht="15.75" customHeight="1">
      <c r="A73" s="146" t="s">
        <v>352</v>
      </c>
      <c r="B73" s="3"/>
      <c r="C73" s="3"/>
      <c r="D73" s="3"/>
      <c r="E73" s="3"/>
      <c r="F73" s="3"/>
      <c r="G73" s="3"/>
      <c r="H73" s="3"/>
      <c r="I73" s="3"/>
      <c r="J73" s="3"/>
      <c r="K73" s="3"/>
      <c r="L73" s="4"/>
      <c r="N73" s="5"/>
      <c r="P73" s="146" t="s">
        <v>352</v>
      </c>
      <c r="Q73" s="3"/>
      <c r="R73" s="3"/>
      <c r="S73" s="3"/>
      <c r="T73" s="3"/>
      <c r="U73" s="3"/>
      <c r="V73" s="3"/>
      <c r="W73" s="3"/>
      <c r="X73" s="3"/>
      <c r="Y73" s="3"/>
      <c r="Z73" s="3"/>
      <c r="AA73" s="4"/>
    </row>
    <row r="74" ht="15.75" customHeight="1">
      <c r="N74" s="5"/>
    </row>
    <row r="75" ht="15.75" customHeight="1">
      <c r="N75" s="5"/>
    </row>
    <row r="76" ht="15.75" customHeight="1">
      <c r="N76" s="5"/>
    </row>
    <row r="77" ht="15.75" customHeight="1">
      <c r="N77" s="5"/>
    </row>
    <row r="78" ht="15.75" customHeight="1">
      <c r="N78" s="5"/>
    </row>
    <row r="79" ht="15.75" customHeight="1">
      <c r="N79" s="5"/>
    </row>
    <row r="80" ht="15.75" customHeight="1">
      <c r="N80" s="5"/>
    </row>
    <row r="81" ht="15.75" customHeight="1">
      <c r="N81" s="5"/>
    </row>
    <row r="82" ht="15.75" customHeight="1">
      <c r="N82" s="5"/>
    </row>
    <row r="83" ht="15.75" customHeight="1">
      <c r="N83" s="5"/>
    </row>
    <row r="84" ht="15.75" customHeight="1">
      <c r="N84" s="5"/>
    </row>
    <row r="85" ht="15.75" customHeight="1">
      <c r="N85" s="5"/>
    </row>
    <row r="86" ht="15.75" customHeight="1">
      <c r="N86" s="5"/>
    </row>
    <row r="87" ht="15.75" customHeight="1">
      <c r="N87" s="5"/>
    </row>
    <row r="88" ht="15.75" customHeight="1">
      <c r="N88" s="5"/>
    </row>
    <row r="89" ht="15.75" customHeight="1">
      <c r="N89" s="5"/>
    </row>
    <row r="90" ht="15.75" customHeight="1">
      <c r="N90" s="5"/>
    </row>
    <row r="91" ht="15.75" customHeight="1">
      <c r="N91" s="5"/>
    </row>
    <row r="92" ht="15.75" customHeight="1">
      <c r="N92" s="5"/>
    </row>
    <row r="93" ht="15.75" customHeight="1">
      <c r="N93" s="5"/>
    </row>
    <row r="94" ht="15.75" customHeight="1">
      <c r="N94" s="5"/>
    </row>
    <row r="95" ht="15.75" customHeight="1">
      <c r="N95" s="5"/>
    </row>
    <row r="96" ht="15.75" customHeight="1">
      <c r="N96" s="5"/>
    </row>
    <row r="97" ht="15.75" customHeight="1">
      <c r="N97" s="5"/>
    </row>
    <row r="98" ht="15.75" customHeight="1">
      <c r="N98" s="5"/>
    </row>
    <row r="99" ht="15.75" customHeight="1">
      <c r="N99" s="5"/>
    </row>
    <row r="100" ht="15.75" customHeight="1">
      <c r="N100" s="5"/>
    </row>
    <row r="101" ht="15.75" customHeight="1">
      <c r="N101" s="5"/>
    </row>
    <row r="102" ht="15.75" customHeight="1">
      <c r="N102" s="5"/>
    </row>
    <row r="103" ht="15.75" customHeight="1">
      <c r="N103" s="5"/>
    </row>
    <row r="104" ht="15.75" customHeight="1">
      <c r="N104" s="5"/>
    </row>
    <row r="105" ht="15.75" customHeight="1">
      <c r="N105" s="5"/>
    </row>
    <row r="106" ht="15.75" customHeight="1">
      <c r="N106" s="5"/>
    </row>
    <row r="107" ht="15.75" customHeight="1">
      <c r="N107" s="5"/>
    </row>
    <row r="108" ht="15.75" customHeight="1">
      <c r="N108" s="5"/>
    </row>
    <row r="109" ht="15.75" customHeight="1">
      <c r="N109" s="5"/>
    </row>
    <row r="110" ht="15.75" customHeight="1">
      <c r="N110" s="5"/>
    </row>
    <row r="111" ht="15.75" customHeight="1">
      <c r="N111" s="5"/>
    </row>
    <row r="112" ht="15.75" customHeight="1">
      <c r="N112" s="5"/>
    </row>
    <row r="113" ht="15.75" customHeight="1">
      <c r="N113" s="5"/>
    </row>
    <row r="114" ht="15.75" customHeight="1">
      <c r="N114" s="5"/>
    </row>
    <row r="115" ht="15.75" customHeight="1">
      <c r="N115" s="5"/>
    </row>
    <row r="116" ht="15.75" customHeight="1">
      <c r="N116" s="5"/>
    </row>
    <row r="117" ht="15.75" customHeight="1">
      <c r="N117" s="5"/>
    </row>
    <row r="118" ht="15.75" customHeight="1">
      <c r="N118" s="5"/>
    </row>
    <row r="119" ht="15.75" customHeight="1">
      <c r="N119" s="5"/>
    </row>
    <row r="120" ht="15.75" customHeight="1">
      <c r="N120" s="5"/>
    </row>
    <row r="121" ht="15.75" customHeight="1">
      <c r="N121" s="5"/>
    </row>
    <row r="122" ht="15.75" customHeight="1">
      <c r="N122" s="5"/>
    </row>
    <row r="123" ht="15.75" customHeight="1">
      <c r="N123" s="5"/>
    </row>
    <row r="124" ht="15.75" customHeight="1">
      <c r="N124" s="5"/>
    </row>
    <row r="125" ht="15.75" customHeight="1">
      <c r="N125" s="5"/>
    </row>
    <row r="126" ht="15.75" customHeight="1">
      <c r="N126" s="5"/>
    </row>
    <row r="127" ht="15.75" customHeight="1">
      <c r="N127" s="5"/>
    </row>
    <row r="128" ht="15.75" customHeight="1">
      <c r="N128" s="5"/>
    </row>
    <row r="129" ht="15.75" customHeight="1">
      <c r="N129" s="5"/>
    </row>
    <row r="130" ht="15.75" customHeight="1">
      <c r="N130" s="5"/>
    </row>
    <row r="131" ht="15.75" customHeight="1">
      <c r="N131" s="5"/>
    </row>
    <row r="132" ht="15.75" customHeight="1">
      <c r="N132" s="5"/>
    </row>
    <row r="133" ht="15.75" customHeight="1">
      <c r="N133" s="5"/>
    </row>
    <row r="134" ht="15.75" customHeight="1">
      <c r="N134" s="5"/>
    </row>
    <row r="135" ht="15.75" customHeight="1">
      <c r="N135" s="5"/>
    </row>
    <row r="136" ht="15.75" customHeight="1">
      <c r="N136" s="5"/>
    </row>
    <row r="137" ht="15.75" customHeight="1">
      <c r="N137" s="5"/>
    </row>
    <row r="138" ht="15.75" customHeight="1">
      <c r="N138" s="5"/>
    </row>
    <row r="139" ht="15.75" customHeight="1">
      <c r="N139" s="5"/>
    </row>
    <row r="140" ht="15.75" customHeight="1">
      <c r="N140" s="5"/>
    </row>
    <row r="141" ht="15.75" customHeight="1">
      <c r="N141" s="5"/>
    </row>
    <row r="142" ht="15.75" customHeight="1">
      <c r="N142" s="5"/>
    </row>
    <row r="143" ht="15.75" customHeight="1">
      <c r="N143" s="5"/>
    </row>
    <row r="144" ht="15.75" customHeight="1">
      <c r="N144" s="5"/>
    </row>
    <row r="145" ht="15.75" customHeight="1">
      <c r="N145" s="5"/>
    </row>
    <row r="146" ht="15.75" customHeight="1">
      <c r="N146" s="5"/>
    </row>
    <row r="147" ht="15.75" customHeight="1">
      <c r="N147" s="5"/>
    </row>
    <row r="148" ht="15.75" customHeight="1">
      <c r="N148" s="5"/>
    </row>
    <row r="149" ht="15.75" customHeight="1">
      <c r="N149" s="5"/>
    </row>
    <row r="150" ht="15.75" customHeight="1">
      <c r="N150" s="5"/>
    </row>
    <row r="151" ht="15.75" customHeight="1">
      <c r="N151" s="5"/>
    </row>
    <row r="152" ht="15.75" customHeight="1">
      <c r="N152" s="5"/>
    </row>
    <row r="153" ht="15.75" customHeight="1">
      <c r="N153" s="5"/>
    </row>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0">
    <mergeCell ref="G21:H21"/>
    <mergeCell ref="P21:Q21"/>
    <mergeCell ref="A30:L30"/>
    <mergeCell ref="P30:AA30"/>
    <mergeCell ref="A31:B31"/>
    <mergeCell ref="C31:D31"/>
    <mergeCell ref="E31:F31"/>
    <mergeCell ref="V31:W31"/>
    <mergeCell ref="G31:H31"/>
    <mergeCell ref="P31:Q31"/>
    <mergeCell ref="A41:L41"/>
    <mergeCell ref="P41:AA41"/>
    <mergeCell ref="A42:B42"/>
    <mergeCell ref="C42:D42"/>
    <mergeCell ref="E42:F42"/>
    <mergeCell ref="V42:W42"/>
    <mergeCell ref="G55:H55"/>
    <mergeCell ref="P55:Q55"/>
    <mergeCell ref="G42:H42"/>
    <mergeCell ref="P42:Q42"/>
    <mergeCell ref="A54:L54"/>
    <mergeCell ref="P54:AA54"/>
    <mergeCell ref="A55:B55"/>
    <mergeCell ref="C55:D55"/>
    <mergeCell ref="E55:F55"/>
    <mergeCell ref="V55:W55"/>
    <mergeCell ref="R5:S5"/>
    <mergeCell ref="T5:U5"/>
    <mergeCell ref="A3:L3"/>
    <mergeCell ref="P3:AA3"/>
    <mergeCell ref="A4:L4"/>
    <mergeCell ref="P4:AA4"/>
    <mergeCell ref="A5:B5"/>
    <mergeCell ref="C5:D5"/>
    <mergeCell ref="E5:F5"/>
    <mergeCell ref="V5:W5"/>
    <mergeCell ref="R21:S21"/>
    <mergeCell ref="T21:U21"/>
    <mergeCell ref="G5:H5"/>
    <mergeCell ref="P5:Q5"/>
    <mergeCell ref="A16:L16"/>
    <mergeCell ref="P16:AA16"/>
    <mergeCell ref="A21:B21"/>
    <mergeCell ref="C21:D21"/>
    <mergeCell ref="E21:F21"/>
    <mergeCell ref="V21:W21"/>
    <mergeCell ref="R31:S31"/>
    <mergeCell ref="T31:U31"/>
    <mergeCell ref="R42:S42"/>
    <mergeCell ref="T42:U42"/>
    <mergeCell ref="A70:L70"/>
    <mergeCell ref="A73:L73"/>
    <mergeCell ref="P73:AA73"/>
    <mergeCell ref="R55:S55"/>
    <mergeCell ref="T55:U55"/>
    <mergeCell ref="A61:L61"/>
    <mergeCell ref="P61:AA61"/>
    <mergeCell ref="A65:L65"/>
    <mergeCell ref="P65:AA65"/>
    <mergeCell ref="P70:AA70"/>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40.86"/>
    <col customWidth="1" min="3" max="4" width="8.71"/>
    <col customWidth="1" min="5" max="5" width="9.43"/>
    <col customWidth="1" min="6" max="7" width="8.71"/>
    <col customWidth="1" min="8" max="8" width="18.14"/>
    <col customWidth="1" min="9" max="9" width="38.0"/>
    <col customWidth="1" min="10" max="26" width="8.71"/>
  </cols>
  <sheetData>
    <row r="1">
      <c r="A1" s="2" t="s">
        <v>7</v>
      </c>
      <c r="B1" s="3"/>
      <c r="C1" s="3"/>
      <c r="D1" s="4"/>
      <c r="F1" s="5"/>
    </row>
    <row r="2">
      <c r="A2" s="6" t="s">
        <v>8</v>
      </c>
      <c r="B2" s="3"/>
      <c r="C2" s="3"/>
      <c r="D2" s="4"/>
      <c r="F2" s="5"/>
    </row>
    <row r="3">
      <c r="F3" s="5"/>
    </row>
    <row r="4">
      <c r="A4" s="7" t="s">
        <v>9</v>
      </c>
      <c r="B4" s="8"/>
      <c r="C4" s="8"/>
      <c r="D4" s="9"/>
      <c r="F4" s="5"/>
      <c r="H4" s="7" t="s">
        <v>10</v>
      </c>
      <c r="I4" s="8"/>
      <c r="J4" s="8"/>
      <c r="K4" s="9"/>
    </row>
    <row r="5">
      <c r="A5" s="10" t="s">
        <v>11</v>
      </c>
      <c r="B5" s="11"/>
      <c r="C5" s="11"/>
      <c r="D5" s="12"/>
      <c r="F5" s="5"/>
      <c r="H5" s="10" t="s">
        <v>11</v>
      </c>
      <c r="I5" s="11"/>
      <c r="J5" s="11"/>
      <c r="K5" s="12"/>
    </row>
    <row r="6">
      <c r="A6" s="10"/>
      <c r="B6" s="11" t="s">
        <v>12</v>
      </c>
      <c r="C6" s="11"/>
      <c r="D6" s="12"/>
      <c r="F6" s="5"/>
      <c r="H6" s="10"/>
      <c r="I6" s="13" t="s">
        <v>13</v>
      </c>
      <c r="J6" s="11"/>
      <c r="K6" s="12"/>
    </row>
    <row r="7">
      <c r="A7" s="10"/>
      <c r="B7" s="13" t="s">
        <v>13</v>
      </c>
      <c r="C7" s="11"/>
      <c r="D7" s="12"/>
      <c r="F7" s="5"/>
      <c r="H7" s="10"/>
      <c r="I7" s="14" t="s">
        <v>14</v>
      </c>
      <c r="J7" s="11"/>
      <c r="K7" s="12"/>
    </row>
    <row r="8">
      <c r="A8" s="10"/>
      <c r="B8" s="15" t="s">
        <v>14</v>
      </c>
      <c r="C8" s="11"/>
      <c r="D8" s="12"/>
      <c r="F8" s="5"/>
      <c r="H8" s="10"/>
      <c r="I8" s="15" t="s">
        <v>15</v>
      </c>
      <c r="J8" s="11"/>
      <c r="K8" s="12"/>
    </row>
    <row r="9">
      <c r="A9" s="10"/>
      <c r="B9" s="15" t="s">
        <v>16</v>
      </c>
      <c r="C9" s="11"/>
      <c r="D9" s="12"/>
      <c r="F9" s="5"/>
      <c r="H9" s="10"/>
      <c r="I9" s="15" t="s">
        <v>17</v>
      </c>
      <c r="J9" s="11"/>
      <c r="K9" s="12"/>
    </row>
    <row r="10">
      <c r="A10" s="10"/>
      <c r="B10" s="15" t="s">
        <v>18</v>
      </c>
      <c r="C10" s="11"/>
      <c r="D10" s="12"/>
      <c r="F10" s="5"/>
      <c r="H10" s="10"/>
      <c r="I10" s="15" t="s">
        <v>19</v>
      </c>
      <c r="J10" s="11"/>
      <c r="K10" s="12"/>
    </row>
    <row r="11">
      <c r="A11" s="10"/>
      <c r="B11" s="15" t="s">
        <v>20</v>
      </c>
      <c r="C11" s="11"/>
      <c r="D11" s="12"/>
      <c r="F11" s="5"/>
      <c r="H11" s="10"/>
      <c r="I11" s="11" t="s">
        <v>16</v>
      </c>
      <c r="J11" s="11"/>
      <c r="K11" s="12"/>
    </row>
    <row r="12">
      <c r="A12" s="10"/>
      <c r="B12" s="16" t="s">
        <v>21</v>
      </c>
      <c r="C12" s="11"/>
      <c r="D12" s="12"/>
      <c r="F12" s="5"/>
      <c r="H12" s="10"/>
      <c r="I12" s="15" t="s">
        <v>22</v>
      </c>
      <c r="J12" s="11"/>
      <c r="K12" s="12"/>
    </row>
    <row r="13">
      <c r="A13" s="10"/>
      <c r="B13" s="11" t="s">
        <v>14</v>
      </c>
      <c r="C13" s="11"/>
      <c r="D13" s="12"/>
      <c r="F13" s="5"/>
      <c r="H13" s="10"/>
      <c r="I13" s="11" t="s">
        <v>18</v>
      </c>
      <c r="J13" s="11"/>
      <c r="K13" s="12"/>
    </row>
    <row r="14">
      <c r="A14" s="10"/>
      <c r="B14" s="15" t="s">
        <v>15</v>
      </c>
      <c r="C14" s="11"/>
      <c r="D14" s="12"/>
      <c r="F14" s="5"/>
      <c r="H14" s="10"/>
      <c r="I14" s="15" t="s">
        <v>23</v>
      </c>
      <c r="J14" s="11"/>
      <c r="K14" s="12"/>
    </row>
    <row r="15">
      <c r="A15" s="10"/>
      <c r="B15" s="15" t="s">
        <v>17</v>
      </c>
      <c r="C15" s="11"/>
      <c r="D15" s="12"/>
      <c r="F15" s="5"/>
      <c r="H15" s="10"/>
      <c r="I15" s="11" t="s">
        <v>20</v>
      </c>
      <c r="J15" s="11"/>
      <c r="K15" s="12"/>
    </row>
    <row r="16">
      <c r="B16" s="15" t="s">
        <v>19</v>
      </c>
      <c r="D16" s="17"/>
      <c r="F16" s="5"/>
      <c r="H16" s="18"/>
      <c r="I16" s="11" t="s">
        <v>21</v>
      </c>
      <c r="K16" s="17"/>
    </row>
    <row r="17">
      <c r="A17" s="10"/>
      <c r="B17" s="11" t="s">
        <v>16</v>
      </c>
      <c r="C17" s="11"/>
      <c r="D17" s="12"/>
      <c r="F17" s="5"/>
      <c r="H17" s="10"/>
      <c r="I17" s="16" t="s">
        <v>24</v>
      </c>
      <c r="J17" s="11"/>
      <c r="K17" s="12"/>
    </row>
    <row r="18">
      <c r="A18" s="10"/>
      <c r="B18" s="15" t="s">
        <v>22</v>
      </c>
      <c r="C18" s="11"/>
      <c r="D18" s="12"/>
      <c r="F18" s="5"/>
      <c r="H18" s="10"/>
      <c r="I18" s="19" t="s">
        <v>25</v>
      </c>
      <c r="J18" s="11"/>
      <c r="K18" s="12"/>
    </row>
    <row r="19">
      <c r="A19" s="10"/>
      <c r="B19" s="11" t="s">
        <v>18</v>
      </c>
      <c r="C19" s="11"/>
      <c r="D19" s="12"/>
      <c r="F19" s="5"/>
      <c r="H19" s="10"/>
      <c r="I19" s="19" t="s">
        <v>26</v>
      </c>
      <c r="J19" s="11"/>
      <c r="K19" s="12"/>
    </row>
    <row r="20">
      <c r="A20" s="10"/>
      <c r="B20" s="15" t="s">
        <v>23</v>
      </c>
      <c r="C20" s="11"/>
      <c r="D20" s="12"/>
      <c r="F20" s="5"/>
      <c r="H20" s="10"/>
      <c r="I20" s="19" t="s">
        <v>27</v>
      </c>
      <c r="J20" s="11"/>
      <c r="K20" s="12"/>
    </row>
    <row r="21" ht="15.75" customHeight="1">
      <c r="B21" s="11" t="s">
        <v>20</v>
      </c>
      <c r="D21" s="17"/>
      <c r="F21" s="5"/>
      <c r="H21" s="18"/>
      <c r="I21" s="19" t="s">
        <v>28</v>
      </c>
      <c r="K21" s="17"/>
    </row>
    <row r="22" ht="15.75" customHeight="1">
      <c r="B22" s="11" t="s">
        <v>21</v>
      </c>
      <c r="D22" s="17"/>
      <c r="F22" s="5"/>
      <c r="H22" s="18"/>
      <c r="I22" s="19" t="s">
        <v>24</v>
      </c>
      <c r="K22" s="17"/>
    </row>
    <row r="23" ht="15.75" customHeight="1">
      <c r="B23" s="16" t="s">
        <v>24</v>
      </c>
      <c r="D23" s="17"/>
      <c r="F23" s="5"/>
      <c r="H23" s="10" t="s">
        <v>29</v>
      </c>
      <c r="K23" s="17"/>
    </row>
    <row r="24" ht="15.75" customHeight="1">
      <c r="B24" s="19" t="s">
        <v>25</v>
      </c>
      <c r="D24" s="17"/>
      <c r="F24" s="5"/>
      <c r="H24" s="18"/>
      <c r="I24" s="20" t="s">
        <v>13</v>
      </c>
      <c r="K24" s="17"/>
    </row>
    <row r="25" ht="15.75" customHeight="1">
      <c r="B25" s="19" t="s">
        <v>26</v>
      </c>
      <c r="D25" s="17"/>
      <c r="F25" s="5"/>
      <c r="H25" s="10" t="s">
        <v>30</v>
      </c>
      <c r="I25" s="11"/>
      <c r="K25" s="17"/>
    </row>
    <row r="26" ht="15.75" customHeight="1">
      <c r="B26" s="19" t="s">
        <v>27</v>
      </c>
      <c r="D26" s="17"/>
      <c r="F26" s="5"/>
      <c r="H26" s="10"/>
      <c r="I26" s="11" t="s">
        <v>14</v>
      </c>
      <c r="K26" s="17"/>
    </row>
    <row r="27" ht="15.75" customHeight="1">
      <c r="A27" s="10"/>
      <c r="B27" s="19" t="s">
        <v>28</v>
      </c>
      <c r="C27" s="11"/>
      <c r="D27" s="12"/>
      <c r="F27" s="5"/>
      <c r="H27" s="18"/>
      <c r="I27" s="11" t="s">
        <v>15</v>
      </c>
      <c r="J27" s="11"/>
      <c r="K27" s="12"/>
    </row>
    <row r="28" ht="15.75" customHeight="1">
      <c r="A28" s="10"/>
      <c r="B28" s="19" t="s">
        <v>24</v>
      </c>
      <c r="C28" s="11"/>
      <c r="D28" s="12"/>
      <c r="F28" s="5"/>
      <c r="H28" s="18"/>
      <c r="I28" s="11" t="s">
        <v>17</v>
      </c>
      <c r="J28" s="11"/>
      <c r="K28" s="12"/>
    </row>
    <row r="29" ht="15.75" customHeight="1">
      <c r="A29" s="10" t="s">
        <v>31</v>
      </c>
      <c r="B29" s="11"/>
      <c r="C29" s="11"/>
      <c r="D29" s="12"/>
      <c r="F29" s="5"/>
      <c r="H29" s="18"/>
      <c r="I29" s="11" t="s">
        <v>19</v>
      </c>
      <c r="J29" s="11"/>
      <c r="K29" s="12"/>
    </row>
    <row r="30" ht="15.75" customHeight="1">
      <c r="A30" s="10"/>
      <c r="B30" s="11" t="s">
        <v>12</v>
      </c>
      <c r="C30" s="11"/>
      <c r="D30" s="12"/>
      <c r="F30" s="5"/>
      <c r="H30" s="18"/>
      <c r="I30" s="11" t="s">
        <v>16</v>
      </c>
      <c r="J30" s="11"/>
      <c r="K30" s="12"/>
    </row>
    <row r="31" ht="15.75" customHeight="1">
      <c r="A31" s="10"/>
      <c r="B31" s="20" t="s">
        <v>13</v>
      </c>
      <c r="C31" s="11"/>
      <c r="D31" s="12"/>
      <c r="F31" s="5"/>
      <c r="H31" s="18"/>
      <c r="I31" s="11" t="s">
        <v>22</v>
      </c>
      <c r="J31" s="11"/>
      <c r="K31" s="12"/>
    </row>
    <row r="32" ht="15.75" customHeight="1">
      <c r="A32" s="10"/>
      <c r="B32" s="11" t="s">
        <v>14</v>
      </c>
      <c r="C32" s="11"/>
      <c r="D32" s="12"/>
      <c r="F32" s="5"/>
      <c r="H32" s="18"/>
      <c r="I32" s="11" t="s">
        <v>18</v>
      </c>
      <c r="J32" s="11"/>
      <c r="K32" s="12"/>
    </row>
    <row r="33" ht="15.75" customHeight="1">
      <c r="A33" s="10"/>
      <c r="B33" s="11" t="s">
        <v>16</v>
      </c>
      <c r="D33" s="12"/>
      <c r="F33" s="5"/>
      <c r="H33" s="18"/>
      <c r="I33" s="11" t="s">
        <v>23</v>
      </c>
      <c r="J33" s="11"/>
      <c r="K33" s="12"/>
    </row>
    <row r="34" ht="15.75" customHeight="1">
      <c r="A34" s="10"/>
      <c r="B34" s="11" t="s">
        <v>18</v>
      </c>
      <c r="C34" s="11"/>
      <c r="D34" s="12"/>
      <c r="F34" s="5"/>
      <c r="H34" s="18"/>
      <c r="I34" s="11" t="s">
        <v>20</v>
      </c>
      <c r="K34" s="17"/>
    </row>
    <row r="35" ht="15.75" customHeight="1">
      <c r="A35" s="10"/>
      <c r="B35" s="11" t="s">
        <v>20</v>
      </c>
      <c r="C35" s="11"/>
      <c r="D35" s="12"/>
      <c r="F35" s="5"/>
      <c r="H35" s="18"/>
      <c r="I35" s="11" t="s">
        <v>21</v>
      </c>
      <c r="K35" s="17"/>
    </row>
    <row r="36" ht="15.75" customHeight="1">
      <c r="A36" s="10"/>
      <c r="B36" s="11" t="s">
        <v>21</v>
      </c>
      <c r="C36" s="11"/>
      <c r="D36" s="12"/>
      <c r="F36" s="5"/>
      <c r="H36" s="18"/>
      <c r="I36" s="11" t="s">
        <v>24</v>
      </c>
      <c r="K36" s="17"/>
    </row>
    <row r="37" ht="15.75" customHeight="1">
      <c r="A37" s="10" t="s">
        <v>30</v>
      </c>
      <c r="B37" s="11"/>
      <c r="C37" s="11"/>
      <c r="D37" s="12"/>
      <c r="F37" s="5"/>
      <c r="H37" s="10"/>
      <c r="I37" s="21" t="s">
        <v>25</v>
      </c>
      <c r="K37" s="17"/>
    </row>
    <row r="38" ht="15.75" customHeight="1">
      <c r="A38" s="10"/>
      <c r="B38" s="11" t="s">
        <v>14</v>
      </c>
      <c r="C38" s="11"/>
      <c r="D38" s="12"/>
      <c r="F38" s="5"/>
      <c r="H38" s="10"/>
      <c r="I38" s="19" t="s">
        <v>26</v>
      </c>
      <c r="K38" s="17"/>
    </row>
    <row r="39" ht="15.75" customHeight="1">
      <c r="B39" s="11" t="s">
        <v>15</v>
      </c>
      <c r="D39" s="17"/>
      <c r="F39" s="5"/>
      <c r="H39" s="10"/>
      <c r="I39" s="19" t="s">
        <v>27</v>
      </c>
      <c r="K39" s="17"/>
    </row>
    <row r="40" ht="15.75" customHeight="1">
      <c r="B40" s="11" t="s">
        <v>17</v>
      </c>
      <c r="D40" s="17"/>
      <c r="F40" s="5"/>
      <c r="H40" s="18"/>
      <c r="I40" s="19" t="s">
        <v>28</v>
      </c>
      <c r="K40" s="17"/>
    </row>
    <row r="41" ht="15.75" customHeight="1">
      <c r="B41" s="11" t="s">
        <v>19</v>
      </c>
      <c r="D41" s="17"/>
      <c r="F41" s="5"/>
      <c r="H41" s="18"/>
      <c r="I41" s="19" t="s">
        <v>24</v>
      </c>
      <c r="K41" s="17"/>
    </row>
    <row r="42" ht="15.75" customHeight="1">
      <c r="B42" s="11" t="s">
        <v>16</v>
      </c>
      <c r="D42" s="17"/>
      <c r="F42" s="5"/>
      <c r="H42" s="10" t="s">
        <v>32</v>
      </c>
      <c r="I42" s="11"/>
      <c r="J42" s="11"/>
      <c r="K42" s="12"/>
    </row>
    <row r="43" ht="15.75" customHeight="1">
      <c r="B43" s="11" t="s">
        <v>22</v>
      </c>
      <c r="D43" s="17"/>
      <c r="F43" s="5"/>
      <c r="H43" s="10"/>
      <c r="I43" s="11" t="s">
        <v>25</v>
      </c>
      <c r="J43" s="11"/>
      <c r="K43" s="12"/>
    </row>
    <row r="44" ht="15.75" customHeight="1">
      <c r="B44" s="11" t="s">
        <v>18</v>
      </c>
      <c r="D44" s="17"/>
      <c r="F44" s="5"/>
      <c r="H44" s="10"/>
      <c r="I44" s="11" t="s">
        <v>26</v>
      </c>
      <c r="J44" s="11"/>
      <c r="K44" s="12"/>
    </row>
    <row r="45" ht="15.75" customHeight="1">
      <c r="B45" s="11" t="s">
        <v>23</v>
      </c>
      <c r="D45" s="17"/>
      <c r="F45" s="5"/>
      <c r="H45" s="10"/>
      <c r="I45" s="11" t="s">
        <v>27</v>
      </c>
      <c r="J45" s="11"/>
      <c r="K45" s="12"/>
    </row>
    <row r="46" ht="15.75" customHeight="1">
      <c r="B46" s="11" t="s">
        <v>20</v>
      </c>
      <c r="D46" s="17"/>
      <c r="F46" s="5"/>
      <c r="H46" s="18"/>
      <c r="I46" s="11" t="s">
        <v>28</v>
      </c>
      <c r="K46" s="17"/>
    </row>
    <row r="47" ht="15.75" customHeight="1">
      <c r="B47" s="11" t="s">
        <v>21</v>
      </c>
      <c r="D47" s="17"/>
      <c r="F47" s="5"/>
      <c r="H47" s="22"/>
      <c r="I47" s="23" t="s">
        <v>24</v>
      </c>
      <c r="J47" s="23"/>
      <c r="K47" s="24"/>
    </row>
    <row r="48" ht="15.75" customHeight="1">
      <c r="B48" s="11" t="s">
        <v>33</v>
      </c>
      <c r="D48" s="17"/>
      <c r="F48" s="5"/>
    </row>
    <row r="49" ht="15.75" customHeight="1">
      <c r="A49" s="10"/>
      <c r="B49" s="21" t="s">
        <v>25</v>
      </c>
      <c r="C49" s="11"/>
      <c r="D49" s="12"/>
      <c r="F49" s="5"/>
      <c r="H49" s="7" t="s">
        <v>34</v>
      </c>
      <c r="I49" s="8"/>
      <c r="J49" s="8"/>
      <c r="K49" s="9"/>
    </row>
    <row r="50" ht="15.75" customHeight="1">
      <c r="A50" s="10"/>
      <c r="B50" s="19" t="s">
        <v>26</v>
      </c>
      <c r="C50" s="11"/>
      <c r="D50" s="12"/>
      <c r="F50" s="5"/>
      <c r="H50" s="18" t="s">
        <v>11</v>
      </c>
      <c r="K50" s="17"/>
    </row>
    <row r="51" ht="15.75" customHeight="1">
      <c r="A51" s="10"/>
      <c r="B51" s="19" t="s">
        <v>27</v>
      </c>
      <c r="C51" s="11"/>
      <c r="D51" s="12"/>
      <c r="F51" s="5"/>
      <c r="H51" s="18"/>
      <c r="I51" s="25" t="s">
        <v>35</v>
      </c>
      <c r="K51" s="17"/>
    </row>
    <row r="52" ht="15.75" customHeight="1">
      <c r="B52" s="19" t="s">
        <v>28</v>
      </c>
      <c r="D52" s="17"/>
      <c r="F52" s="5"/>
      <c r="H52" s="18"/>
      <c r="I52" s="26" t="s">
        <v>36</v>
      </c>
      <c r="K52" s="17"/>
    </row>
    <row r="53" ht="15.75" customHeight="1">
      <c r="B53" s="19" t="s">
        <v>33</v>
      </c>
      <c r="D53" s="17"/>
      <c r="F53" s="5"/>
      <c r="H53" s="18"/>
      <c r="I53" s="26" t="s">
        <v>37</v>
      </c>
      <c r="K53" s="17"/>
    </row>
    <row r="54" ht="15.75" customHeight="1">
      <c r="A54" s="10" t="s">
        <v>32</v>
      </c>
      <c r="B54" s="11"/>
      <c r="C54" s="11"/>
      <c r="D54" s="12"/>
      <c r="F54" s="5"/>
      <c r="H54" s="18" t="s">
        <v>31</v>
      </c>
      <c r="K54" s="17"/>
    </row>
    <row r="55" ht="15.75" customHeight="1">
      <c r="A55" s="10"/>
      <c r="B55" s="11" t="s">
        <v>25</v>
      </c>
      <c r="C55" s="11"/>
      <c r="D55" s="12"/>
      <c r="F55" s="5"/>
      <c r="H55" s="18"/>
      <c r="I55" s="1" t="s">
        <v>35</v>
      </c>
      <c r="K55" s="17"/>
    </row>
    <row r="56" ht="15.75" customHeight="1">
      <c r="A56" s="10"/>
      <c r="B56" s="11" t="s">
        <v>26</v>
      </c>
      <c r="C56" s="11"/>
      <c r="D56" s="12"/>
      <c r="F56" s="5"/>
      <c r="H56" s="18" t="s">
        <v>30</v>
      </c>
      <c r="K56" s="17"/>
    </row>
    <row r="57" ht="15.75" customHeight="1">
      <c r="A57" s="10"/>
      <c r="B57" s="11" t="s">
        <v>27</v>
      </c>
      <c r="C57" s="11"/>
      <c r="D57" s="12"/>
      <c r="F57" s="5"/>
      <c r="H57" s="18"/>
      <c r="I57" s="1" t="s">
        <v>36</v>
      </c>
      <c r="K57" s="17"/>
    </row>
    <row r="58" ht="15.75" customHeight="1">
      <c r="B58" s="11" t="s">
        <v>28</v>
      </c>
      <c r="D58" s="17"/>
      <c r="F58" s="5"/>
      <c r="G58" s="17"/>
      <c r="I58" s="26" t="s">
        <v>37</v>
      </c>
      <c r="K58" s="17"/>
    </row>
    <row r="59" ht="15.75" customHeight="1">
      <c r="A59" s="22"/>
      <c r="B59" s="23" t="s">
        <v>24</v>
      </c>
      <c r="C59" s="23"/>
      <c r="D59" s="24"/>
      <c r="F59" s="5"/>
      <c r="H59" s="18" t="s">
        <v>32</v>
      </c>
      <c r="K59" s="17"/>
    </row>
    <row r="60" ht="15.75" customHeight="1">
      <c r="F60" s="5"/>
      <c r="H60" s="27"/>
      <c r="I60" s="28" t="s">
        <v>37</v>
      </c>
      <c r="J60" s="28"/>
      <c r="K60" s="29"/>
    </row>
    <row r="61" ht="15.75" customHeight="1">
      <c r="A61" s="7" t="s">
        <v>38</v>
      </c>
      <c r="B61" s="8"/>
      <c r="C61" s="8"/>
      <c r="D61" s="9"/>
      <c r="F61" s="5"/>
      <c r="H61" s="30"/>
      <c r="I61" s="30"/>
      <c r="J61" s="30"/>
      <c r="K61" s="30"/>
    </row>
    <row r="62" ht="15.75" customHeight="1">
      <c r="A62" s="18" t="s">
        <v>11</v>
      </c>
      <c r="D62" s="17"/>
      <c r="F62" s="5"/>
    </row>
    <row r="63" ht="15.75" customHeight="1">
      <c r="A63" s="18"/>
      <c r="B63" s="25" t="s">
        <v>35</v>
      </c>
      <c r="D63" s="17"/>
      <c r="F63" s="5"/>
    </row>
    <row r="64" ht="15.75" customHeight="1">
      <c r="A64" s="18"/>
      <c r="B64" s="26" t="s">
        <v>36</v>
      </c>
      <c r="D64" s="17"/>
      <c r="F64" s="5"/>
    </row>
    <row r="65" ht="15.75" customHeight="1">
      <c r="A65" s="18"/>
      <c r="B65" s="26" t="s">
        <v>37</v>
      </c>
      <c r="D65" s="17"/>
      <c r="F65" s="5"/>
    </row>
    <row r="66" ht="15.75" customHeight="1">
      <c r="A66" s="18" t="s">
        <v>31</v>
      </c>
      <c r="D66" s="17"/>
      <c r="F66" s="5"/>
    </row>
    <row r="67" ht="15.75" customHeight="1">
      <c r="A67" s="18"/>
      <c r="B67" s="1" t="s">
        <v>35</v>
      </c>
      <c r="D67" s="17"/>
      <c r="F67" s="5"/>
    </row>
    <row r="68" ht="15.75" customHeight="1">
      <c r="A68" s="18" t="s">
        <v>30</v>
      </c>
      <c r="D68" s="17"/>
      <c r="F68" s="5"/>
    </row>
    <row r="69" ht="15.75" customHeight="1">
      <c r="A69" s="18"/>
      <c r="B69" s="1" t="s">
        <v>36</v>
      </c>
      <c r="D69" s="17"/>
      <c r="F69" s="5"/>
    </row>
    <row r="70" ht="15.75" customHeight="1">
      <c r="B70" s="26" t="s">
        <v>37</v>
      </c>
      <c r="D70" s="17"/>
      <c r="F70" s="5"/>
    </row>
    <row r="71" ht="15.75" customHeight="1">
      <c r="A71" s="18" t="s">
        <v>32</v>
      </c>
      <c r="D71" s="17"/>
      <c r="F71" s="5"/>
    </row>
    <row r="72" ht="15.75" customHeight="1">
      <c r="A72" s="27"/>
      <c r="B72" s="28" t="s">
        <v>37</v>
      </c>
      <c r="C72" s="28"/>
      <c r="D72" s="29"/>
      <c r="F72" s="5"/>
    </row>
    <row r="73" ht="15.75" customHeight="1">
      <c r="F73" s="5"/>
      <c r="I73" s="11"/>
    </row>
    <row r="74" ht="15.75" customHeight="1">
      <c r="F74" s="5"/>
      <c r="I74" s="11"/>
    </row>
    <row r="75" ht="15.75" customHeight="1">
      <c r="F75" s="5"/>
      <c r="I75" s="11"/>
    </row>
    <row r="76" ht="15.75" customHeight="1">
      <c r="F76" s="5"/>
      <c r="I76" s="11"/>
    </row>
    <row r="77" ht="15.75" customHeight="1">
      <c r="F77" s="5"/>
      <c r="I77" s="11"/>
    </row>
    <row r="78" ht="15.75" customHeight="1">
      <c r="F78" s="5"/>
    </row>
    <row r="79" ht="15.75" customHeight="1">
      <c r="F79" s="5"/>
      <c r="H79" s="31"/>
    </row>
    <row r="80" ht="15.75" customHeight="1">
      <c r="F80" s="5"/>
    </row>
    <row r="81" ht="15.75" customHeight="1">
      <c r="F81" s="5"/>
    </row>
    <row r="82" ht="15.75" customHeight="1">
      <c r="F82" s="5"/>
    </row>
    <row r="83" ht="15.75" customHeight="1">
      <c r="F83" s="5"/>
    </row>
    <row r="84" ht="15.75" customHeight="1">
      <c r="F84" s="5"/>
    </row>
    <row r="85" ht="15.75" customHeight="1">
      <c r="F85" s="5"/>
    </row>
    <row r="86" ht="15.75" customHeight="1">
      <c r="F86" s="5"/>
    </row>
    <row r="87" ht="15.75" customHeight="1">
      <c r="F87" s="5"/>
    </row>
    <row r="88" ht="15.75" customHeight="1">
      <c r="F88" s="5"/>
    </row>
    <row r="89" ht="15.75" customHeight="1">
      <c r="F89" s="5"/>
    </row>
    <row r="90" ht="15.75" customHeight="1">
      <c r="F90" s="5"/>
    </row>
    <row r="91" ht="15.75" customHeight="1">
      <c r="F91" s="5"/>
    </row>
    <row r="92" ht="15.75" customHeight="1">
      <c r="F92" s="5"/>
    </row>
    <row r="93" ht="15.75" customHeight="1">
      <c r="F93" s="5"/>
    </row>
    <row r="94" ht="15.75" customHeight="1">
      <c r="F94" s="5"/>
    </row>
    <row r="95" ht="15.75" customHeight="1">
      <c r="F95" s="5"/>
    </row>
    <row r="96" ht="15.75" customHeight="1">
      <c r="F96" s="5"/>
    </row>
    <row r="97" ht="15.75" customHeight="1">
      <c r="F97" s="5"/>
    </row>
    <row r="98" ht="15.75" customHeight="1">
      <c r="F98" s="5"/>
    </row>
    <row r="99" ht="15.75" customHeight="1">
      <c r="F99" s="5"/>
    </row>
    <row r="100" ht="15.75" customHeight="1">
      <c r="F100" s="5"/>
    </row>
    <row r="101" ht="15.75" customHeight="1">
      <c r="F101" s="5"/>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D1"/>
    <mergeCell ref="A2:D2"/>
    <mergeCell ref="A4:D4"/>
    <mergeCell ref="H4:K4"/>
    <mergeCell ref="H49:K49"/>
    <mergeCell ref="A61:D61"/>
    <mergeCell ref="H79:K79"/>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6.57"/>
    <col customWidth="1" min="3" max="8" width="8.71"/>
    <col customWidth="1" min="9" max="9" width="33.14"/>
    <col customWidth="1" min="10" max="10" width="6.57"/>
    <col customWidth="1" min="11" max="26" width="8.71"/>
  </cols>
  <sheetData>
    <row r="1">
      <c r="A1" s="1" t="s">
        <v>39</v>
      </c>
      <c r="G1" s="5"/>
    </row>
    <row r="2">
      <c r="G2" s="5"/>
    </row>
    <row r="3">
      <c r="A3" s="32" t="s">
        <v>40</v>
      </c>
      <c r="B3" s="8"/>
      <c r="C3" s="8"/>
      <c r="D3" s="8"/>
      <c r="E3" s="9"/>
      <c r="G3" s="5"/>
      <c r="I3" s="32" t="s">
        <v>41</v>
      </c>
      <c r="J3" s="8"/>
      <c r="K3" s="8"/>
      <c r="L3" s="8"/>
      <c r="M3" s="9"/>
    </row>
    <row r="4">
      <c r="A4" s="1" t="s">
        <v>12</v>
      </c>
      <c r="B4" s="1">
        <v>26.37</v>
      </c>
      <c r="E4" s="17"/>
      <c r="G4" s="5"/>
      <c r="I4" s="10" t="s">
        <v>13</v>
      </c>
      <c r="J4" s="33">
        <v>5500.0</v>
      </c>
      <c r="K4" s="11"/>
      <c r="L4" s="11"/>
      <c r="M4" s="12"/>
    </row>
    <row r="5">
      <c r="A5" s="10" t="s">
        <v>13</v>
      </c>
      <c r="B5" s="33">
        <v>5500.0</v>
      </c>
      <c r="C5" s="11"/>
      <c r="D5" s="11"/>
      <c r="E5" s="12"/>
      <c r="G5" s="5"/>
      <c r="I5" s="10" t="s">
        <v>42</v>
      </c>
      <c r="J5" s="34">
        <v>0.25</v>
      </c>
      <c r="K5" s="11"/>
      <c r="L5" s="11"/>
      <c r="M5" s="12"/>
    </row>
    <row r="6">
      <c r="A6" s="10" t="s">
        <v>42</v>
      </c>
      <c r="B6" s="34">
        <v>0.25</v>
      </c>
      <c r="C6" s="11"/>
      <c r="D6" s="11"/>
      <c r="E6" s="12"/>
      <c r="G6" s="5"/>
      <c r="I6" s="18" t="s">
        <v>43</v>
      </c>
      <c r="J6" s="1">
        <v>2.15</v>
      </c>
      <c r="M6" s="17"/>
    </row>
    <row r="7">
      <c r="A7" s="18" t="s">
        <v>43</v>
      </c>
      <c r="B7" s="1">
        <v>2.15</v>
      </c>
      <c r="E7" s="17"/>
      <c r="G7" s="5"/>
      <c r="I7" s="18" t="s">
        <v>44</v>
      </c>
      <c r="J7" s="1">
        <v>5.0</v>
      </c>
      <c r="M7" s="17"/>
    </row>
    <row r="8">
      <c r="A8" s="18" t="s">
        <v>44</v>
      </c>
      <c r="B8" s="1">
        <v>5.0</v>
      </c>
      <c r="E8" s="17"/>
      <c r="G8" s="5"/>
      <c r="I8" s="18" t="s">
        <v>26</v>
      </c>
      <c r="J8" s="1">
        <v>17.4</v>
      </c>
      <c r="M8" s="17"/>
    </row>
    <row r="9">
      <c r="A9" s="18" t="s">
        <v>26</v>
      </c>
      <c r="B9" s="1">
        <v>17.4</v>
      </c>
      <c r="E9" s="17"/>
      <c r="G9" s="5"/>
      <c r="I9" s="18" t="s">
        <v>45</v>
      </c>
      <c r="J9" s="1">
        <v>0.029</v>
      </c>
      <c r="M9" s="17"/>
    </row>
    <row r="10">
      <c r="A10" s="1" t="s">
        <v>45</v>
      </c>
      <c r="B10" s="1">
        <v>0.029</v>
      </c>
      <c r="E10" s="17"/>
      <c r="G10" s="5"/>
      <c r="I10" s="18" t="s">
        <v>46</v>
      </c>
      <c r="J10" s="1">
        <v>7.1</v>
      </c>
      <c r="M10" s="17"/>
    </row>
    <row r="11">
      <c r="A11" s="18" t="s">
        <v>46</v>
      </c>
      <c r="B11" s="1">
        <v>7.1</v>
      </c>
      <c r="E11" s="17"/>
      <c r="G11" s="5"/>
      <c r="I11" s="18" t="s">
        <v>47</v>
      </c>
      <c r="J11" s="1">
        <v>34.8</v>
      </c>
      <c r="M11" s="17"/>
    </row>
    <row r="12">
      <c r="A12" s="18" t="s">
        <v>47</v>
      </c>
      <c r="B12" s="1">
        <v>34.8</v>
      </c>
      <c r="E12" s="17"/>
      <c r="G12" s="5"/>
      <c r="I12" s="18" t="s">
        <v>48</v>
      </c>
      <c r="J12" s="1">
        <v>2.15</v>
      </c>
      <c r="M12" s="17"/>
    </row>
    <row r="13">
      <c r="A13" s="18" t="s">
        <v>48</v>
      </c>
      <c r="B13" s="1">
        <v>2.15</v>
      </c>
      <c r="E13" s="17"/>
      <c r="G13" s="5"/>
      <c r="I13" s="18" t="s">
        <v>49</v>
      </c>
      <c r="J13" s="1">
        <v>25.0</v>
      </c>
      <c r="M13" s="17"/>
    </row>
    <row r="14">
      <c r="A14" s="18" t="s">
        <v>49</v>
      </c>
      <c r="B14" s="1">
        <v>25.0</v>
      </c>
      <c r="E14" s="17"/>
      <c r="G14" s="5"/>
      <c r="I14" s="18" t="s">
        <v>50</v>
      </c>
      <c r="J14" s="1">
        <v>30.0</v>
      </c>
      <c r="M14" s="17"/>
    </row>
    <row r="15">
      <c r="A15" s="18" t="s">
        <v>50</v>
      </c>
      <c r="B15" s="1">
        <v>30.0</v>
      </c>
      <c r="E15" s="17"/>
      <c r="G15" s="5"/>
      <c r="I15" s="18" t="s">
        <v>23</v>
      </c>
      <c r="J15" s="33">
        <v>25.0</v>
      </c>
      <c r="M15" s="17"/>
    </row>
    <row r="16">
      <c r="A16" s="18" t="s">
        <v>23</v>
      </c>
      <c r="B16" s="33">
        <v>25.0</v>
      </c>
      <c r="E16" s="17"/>
      <c r="G16" s="5"/>
      <c r="I16" s="18" t="s">
        <v>28</v>
      </c>
      <c r="J16" s="1">
        <v>48.8</v>
      </c>
      <c r="M16" s="17"/>
    </row>
    <row r="17">
      <c r="A17" s="18" t="s">
        <v>28</v>
      </c>
      <c r="B17" s="1">
        <v>48.8</v>
      </c>
      <c r="E17" s="17"/>
      <c r="G17" s="5"/>
      <c r="I17" s="18" t="s">
        <v>51</v>
      </c>
      <c r="J17" s="1">
        <v>1.5</v>
      </c>
      <c r="M17" s="17"/>
    </row>
    <row r="18">
      <c r="A18" s="18" t="s">
        <v>51</v>
      </c>
      <c r="B18" s="1">
        <v>1.5</v>
      </c>
      <c r="E18" s="17"/>
      <c r="G18" s="5"/>
      <c r="I18" s="18" t="s">
        <v>52</v>
      </c>
      <c r="J18" s="1">
        <v>3.3</v>
      </c>
      <c r="M18" s="17"/>
    </row>
    <row r="19">
      <c r="A19" s="18" t="s">
        <v>52</v>
      </c>
      <c r="B19" s="1">
        <v>3.3</v>
      </c>
      <c r="E19" s="17"/>
      <c r="G19" s="5"/>
      <c r="I19" s="18" t="s">
        <v>24</v>
      </c>
      <c r="J19" s="1">
        <v>17.0</v>
      </c>
      <c r="M19" s="17"/>
    </row>
    <row r="20">
      <c r="A20" s="18" t="s">
        <v>24</v>
      </c>
      <c r="B20" s="1">
        <v>17.0</v>
      </c>
      <c r="E20" s="17"/>
      <c r="G20" s="5"/>
      <c r="I20" s="18" t="s">
        <v>53</v>
      </c>
      <c r="J20" s="34">
        <v>12.0</v>
      </c>
    </row>
    <row r="21" ht="15.75" customHeight="1">
      <c r="A21" s="18" t="s">
        <v>53</v>
      </c>
      <c r="B21" s="1">
        <v>12.0</v>
      </c>
      <c r="G21" s="5"/>
      <c r="I21" s="35" t="s">
        <v>54</v>
      </c>
      <c r="J21" s="33">
        <v>456.0</v>
      </c>
      <c r="M21" s="17"/>
    </row>
    <row r="22" ht="15.75" customHeight="1">
      <c r="A22" s="35" t="s">
        <v>54</v>
      </c>
      <c r="B22" s="33">
        <v>456.0</v>
      </c>
      <c r="E22" s="17"/>
      <c r="G22" s="5"/>
      <c r="I22" s="18" t="s">
        <v>55</v>
      </c>
      <c r="J22" s="33">
        <v>456.0</v>
      </c>
      <c r="M22" s="17"/>
    </row>
    <row r="23" ht="15.75" customHeight="1">
      <c r="A23" s="18" t="s">
        <v>55</v>
      </c>
      <c r="B23" s="33">
        <v>456.0</v>
      </c>
      <c r="E23" s="17"/>
      <c r="G23" s="5"/>
      <c r="I23" s="27" t="s">
        <v>35</v>
      </c>
      <c r="J23" s="36">
        <v>10000.0</v>
      </c>
      <c r="K23" s="28"/>
      <c r="L23" s="28"/>
      <c r="M23" s="29"/>
    </row>
    <row r="24" ht="15.75" customHeight="1">
      <c r="A24" s="27" t="s">
        <v>35</v>
      </c>
      <c r="B24" s="36">
        <v>10000.0</v>
      </c>
      <c r="C24" s="28"/>
      <c r="D24" s="28"/>
      <c r="E24" s="29"/>
      <c r="G24" s="5"/>
      <c r="J24" s="37"/>
    </row>
    <row r="25" ht="15.75" customHeight="1">
      <c r="G25" s="5"/>
      <c r="J25" s="34"/>
    </row>
    <row r="26" ht="15.75" customHeight="1">
      <c r="G26" s="5"/>
    </row>
    <row r="27" ht="15.75" customHeight="1">
      <c r="G27" s="5"/>
    </row>
    <row r="28" ht="15.75" customHeight="1">
      <c r="G28" s="5"/>
    </row>
    <row r="29" ht="15.75" customHeight="1">
      <c r="G29" s="5"/>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I3:M3"/>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5.86"/>
    <col customWidth="1" min="3" max="3" width="42.0"/>
    <col customWidth="1" min="4" max="4" width="15.86"/>
    <col customWidth="1" min="5" max="5" width="42.0"/>
    <col customWidth="1" min="6" max="6" width="15.86"/>
    <col customWidth="1" min="7" max="7" width="42.0"/>
    <col customWidth="1" min="8" max="8" width="15.86"/>
    <col customWidth="1" min="9" max="9" width="42.0"/>
    <col customWidth="1" min="10" max="10" width="15.86"/>
    <col customWidth="1" min="11" max="11" width="8.0"/>
    <col customWidth="1" min="12" max="12" width="39.71"/>
    <col customWidth="1" min="13" max="13" width="14.0"/>
    <col customWidth="1" min="14" max="14" width="39.71"/>
    <col customWidth="1" min="15" max="15" width="14.0"/>
    <col customWidth="1" min="16" max="16" width="39.71"/>
    <col customWidth="1" min="17" max="17" width="14.0"/>
    <col customWidth="1" min="18" max="18" width="39.71"/>
    <col customWidth="1" min="19" max="19" width="13.29"/>
    <col customWidth="1" min="20" max="20" width="39.71"/>
    <col customWidth="1" min="21" max="21" width="14.0"/>
    <col customWidth="1" min="22" max="22" width="42.0"/>
    <col customWidth="1" min="23" max="23" width="15.86"/>
    <col customWidth="1" min="24" max="26" width="8.71"/>
  </cols>
  <sheetData>
    <row r="1" ht="15.0" customHeight="1">
      <c r="A1" s="38" t="s">
        <v>56</v>
      </c>
      <c r="B1" s="39"/>
      <c r="C1" s="39"/>
      <c r="D1" s="39"/>
      <c r="E1" s="1" t="s">
        <v>57</v>
      </c>
      <c r="F1" s="1">
        <f>5.67*10^-8</f>
        <v>0.0000000567</v>
      </c>
      <c r="G1" s="40"/>
      <c r="K1" s="5"/>
      <c r="L1" s="38" t="s">
        <v>56</v>
      </c>
      <c r="M1" s="39"/>
      <c r="N1" s="39"/>
      <c r="O1" s="39"/>
      <c r="P1" s="1" t="s">
        <v>57</v>
      </c>
      <c r="Q1" s="1">
        <f>5.67*10^-8</f>
        <v>0.0000000567</v>
      </c>
      <c r="R1" s="40"/>
      <c r="T1" s="1" t="s">
        <v>58</v>
      </c>
    </row>
    <row r="2">
      <c r="A2" s="41"/>
      <c r="B2" s="39"/>
      <c r="C2" s="39"/>
      <c r="D2" s="39"/>
      <c r="G2" s="42"/>
      <c r="K2" s="5"/>
      <c r="L2" s="41"/>
      <c r="M2" s="39"/>
      <c r="N2" s="39"/>
      <c r="O2" s="39"/>
      <c r="R2" s="42"/>
    </row>
    <row r="3">
      <c r="A3" s="41"/>
      <c r="B3" s="39"/>
      <c r="C3" s="39"/>
      <c r="D3" s="39"/>
      <c r="G3" s="42"/>
      <c r="K3" s="5"/>
      <c r="L3" s="41"/>
      <c r="M3" s="39"/>
      <c r="N3" s="39"/>
      <c r="O3" s="39"/>
      <c r="R3" s="42"/>
    </row>
    <row r="4">
      <c r="A4" s="43"/>
      <c r="B4" s="39"/>
      <c r="C4" s="39"/>
      <c r="D4" s="39"/>
      <c r="G4" s="44"/>
      <c r="H4" s="1" t="s">
        <v>59</v>
      </c>
      <c r="K4" s="5"/>
      <c r="L4" s="43"/>
      <c r="M4" s="39"/>
      <c r="N4" s="39"/>
      <c r="O4" s="39"/>
      <c r="R4" s="44"/>
    </row>
    <row r="5">
      <c r="A5" s="1" t="s">
        <v>60</v>
      </c>
      <c r="B5" s="1" t="s">
        <v>61</v>
      </c>
      <c r="G5" s="45"/>
      <c r="K5" s="5"/>
      <c r="L5" s="1" t="s">
        <v>60</v>
      </c>
      <c r="R5" s="45"/>
      <c r="T5" s="1" t="s">
        <v>59</v>
      </c>
    </row>
    <row r="6">
      <c r="A6" s="1" t="s">
        <v>62</v>
      </c>
      <c r="G6" s="45"/>
      <c r="K6" s="5"/>
      <c r="L6" s="1" t="s">
        <v>62</v>
      </c>
      <c r="R6" s="45"/>
    </row>
    <row r="7">
      <c r="A7" s="1" t="s">
        <v>63</v>
      </c>
      <c r="B7" s="1" t="s">
        <v>64</v>
      </c>
      <c r="K7" s="5"/>
      <c r="L7" s="1" t="s">
        <v>63</v>
      </c>
    </row>
    <row r="8">
      <c r="A8" s="1" t="s">
        <v>65</v>
      </c>
      <c r="K8" s="5"/>
      <c r="L8" s="1" t="s">
        <v>65</v>
      </c>
    </row>
    <row r="9">
      <c r="A9" s="46" t="s">
        <v>40</v>
      </c>
      <c r="B9" s="47"/>
      <c r="C9" s="47"/>
      <c r="D9" s="47"/>
      <c r="E9" s="47"/>
      <c r="F9" s="47"/>
      <c r="G9" s="47"/>
      <c r="H9" s="47"/>
      <c r="I9" s="47"/>
      <c r="J9" s="47"/>
      <c r="K9" s="5"/>
      <c r="L9" s="46" t="s">
        <v>41</v>
      </c>
      <c r="M9" s="47"/>
      <c r="N9" s="47"/>
      <c r="O9" s="47"/>
      <c r="P9" s="47"/>
      <c r="Q9" s="47"/>
      <c r="R9" s="47"/>
      <c r="S9" s="47"/>
      <c r="T9" s="47"/>
      <c r="U9" s="47"/>
      <c r="V9" s="30"/>
      <c r="W9" s="30"/>
    </row>
    <row r="10">
      <c r="A10" s="48" t="s">
        <v>66</v>
      </c>
      <c r="B10" s="49"/>
      <c r="C10" s="48" t="s">
        <v>67</v>
      </c>
      <c r="D10" s="49"/>
      <c r="E10" s="48" t="s">
        <v>68</v>
      </c>
      <c r="F10" s="49"/>
      <c r="G10" s="50" t="s">
        <v>69</v>
      </c>
      <c r="H10" s="51"/>
      <c r="I10" s="48" t="s">
        <v>70</v>
      </c>
      <c r="J10" s="49"/>
      <c r="K10" s="5"/>
      <c r="L10" s="48" t="s">
        <v>66</v>
      </c>
      <c r="M10" s="49"/>
      <c r="N10" s="48" t="s">
        <v>67</v>
      </c>
      <c r="O10" s="49"/>
      <c r="P10" s="48" t="s">
        <v>68</v>
      </c>
      <c r="Q10" s="49"/>
      <c r="R10" s="50" t="s">
        <v>69</v>
      </c>
      <c r="S10" s="51"/>
      <c r="T10" s="48" t="s">
        <v>71</v>
      </c>
      <c r="U10" s="49"/>
    </row>
    <row r="11" ht="15.0" customHeight="1">
      <c r="A11" s="52" t="s">
        <v>72</v>
      </c>
      <c r="B11" s="53">
        <v>0.61</v>
      </c>
      <c r="C11" s="52" t="s">
        <v>72</v>
      </c>
      <c r="D11" s="53">
        <v>0.61</v>
      </c>
      <c r="E11" s="52" t="s">
        <v>72</v>
      </c>
      <c r="F11" s="54">
        <v>0.09</v>
      </c>
      <c r="G11" s="55" t="s">
        <v>73</v>
      </c>
      <c r="H11" s="56"/>
      <c r="I11" s="1" t="s">
        <v>72</v>
      </c>
      <c r="J11" s="53">
        <v>0.61</v>
      </c>
      <c r="K11" s="5"/>
      <c r="L11" s="52" t="s">
        <v>72</v>
      </c>
      <c r="M11" s="53">
        <v>0.61</v>
      </c>
      <c r="N11" s="52" t="s">
        <v>72</v>
      </c>
      <c r="O11" s="53">
        <v>0.61</v>
      </c>
      <c r="P11" s="52" t="s">
        <v>72</v>
      </c>
      <c r="Q11" s="54">
        <v>0.09</v>
      </c>
      <c r="R11" s="55" t="s">
        <v>73</v>
      </c>
      <c r="S11" s="56"/>
      <c r="T11" s="1" t="s">
        <v>72</v>
      </c>
      <c r="U11" s="53">
        <v>0.61</v>
      </c>
    </row>
    <row r="12">
      <c r="A12" s="52" t="s">
        <v>74</v>
      </c>
      <c r="B12" s="53">
        <v>0.25</v>
      </c>
      <c r="C12" s="52" t="s">
        <v>74</v>
      </c>
      <c r="D12" s="53">
        <v>0.25</v>
      </c>
      <c r="E12" s="52" t="s">
        <v>74</v>
      </c>
      <c r="F12" s="54">
        <v>0.45</v>
      </c>
      <c r="G12" s="57"/>
      <c r="H12" s="58"/>
      <c r="I12" s="1" t="s">
        <v>74</v>
      </c>
      <c r="J12" s="53">
        <v>0.25</v>
      </c>
      <c r="K12" s="5"/>
      <c r="L12" s="52" t="s">
        <v>74</v>
      </c>
      <c r="M12" s="53">
        <v>0.25</v>
      </c>
      <c r="N12" s="52" t="s">
        <v>74</v>
      </c>
      <c r="O12" s="53">
        <v>0.25</v>
      </c>
      <c r="P12" s="52" t="s">
        <v>74</v>
      </c>
      <c r="Q12" s="54">
        <v>0.45</v>
      </c>
      <c r="R12" s="57"/>
      <c r="S12" s="58"/>
      <c r="T12" s="1" t="s">
        <v>74</v>
      </c>
      <c r="U12" s="53">
        <v>0.25</v>
      </c>
    </row>
    <row r="13">
      <c r="A13" s="52" t="s">
        <v>75</v>
      </c>
      <c r="B13" s="59">
        <f> 2*1.5 * 1.03</f>
        <v>3.09</v>
      </c>
      <c r="C13" s="52" t="s">
        <v>75</v>
      </c>
      <c r="D13" s="59">
        <f> 2*1.5 * 1.3</f>
        <v>3.9</v>
      </c>
      <c r="E13" s="52" t="s">
        <v>75</v>
      </c>
      <c r="F13" s="59">
        <f> 2*1.6 * 1.05</f>
        <v>3.36</v>
      </c>
      <c r="G13" s="52"/>
      <c r="H13" s="59"/>
      <c r="I13" s="1" t="s">
        <v>75</v>
      </c>
      <c r="J13" s="59">
        <f>1.21*3.08</f>
        <v>3.7268</v>
      </c>
      <c r="K13" s="5"/>
      <c r="L13" s="52" t="s">
        <v>75</v>
      </c>
      <c r="M13" s="59">
        <f> 2*1.5 * 1.03</f>
        <v>3.09</v>
      </c>
      <c r="N13" s="52" t="s">
        <v>75</v>
      </c>
      <c r="O13" s="59">
        <f> 2*1.5 * 1.3</f>
        <v>3.9</v>
      </c>
      <c r="P13" s="52" t="s">
        <v>75</v>
      </c>
      <c r="Q13" s="59">
        <f> 2*1.6 * 1.05</f>
        <v>3.36</v>
      </c>
      <c r="R13" s="52"/>
      <c r="S13" s="59"/>
      <c r="T13" s="1" t="s">
        <v>75</v>
      </c>
      <c r="U13" s="59">
        <f>1.21*3.08</f>
        <v>3.7268</v>
      </c>
    </row>
    <row r="14">
      <c r="A14" s="52" t="s">
        <v>76</v>
      </c>
      <c r="B14" s="59">
        <f> 2*PI()*1.5*1.03 + PI()*1.5^2</f>
        <v>16.77610477</v>
      </c>
      <c r="C14" s="52" t="s">
        <v>76</v>
      </c>
      <c r="D14" s="59">
        <f> 2*PI()*1.5*1.3 + PI()*1.5^2</f>
        <v>19.32079482</v>
      </c>
      <c r="E14" s="52" t="s">
        <v>76</v>
      </c>
      <c r="F14" s="59">
        <f> 2*PI()*1.6*1.05</f>
        <v>10.55575132</v>
      </c>
      <c r="G14" s="52"/>
      <c r="H14" s="59"/>
      <c r="I14" s="1" t="s">
        <v>76</v>
      </c>
      <c r="J14" s="59">
        <f>2*(1.21*1.1) + 2*(1.21*3.08) + (3.08*1.1) + 2*(1.1/2*1.21) + 2*(1*1.1/2)</f>
        <v>15.9346</v>
      </c>
      <c r="K14" s="5"/>
      <c r="L14" s="52" t="s">
        <v>76</v>
      </c>
      <c r="M14" s="59">
        <f> 2*PI()*1.5*1.03 + PI()*1.5^2</f>
        <v>16.77610477</v>
      </c>
      <c r="N14" s="52" t="s">
        <v>76</v>
      </c>
      <c r="O14" s="59">
        <f> 2*PI()*1.5*1.3</f>
        <v>12.25221135</v>
      </c>
      <c r="P14" s="52" t="s">
        <v>76</v>
      </c>
      <c r="Q14" s="59">
        <f> 2*PI()*1.6*1.05</f>
        <v>10.55575132</v>
      </c>
      <c r="R14" s="52"/>
      <c r="S14" s="59"/>
      <c r="T14" s="1" t="s">
        <v>76</v>
      </c>
      <c r="U14" s="59">
        <f>2*(1.21*1.1) + 2*(1.21*3.08) + (3.08*1.1) + 2*(1.1/2*1.21) + 2*(1*1.1/2)</f>
        <v>15.9346</v>
      </c>
    </row>
    <row r="15">
      <c r="A15" s="52" t="s">
        <v>77</v>
      </c>
      <c r="B15" s="53">
        <v>0.85</v>
      </c>
      <c r="C15" s="52" t="s">
        <v>77</v>
      </c>
      <c r="D15" s="53">
        <v>0.85</v>
      </c>
      <c r="E15" s="52" t="s">
        <v>77</v>
      </c>
      <c r="F15" s="54">
        <v>0.85</v>
      </c>
      <c r="G15" s="52"/>
      <c r="H15" s="59"/>
      <c r="I15" s="1" t="s">
        <v>77</v>
      </c>
      <c r="J15" s="53">
        <v>0.85</v>
      </c>
      <c r="K15" s="5"/>
      <c r="L15" s="52" t="s">
        <v>77</v>
      </c>
      <c r="M15" s="53">
        <v>0.85</v>
      </c>
      <c r="N15" s="52" t="s">
        <v>77</v>
      </c>
      <c r="O15" s="53">
        <v>0.85</v>
      </c>
      <c r="P15" s="52" t="s">
        <v>77</v>
      </c>
      <c r="Q15" s="54">
        <v>0.85</v>
      </c>
      <c r="R15" s="52"/>
      <c r="S15" s="59"/>
      <c r="T15" s="1" t="s">
        <v>77</v>
      </c>
      <c r="U15" s="53">
        <v>0.85</v>
      </c>
    </row>
    <row r="16">
      <c r="A16" s="52" t="s">
        <v>78</v>
      </c>
      <c r="B16" s="53">
        <v>0.9</v>
      </c>
      <c r="C16" s="52" t="s">
        <v>78</v>
      </c>
      <c r="D16" s="53">
        <v>0.9</v>
      </c>
      <c r="E16" s="52" t="s">
        <v>78</v>
      </c>
      <c r="F16" s="54">
        <v>0.9</v>
      </c>
      <c r="G16" s="52"/>
      <c r="H16" s="59"/>
      <c r="I16" s="1" t="s">
        <v>78</v>
      </c>
      <c r="J16" s="53">
        <v>0.9</v>
      </c>
      <c r="K16" s="5"/>
      <c r="L16" s="52" t="s">
        <v>78</v>
      </c>
      <c r="M16" s="53">
        <v>0.9</v>
      </c>
      <c r="N16" s="52" t="s">
        <v>78</v>
      </c>
      <c r="O16" s="53">
        <v>0.9</v>
      </c>
      <c r="P16" s="52" t="s">
        <v>78</v>
      </c>
      <c r="Q16" s="54">
        <v>0.9</v>
      </c>
      <c r="R16" s="52"/>
      <c r="S16" s="59"/>
      <c r="T16" s="1" t="s">
        <v>78</v>
      </c>
      <c r="U16" s="53">
        <v>0.9</v>
      </c>
    </row>
    <row r="17">
      <c r="A17" s="52" t="s">
        <v>79</v>
      </c>
      <c r="B17" s="53">
        <v>2.0</v>
      </c>
      <c r="C17" s="52" t="s">
        <v>79</v>
      </c>
      <c r="D17" s="53">
        <v>2.0</v>
      </c>
      <c r="E17" s="52" t="s">
        <v>79</v>
      </c>
      <c r="F17" s="54">
        <v>2.0</v>
      </c>
      <c r="G17" s="52"/>
      <c r="H17" s="59"/>
      <c r="I17" s="1" t="s">
        <v>79</v>
      </c>
      <c r="J17" s="53">
        <v>2.0</v>
      </c>
      <c r="K17" s="5"/>
      <c r="L17" s="52" t="s">
        <v>79</v>
      </c>
      <c r="M17" s="53">
        <v>2.0</v>
      </c>
      <c r="N17" s="52" t="s">
        <v>79</v>
      </c>
      <c r="O17" s="53">
        <v>2.0</v>
      </c>
      <c r="P17" s="52" t="s">
        <v>79</v>
      </c>
      <c r="Q17" s="54">
        <v>2.0</v>
      </c>
      <c r="R17" s="52"/>
      <c r="S17" s="59"/>
      <c r="T17" s="1" t="s">
        <v>79</v>
      </c>
      <c r="U17" s="53">
        <v>2.0</v>
      </c>
    </row>
    <row r="18">
      <c r="A18" s="52" t="s">
        <v>80</v>
      </c>
      <c r="B18" s="53">
        <v>2.0</v>
      </c>
      <c r="C18" s="52" t="s">
        <v>80</v>
      </c>
      <c r="D18" s="53">
        <v>2.0</v>
      </c>
      <c r="E18" s="52" t="s">
        <v>80</v>
      </c>
      <c r="F18" s="54">
        <v>2.0</v>
      </c>
      <c r="G18" s="52"/>
      <c r="H18" s="59"/>
      <c r="I18" s="1" t="s">
        <v>80</v>
      </c>
      <c r="J18" s="53">
        <v>2.0</v>
      </c>
      <c r="K18" s="5"/>
      <c r="L18" s="52" t="s">
        <v>80</v>
      </c>
      <c r="M18" s="53">
        <v>2.0</v>
      </c>
      <c r="N18" s="52" t="s">
        <v>80</v>
      </c>
      <c r="O18" s="53">
        <v>2.0</v>
      </c>
      <c r="P18" s="52" t="s">
        <v>80</v>
      </c>
      <c r="Q18" s="54">
        <v>2.0</v>
      </c>
      <c r="R18" s="52"/>
      <c r="S18" s="59"/>
      <c r="T18" s="1" t="s">
        <v>80</v>
      </c>
      <c r="U18" s="53">
        <v>2.0</v>
      </c>
    </row>
    <row r="19">
      <c r="A19" s="52" t="s">
        <v>81</v>
      </c>
      <c r="B19" s="53">
        <v>0.0254</v>
      </c>
      <c r="C19" s="52" t="s">
        <v>81</v>
      </c>
      <c r="D19" s="53">
        <v>0.0254</v>
      </c>
      <c r="E19" s="52" t="s">
        <v>81</v>
      </c>
      <c r="F19" s="54">
        <v>0.0254</v>
      </c>
      <c r="G19" s="52"/>
      <c r="H19" s="59"/>
      <c r="I19" s="1" t="s">
        <v>81</v>
      </c>
      <c r="J19" s="53">
        <v>0.0254</v>
      </c>
      <c r="K19" s="5"/>
      <c r="L19" s="52" t="s">
        <v>81</v>
      </c>
      <c r="M19" s="53">
        <v>0.0254</v>
      </c>
      <c r="N19" s="52" t="s">
        <v>81</v>
      </c>
      <c r="O19" s="53">
        <v>0.0254</v>
      </c>
      <c r="P19" s="52" t="s">
        <v>81</v>
      </c>
      <c r="Q19" s="54">
        <v>0.0254</v>
      </c>
      <c r="R19" s="52"/>
      <c r="S19" s="59"/>
      <c r="T19" s="1" t="s">
        <v>81</v>
      </c>
      <c r="U19" s="53">
        <v>0.0254</v>
      </c>
    </row>
    <row r="20">
      <c r="A20" s="52" t="s">
        <v>82</v>
      </c>
      <c r="B20" s="53">
        <v>0.0</v>
      </c>
      <c r="C20" s="52" t="s">
        <v>82</v>
      </c>
      <c r="D20" s="53">
        <v>0.0</v>
      </c>
      <c r="E20" s="52" t="s">
        <v>82</v>
      </c>
      <c r="F20" s="54">
        <v>0.0</v>
      </c>
      <c r="G20" s="52"/>
      <c r="H20" s="59"/>
      <c r="I20" s="1" t="s">
        <v>82</v>
      </c>
      <c r="J20" s="53">
        <v>0.0</v>
      </c>
      <c r="K20" s="5"/>
      <c r="L20" s="52" t="s">
        <v>82</v>
      </c>
      <c r="M20" s="53">
        <v>0.0</v>
      </c>
      <c r="N20" s="52" t="s">
        <v>82</v>
      </c>
      <c r="O20" s="53">
        <v>0.0</v>
      </c>
      <c r="P20" s="52" t="s">
        <v>82</v>
      </c>
      <c r="Q20" s="54">
        <v>0.0</v>
      </c>
      <c r="R20" s="52"/>
      <c r="S20" s="59"/>
      <c r="T20" s="1" t="s">
        <v>82</v>
      </c>
      <c r="U20" s="53">
        <v>0.0</v>
      </c>
    </row>
    <row r="21" ht="15.75" customHeight="1">
      <c r="A21" s="52" t="s">
        <v>83</v>
      </c>
      <c r="B21" s="59">
        <f>IF(B20 = 0, 0, B17*B18*2)</f>
        <v>0</v>
      </c>
      <c r="C21" s="52" t="s">
        <v>83</v>
      </c>
      <c r="D21" s="59">
        <f>IF(D20 = 0, 0, D17*D18*2)</f>
        <v>0</v>
      </c>
      <c r="E21" s="52" t="s">
        <v>83</v>
      </c>
      <c r="F21" s="1">
        <f>IF(F20 = 0, 0, F17*F18*2)</f>
        <v>0</v>
      </c>
      <c r="G21" s="52"/>
      <c r="H21" s="59"/>
      <c r="I21" s="1" t="s">
        <v>83</v>
      </c>
      <c r="J21" s="59">
        <f>IF(J20 = 0, 0, J17*J18*2)</f>
        <v>0</v>
      </c>
      <c r="K21" s="5"/>
      <c r="L21" s="52" t="s">
        <v>83</v>
      </c>
      <c r="M21" s="59">
        <f>IF(M20 = 0, 0, M17*M18*2)</f>
        <v>0</v>
      </c>
      <c r="N21" s="52" t="s">
        <v>83</v>
      </c>
      <c r="O21" s="59">
        <f>IF(O20 = 0, 0, O17*O18*2)</f>
        <v>0</v>
      </c>
      <c r="P21" s="52" t="s">
        <v>83</v>
      </c>
      <c r="Q21" s="1">
        <f>IF(Q20 = 0, 0, Q17*Q18*2)</f>
        <v>0</v>
      </c>
      <c r="R21" s="52"/>
      <c r="S21" s="59"/>
      <c r="T21" s="1" t="s">
        <v>83</v>
      </c>
      <c r="U21" s="59">
        <f>IF(U20 = 0, 0, U17*U18*2)</f>
        <v>0</v>
      </c>
    </row>
    <row r="22" ht="15.75" customHeight="1">
      <c r="A22" s="52" t="s">
        <v>84</v>
      </c>
      <c r="B22" s="59">
        <f>(B17*B18*2 + B17*B19 + 2*B18*B19)*B20</f>
        <v>0</v>
      </c>
      <c r="C22" s="52" t="s">
        <v>84</v>
      </c>
      <c r="D22" s="59">
        <f>(D17*D18*2 + D17*D19 + 2*D18*D19)*D20</f>
        <v>0</v>
      </c>
      <c r="E22" s="52" t="s">
        <v>84</v>
      </c>
      <c r="F22" s="1">
        <f>(F17*F18*2 + F17*F19 + 2*F18*F19)*F20</f>
        <v>0</v>
      </c>
      <c r="G22" s="52"/>
      <c r="H22" s="59"/>
      <c r="I22" s="1" t="s">
        <v>84</v>
      </c>
      <c r="J22" s="59">
        <f>(J17*J18*2 + J17*J19 + 2*J18*J19)*J20</f>
        <v>0</v>
      </c>
      <c r="K22" s="5"/>
      <c r="L22" s="52" t="s">
        <v>84</v>
      </c>
      <c r="M22" s="59">
        <f>(M17*M18*2 + M17*M19 + 2*M18*M19)*M20</f>
        <v>0</v>
      </c>
      <c r="N22" s="52" t="s">
        <v>84</v>
      </c>
      <c r="O22" s="59">
        <f>(O17*O18*2 + O17*O19 + 2*O18*O19)*O20</f>
        <v>0</v>
      </c>
      <c r="P22" s="52" t="s">
        <v>84</v>
      </c>
      <c r="Q22" s="1">
        <f>(Q17*Q18*2 + Q17*Q19 + 2*Q18*Q19)*Q20</f>
        <v>0</v>
      </c>
      <c r="R22" s="52"/>
      <c r="S22" s="59"/>
      <c r="T22" s="1" t="s">
        <v>84</v>
      </c>
      <c r="U22" s="59">
        <f>(U17*U18*2 + U17*U19 + 2*U18*U19)*U20</f>
        <v>0</v>
      </c>
    </row>
    <row r="23" ht="15.75" customHeight="1">
      <c r="A23" s="52" t="s">
        <v>85</v>
      </c>
      <c r="B23" s="59">
        <f>B11*(B13/(B13+B21)) + B15*(B21/(B13+B21))</f>
        <v>0.61</v>
      </c>
      <c r="C23" s="52" t="s">
        <v>85</v>
      </c>
      <c r="D23" s="59">
        <f>D11*(D13/(D13+D21)) + D15*(D21/(D13+D21))</f>
        <v>0.61</v>
      </c>
      <c r="E23" s="52" t="s">
        <v>85</v>
      </c>
      <c r="F23" s="1">
        <f>F11*(F13/(F13+F21)) + F15*(F21/(F13+F21))</f>
        <v>0.09</v>
      </c>
      <c r="G23" s="52"/>
      <c r="H23" s="59"/>
      <c r="I23" s="1" t="s">
        <v>85</v>
      </c>
      <c r="J23" s="59">
        <f>J11*(J13/(J13+J21)) + J15*(J21/(J13+J21))</f>
        <v>0.61</v>
      </c>
      <c r="K23" s="5"/>
      <c r="L23" s="52" t="s">
        <v>85</v>
      </c>
      <c r="M23" s="59">
        <f>M11*(M13/(M13+M21)) + M15*(M21/(M13+M21))</f>
        <v>0.61</v>
      </c>
      <c r="N23" s="52" t="s">
        <v>85</v>
      </c>
      <c r="O23" s="59">
        <f>O11*(O13/(O13+O21)) + O15*(O21/(O13+O21))</f>
        <v>0.61</v>
      </c>
      <c r="P23" s="52" t="s">
        <v>85</v>
      </c>
      <c r="Q23" s="1">
        <f>Q11*(Q13/(Q13+Q21)) + Q15*(Q21/(Q13+Q21))</f>
        <v>0.09</v>
      </c>
      <c r="R23" s="52"/>
      <c r="S23" s="59"/>
      <c r="T23" s="1" t="s">
        <v>85</v>
      </c>
      <c r="U23" s="59">
        <f>U11*(U13/(U13+U21)) + U15*(U21/(U13+U21))</f>
        <v>0.61</v>
      </c>
    </row>
    <row r="24" ht="15.75" customHeight="1">
      <c r="A24" s="52" t="s">
        <v>86</v>
      </c>
      <c r="B24" s="59">
        <f>B12*(B13/(B13+B21)) + B16*(B21/(B13+B21))</f>
        <v>0.25</v>
      </c>
      <c r="C24" s="52" t="s">
        <v>86</v>
      </c>
      <c r="D24" s="59">
        <f>D12*(D13/(D13+D21)) + D16*(D21/(D13+D21))</f>
        <v>0.25</v>
      </c>
      <c r="E24" s="52" t="s">
        <v>86</v>
      </c>
      <c r="F24" s="1">
        <f>F12*(F13/(F13+F21)) + F16*(F21/(F13+F21))</f>
        <v>0.45</v>
      </c>
      <c r="G24" s="52"/>
      <c r="H24" s="59"/>
      <c r="I24" s="1" t="s">
        <v>86</v>
      </c>
      <c r="J24" s="59">
        <f>J12*(J13/(J13+J21)) + J16*(J21/(J13+J21))</f>
        <v>0.25</v>
      </c>
      <c r="K24" s="5"/>
      <c r="L24" s="52" t="s">
        <v>86</v>
      </c>
      <c r="M24" s="59">
        <f>M12*(M13/(M13+M21)) + M16*(M21/(M13+M21))</f>
        <v>0.25</v>
      </c>
      <c r="N24" s="52" t="s">
        <v>86</v>
      </c>
      <c r="O24" s="59">
        <f>O12*(O13/(O13+O21)) + O16*(O21/(O13+O21))</f>
        <v>0.25</v>
      </c>
      <c r="P24" s="52" t="s">
        <v>86</v>
      </c>
      <c r="Q24" s="1">
        <f>Q12*(Q13/(Q13+Q21)) + Q16*(Q21/(Q13+Q21))</f>
        <v>0.45</v>
      </c>
      <c r="R24" s="52"/>
      <c r="S24" s="59"/>
      <c r="T24" s="1" t="s">
        <v>86</v>
      </c>
      <c r="U24" s="59">
        <f>U12*(U13/(U13+U21)) + U16*(U21/(U13+U21))</f>
        <v>0.25</v>
      </c>
    </row>
    <row r="25" ht="15.75" customHeight="1">
      <c r="A25" s="52" t="s">
        <v>87</v>
      </c>
      <c r="B25" s="59">
        <f>B11*(B14/(B14+B22)) + B15*(B22/(B14+B22))</f>
        <v>0.61</v>
      </c>
      <c r="C25" s="52" t="s">
        <v>87</v>
      </c>
      <c r="D25" s="59">
        <f>D11*(D14/(D14+D22)) + D15*(D22/(D14+D22))</f>
        <v>0.61</v>
      </c>
      <c r="E25" s="52" t="s">
        <v>87</v>
      </c>
      <c r="F25" s="1">
        <f>F11*(F14/(F14+F22)) + F15*(F22/(F14+F22))</f>
        <v>0.09</v>
      </c>
      <c r="G25" s="52"/>
      <c r="H25" s="59"/>
      <c r="I25" s="1" t="s">
        <v>87</v>
      </c>
      <c r="J25" s="59">
        <f>J11*(J14/(J14+J22)) + J15*(J22/(J14+J22))</f>
        <v>0.61</v>
      </c>
      <c r="K25" s="5"/>
      <c r="L25" s="52" t="s">
        <v>87</v>
      </c>
      <c r="M25" s="59">
        <f>M11*(M14/(M14+M22)) + M15*(M22/(M14+M22))</f>
        <v>0.61</v>
      </c>
      <c r="N25" s="52" t="s">
        <v>87</v>
      </c>
      <c r="O25" s="59">
        <f>O11*(O14/(O14+O22)) + O15*(O22/(O14+O22))</f>
        <v>0.61</v>
      </c>
      <c r="P25" s="52" t="s">
        <v>87</v>
      </c>
      <c r="Q25" s="1">
        <f>Q11*(Q14/(Q14+Q22)) + Q15*(Q22/(Q14+Q22))</f>
        <v>0.09</v>
      </c>
      <c r="R25" s="52"/>
      <c r="S25" s="59"/>
      <c r="T25" s="1" t="s">
        <v>87</v>
      </c>
      <c r="U25" s="59">
        <f>U11*(U14/(U14+U22)) + U15*(U22/(U14+U22))</f>
        <v>0.61</v>
      </c>
    </row>
    <row r="26" ht="15.75" customHeight="1">
      <c r="A26" s="52" t="s">
        <v>88</v>
      </c>
      <c r="B26" s="59">
        <f>B12*(B14/(B14+B22)) + B16*(B22/(B14+B22))</f>
        <v>0.25</v>
      </c>
      <c r="C26" s="52" t="s">
        <v>88</v>
      </c>
      <c r="D26" s="59">
        <f>D12*(D14/(D14+D22)) + D16*(D22/(D14+D22))</f>
        <v>0.25</v>
      </c>
      <c r="E26" s="52" t="s">
        <v>88</v>
      </c>
      <c r="F26" s="1">
        <f>F12*(F14/(F14+F22)) + F16*(F22/(F14+F22))</f>
        <v>0.45</v>
      </c>
      <c r="G26" s="52"/>
      <c r="H26" s="59"/>
      <c r="I26" s="1" t="s">
        <v>88</v>
      </c>
      <c r="J26" s="59">
        <f>J12*(J14/(J14+J22)) + J16*(J22/(J14+J22))</f>
        <v>0.25</v>
      </c>
      <c r="K26" s="5"/>
      <c r="L26" s="52" t="s">
        <v>88</v>
      </c>
      <c r="M26" s="59">
        <f>M12*(M14/(M14+M22)) + M16*(M22/(M14+M22))</f>
        <v>0.25</v>
      </c>
      <c r="N26" s="52" t="s">
        <v>88</v>
      </c>
      <c r="O26" s="59">
        <f>O12*(O14/(O14+O22)) + O16*(O22/(O14+O22))</f>
        <v>0.25</v>
      </c>
      <c r="P26" s="52" t="s">
        <v>88</v>
      </c>
      <c r="Q26" s="1">
        <f>Q12*(Q14/(Q14+Q22)) + Q16*(Q22/(Q14+Q22))</f>
        <v>0.45</v>
      </c>
      <c r="R26" s="52"/>
      <c r="S26" s="59"/>
      <c r="T26" s="1" t="s">
        <v>88</v>
      </c>
      <c r="U26" s="59">
        <f>U12*(U14/(U14+U22)) + U16*(U22/(U14+U22))</f>
        <v>0.25</v>
      </c>
    </row>
    <row r="27" ht="15.75" customHeight="1">
      <c r="A27" s="60" t="s">
        <v>89</v>
      </c>
      <c r="B27" s="59">
        <v>1371.0</v>
      </c>
      <c r="C27" s="60" t="s">
        <v>89</v>
      </c>
      <c r="D27" s="59">
        <v>1371.0</v>
      </c>
      <c r="E27" s="60" t="s">
        <v>89</v>
      </c>
      <c r="F27" s="1">
        <v>1371.0</v>
      </c>
      <c r="G27" s="52"/>
      <c r="H27" s="59"/>
      <c r="I27" s="61" t="s">
        <v>89</v>
      </c>
      <c r="J27" s="59">
        <v>1371.0</v>
      </c>
      <c r="K27" s="5"/>
      <c r="L27" s="60" t="s">
        <v>89</v>
      </c>
      <c r="M27" s="59">
        <v>1371.0</v>
      </c>
      <c r="N27" s="60" t="s">
        <v>89</v>
      </c>
      <c r="O27" s="59">
        <v>1371.0</v>
      </c>
      <c r="P27" s="60" t="s">
        <v>89</v>
      </c>
      <c r="Q27" s="1">
        <v>1371.0</v>
      </c>
      <c r="R27" s="52"/>
      <c r="S27" s="59"/>
      <c r="T27" s="61" t="s">
        <v>89</v>
      </c>
      <c r="U27" s="59">
        <v>1371.0</v>
      </c>
    </row>
    <row r="28" ht="15.75" customHeight="1">
      <c r="A28" s="52" t="s">
        <v>90</v>
      </c>
      <c r="B28" s="59">
        <f>B13+B21</f>
        <v>3.09</v>
      </c>
      <c r="C28" s="52" t="s">
        <v>90</v>
      </c>
      <c r="D28" s="59">
        <f>D13+D21</f>
        <v>3.9</v>
      </c>
      <c r="E28" s="52" t="s">
        <v>90</v>
      </c>
      <c r="F28" s="1">
        <f>F13+F21</f>
        <v>3.36</v>
      </c>
      <c r="G28" s="52"/>
      <c r="H28" s="59"/>
      <c r="I28" s="1" t="s">
        <v>90</v>
      </c>
      <c r="J28" s="59">
        <f>J13+J21</f>
        <v>3.7268</v>
      </c>
      <c r="K28" s="5"/>
      <c r="L28" s="52" t="s">
        <v>90</v>
      </c>
      <c r="M28" s="59">
        <f>M13+M21</f>
        <v>3.09</v>
      </c>
      <c r="N28" s="52" t="s">
        <v>90</v>
      </c>
      <c r="O28" s="59">
        <f>O13+O21</f>
        <v>3.9</v>
      </c>
      <c r="P28" s="52" t="s">
        <v>90</v>
      </c>
      <c r="Q28" s="1">
        <f>Q13+Q21</f>
        <v>3.36</v>
      </c>
      <c r="R28" s="52"/>
      <c r="S28" s="59"/>
      <c r="T28" s="1" t="s">
        <v>90</v>
      </c>
      <c r="U28" s="59">
        <f>U13+U21</f>
        <v>3.7268</v>
      </c>
    </row>
    <row r="29" ht="15.75" customHeight="1">
      <c r="A29" s="52" t="s">
        <v>91</v>
      </c>
      <c r="B29" s="59">
        <f>B23*B27*B28</f>
        <v>2584.1979</v>
      </c>
      <c r="C29" s="52" t="s">
        <v>91</v>
      </c>
      <c r="D29" s="59">
        <f>D23*D27*D28</f>
        <v>3261.609</v>
      </c>
      <c r="E29" s="52" t="s">
        <v>91</v>
      </c>
      <c r="F29" s="1">
        <f>F23*F27*F28</f>
        <v>414.5904</v>
      </c>
      <c r="G29" s="52"/>
      <c r="H29" s="59"/>
      <c r="I29" s="1" t="s">
        <v>91</v>
      </c>
      <c r="J29" s="59">
        <f>J23*J27*J28</f>
        <v>3116.760108</v>
      </c>
      <c r="K29" s="5"/>
      <c r="L29" s="52" t="s">
        <v>91</v>
      </c>
      <c r="M29" s="59">
        <f>M23*M27*M28</f>
        <v>2584.1979</v>
      </c>
      <c r="N29" s="52" t="s">
        <v>91</v>
      </c>
      <c r="O29" s="59">
        <f>O23*O27*O28</f>
        <v>3261.609</v>
      </c>
      <c r="P29" s="52" t="s">
        <v>91</v>
      </c>
      <c r="Q29" s="1">
        <f>Q23*Q27*Q28</f>
        <v>414.5904</v>
      </c>
      <c r="R29" s="52"/>
      <c r="S29" s="59"/>
      <c r="T29" s="1" t="s">
        <v>91</v>
      </c>
      <c r="U29" s="59">
        <f>U23*U27*U28</f>
        <v>3116.760108</v>
      </c>
    </row>
    <row r="30" ht="15.75" customHeight="1">
      <c r="A30" s="60" t="s">
        <v>89</v>
      </c>
      <c r="B30" s="62">
        <f>B27</f>
        <v>1371</v>
      </c>
      <c r="C30" s="60" t="s">
        <v>89</v>
      </c>
      <c r="D30" s="62">
        <f>D27</f>
        <v>1371</v>
      </c>
      <c r="E30" s="60" t="s">
        <v>89</v>
      </c>
      <c r="F30" s="63">
        <f>F27</f>
        <v>1371</v>
      </c>
      <c r="G30" s="52"/>
      <c r="H30" s="59"/>
      <c r="I30" s="61" t="s">
        <v>89</v>
      </c>
      <c r="J30" s="62">
        <f>J27</f>
        <v>1371</v>
      </c>
      <c r="K30" s="5"/>
      <c r="L30" s="60" t="s">
        <v>89</v>
      </c>
      <c r="M30" s="62">
        <f>M27</f>
        <v>1371</v>
      </c>
      <c r="N30" s="60" t="s">
        <v>89</v>
      </c>
      <c r="O30" s="62">
        <f>O27</f>
        <v>1371</v>
      </c>
      <c r="P30" s="60" t="s">
        <v>89</v>
      </c>
      <c r="Q30" s="63">
        <f>Q27</f>
        <v>1371</v>
      </c>
      <c r="R30" s="52"/>
      <c r="S30" s="59"/>
      <c r="T30" s="61" t="s">
        <v>89</v>
      </c>
      <c r="U30" s="62">
        <f>U27</f>
        <v>1371</v>
      </c>
    </row>
    <row r="31" ht="15.75" customHeight="1">
      <c r="A31" s="52" t="s">
        <v>92</v>
      </c>
      <c r="B31" s="59">
        <v>0.35</v>
      </c>
      <c r="C31" s="52" t="s">
        <v>92</v>
      </c>
      <c r="D31" s="59">
        <v>0.35</v>
      </c>
      <c r="E31" s="52" t="s">
        <v>92</v>
      </c>
      <c r="F31" s="1">
        <v>0.35</v>
      </c>
      <c r="G31" s="52"/>
      <c r="H31" s="59"/>
      <c r="I31" s="1" t="s">
        <v>92</v>
      </c>
      <c r="J31" s="59">
        <v>0.35</v>
      </c>
      <c r="K31" s="5"/>
      <c r="L31" s="52" t="s">
        <v>92</v>
      </c>
      <c r="M31" s="59">
        <v>0.35</v>
      </c>
      <c r="N31" s="52" t="s">
        <v>92</v>
      </c>
      <c r="O31" s="59">
        <v>0.35</v>
      </c>
      <c r="P31" s="52" t="s">
        <v>92</v>
      </c>
      <c r="Q31" s="1">
        <v>0.35</v>
      </c>
      <c r="R31" s="52"/>
      <c r="S31" s="59"/>
      <c r="T31" s="1" t="s">
        <v>92</v>
      </c>
      <c r="U31" s="59">
        <v>0.35</v>
      </c>
    </row>
    <row r="32" ht="15.75" customHeight="1">
      <c r="A32" s="52" t="s">
        <v>93</v>
      </c>
      <c r="B32" s="59">
        <v>0.25</v>
      </c>
      <c r="C32" s="52" t="s">
        <v>93</v>
      </c>
      <c r="D32" s="59">
        <v>0.25</v>
      </c>
      <c r="E32" s="52" t="s">
        <v>93</v>
      </c>
      <c r="F32" s="1">
        <v>0.25</v>
      </c>
      <c r="G32" s="52"/>
      <c r="H32" s="59"/>
      <c r="I32" s="1" t="s">
        <v>93</v>
      </c>
      <c r="J32" s="59">
        <v>0.25</v>
      </c>
      <c r="K32" s="5"/>
      <c r="L32" s="52" t="s">
        <v>93</v>
      </c>
      <c r="M32" s="59">
        <v>0.25</v>
      </c>
      <c r="N32" s="52" t="s">
        <v>93</v>
      </c>
      <c r="O32" s="59">
        <v>0.25</v>
      </c>
      <c r="P32" s="52" t="s">
        <v>93</v>
      </c>
      <c r="Q32" s="1">
        <v>0.25</v>
      </c>
      <c r="R32" s="52"/>
      <c r="S32" s="59"/>
      <c r="T32" s="1" t="s">
        <v>93</v>
      </c>
      <c r="U32" s="59">
        <v>0.25</v>
      </c>
    </row>
    <row r="33" ht="15.75" customHeight="1">
      <c r="A33" s="52" t="s">
        <v>94</v>
      </c>
      <c r="B33" s="59">
        <f>6371*10^3</f>
        <v>6371000</v>
      </c>
      <c r="C33" s="52" t="s">
        <v>94</v>
      </c>
      <c r="D33" s="59">
        <f>6371*10^3</f>
        <v>6371000</v>
      </c>
      <c r="E33" s="52" t="s">
        <v>94</v>
      </c>
      <c r="F33" s="1">
        <f>6371*10^3</f>
        <v>6371000</v>
      </c>
      <c r="G33" s="52"/>
      <c r="H33" s="59"/>
      <c r="I33" s="1" t="s">
        <v>94</v>
      </c>
      <c r="J33" s="59">
        <f>6371*10^3</f>
        <v>6371000</v>
      </c>
      <c r="K33" s="5"/>
      <c r="L33" s="52" t="s">
        <v>94</v>
      </c>
      <c r="M33" s="59">
        <f>6371*10^3</f>
        <v>6371000</v>
      </c>
      <c r="N33" s="52" t="s">
        <v>94</v>
      </c>
      <c r="O33" s="59">
        <f>6371*10^3</f>
        <v>6371000</v>
      </c>
      <c r="P33" s="52" t="s">
        <v>94</v>
      </c>
      <c r="Q33" s="1">
        <f>6371*10^3</f>
        <v>6371000</v>
      </c>
      <c r="R33" s="52"/>
      <c r="S33" s="59"/>
      <c r="T33" s="1" t="s">
        <v>94</v>
      </c>
      <c r="U33" s="59">
        <f>6371*10^3</f>
        <v>6371000</v>
      </c>
    </row>
    <row r="34" ht="15.75" customHeight="1">
      <c r="A34" s="52" t="s">
        <v>95</v>
      </c>
      <c r="B34" s="59">
        <f>200*10^3</f>
        <v>200000</v>
      </c>
      <c r="C34" s="52" t="s">
        <v>95</v>
      </c>
      <c r="D34" s="59">
        <f>200*10^3</f>
        <v>200000</v>
      </c>
      <c r="E34" s="52" t="s">
        <v>95</v>
      </c>
      <c r="F34" s="1">
        <f>200*10^3</f>
        <v>200000</v>
      </c>
      <c r="G34" s="52"/>
      <c r="H34" s="59"/>
      <c r="I34" s="1" t="s">
        <v>95</v>
      </c>
      <c r="J34" s="59">
        <f>200*10^3</f>
        <v>200000</v>
      </c>
      <c r="K34" s="5"/>
      <c r="L34" s="52" t="s">
        <v>95</v>
      </c>
      <c r="M34" s="59">
        <f>200*10^3</f>
        <v>200000</v>
      </c>
      <c r="N34" s="52" t="s">
        <v>95</v>
      </c>
      <c r="O34" s="59">
        <f>200*10^3</f>
        <v>200000</v>
      </c>
      <c r="P34" s="52" t="s">
        <v>95</v>
      </c>
      <c r="Q34" s="1">
        <f>200*10^3</f>
        <v>200000</v>
      </c>
      <c r="R34" s="52"/>
      <c r="S34" s="59"/>
      <c r="T34" s="1" t="s">
        <v>95</v>
      </c>
      <c r="U34" s="59">
        <f>200*10^3</f>
        <v>200000</v>
      </c>
    </row>
    <row r="35" ht="15.75" customHeight="1">
      <c r="A35" s="52" t="s">
        <v>96</v>
      </c>
      <c r="B35" s="59">
        <f>0.657+0.54*(B33)/(B33+B34)-0.196*((B33)/(B33+B34))^2</f>
        <v>0.9963137846</v>
      </c>
      <c r="C35" s="52" t="s">
        <v>96</v>
      </c>
      <c r="D35" s="59">
        <f>0.657+0.54*(D33)/(D33+D34)-0.196*((D33)/(D33+D34))^2</f>
        <v>0.9963137846</v>
      </c>
      <c r="E35" s="52" t="s">
        <v>96</v>
      </c>
      <c r="F35" s="1">
        <f>0.657+0.54*(F33)/(F33+F34)-0.196*((F33)/(F33+F34))^2</f>
        <v>0.9963137846</v>
      </c>
      <c r="G35" s="52"/>
      <c r="H35" s="59"/>
      <c r="I35" s="1" t="s">
        <v>96</v>
      </c>
      <c r="J35" s="59">
        <f>0.657+0.54*(J33)/(J33+J34)-0.196*((J33)/(J33+J34))^2</f>
        <v>0.9963137846</v>
      </c>
      <c r="K35" s="5"/>
      <c r="L35" s="52" t="s">
        <v>96</v>
      </c>
      <c r="M35" s="59">
        <f>0.657+0.54*(M33)/(M33+M34)-0.196*((M33)/(M33+M34))^2</f>
        <v>0.9963137846</v>
      </c>
      <c r="N35" s="52" t="s">
        <v>96</v>
      </c>
      <c r="O35" s="59">
        <f>0.657+0.54*(O33)/(O33+O34)-0.196*((O33)/(O33+O34))^2</f>
        <v>0.9963137846</v>
      </c>
      <c r="P35" s="52" t="s">
        <v>96</v>
      </c>
      <c r="Q35" s="1">
        <f>0.657+0.54*(Q33)/(Q33+Q34)-0.196*((Q33)/(Q33+Q34))^2</f>
        <v>0.9963137846</v>
      </c>
      <c r="R35" s="52"/>
      <c r="S35" s="59"/>
      <c r="T35" s="1" t="s">
        <v>96</v>
      </c>
      <c r="U35" s="59">
        <f>0.657+0.54*(U33)/(U33+U34)-0.196*((U33)/(U33+U34))^2</f>
        <v>0.9963137846</v>
      </c>
    </row>
    <row r="36" ht="15.75" customHeight="1">
      <c r="A36" s="52" t="s">
        <v>97</v>
      </c>
      <c r="B36" s="53">
        <f>PI()*(2/2)^2*4.5</f>
        <v>14.13716694</v>
      </c>
      <c r="C36" s="52" t="s">
        <v>97</v>
      </c>
      <c r="D36" s="53">
        <f>PI()*(2/2)^2*4.5</f>
        <v>14.13716694</v>
      </c>
      <c r="E36" s="52" t="s">
        <v>97</v>
      </c>
      <c r="F36" s="54">
        <f>PI()*(2/2)^2*4.5</f>
        <v>14.13716694</v>
      </c>
      <c r="G36" s="52"/>
      <c r="H36" s="59"/>
      <c r="I36" s="1" t="s">
        <v>97</v>
      </c>
      <c r="J36" s="53">
        <f>PI()*(3.04/2)^2*1.4</f>
        <v>10.16166993</v>
      </c>
      <c r="K36" s="5"/>
      <c r="L36" s="52" t="s">
        <v>97</v>
      </c>
      <c r="M36" s="53">
        <f>PI()*(2/2)^2*4.5</f>
        <v>14.13716694</v>
      </c>
      <c r="N36" s="52" t="s">
        <v>97</v>
      </c>
      <c r="O36" s="53">
        <f>PI()*(2/2)^2*4.5</f>
        <v>14.13716694</v>
      </c>
      <c r="P36" s="52" t="s">
        <v>97</v>
      </c>
      <c r="Q36" s="54">
        <f>PI()*(2/2)^2*4.5</f>
        <v>14.13716694</v>
      </c>
      <c r="R36" s="52"/>
      <c r="S36" s="59"/>
      <c r="T36" s="1" t="s">
        <v>97</v>
      </c>
      <c r="U36" s="53">
        <f>PI()*(3.04/2)^2*1.4</f>
        <v>10.16166993</v>
      </c>
    </row>
    <row r="37" ht="15.75" customHeight="1">
      <c r="A37" s="52" t="s">
        <v>98</v>
      </c>
      <c r="B37" s="59">
        <f>(3*B36/4/PI())^(1/3)</f>
        <v>1.5</v>
      </c>
      <c r="C37" s="52" t="s">
        <v>98</v>
      </c>
      <c r="D37" s="59">
        <f>(3*D36/4/PI())^(1/3)</f>
        <v>1.5</v>
      </c>
      <c r="E37" s="52" t="s">
        <v>98</v>
      </c>
      <c r="F37" s="1">
        <f>(3*F36/4/PI())^(1/3)</f>
        <v>1.5</v>
      </c>
      <c r="G37" s="52"/>
      <c r="H37" s="59"/>
      <c r="I37" s="1" t="s">
        <v>98</v>
      </c>
      <c r="J37" s="59">
        <f>(3*J36/4/PI())^(1/3)</f>
        <v>1.343668569</v>
      </c>
      <c r="K37" s="5"/>
      <c r="L37" s="52" t="s">
        <v>98</v>
      </c>
      <c r="M37" s="59">
        <f>(3*M36/4/PI())^(1/3)</f>
        <v>1.5</v>
      </c>
      <c r="N37" s="52" t="s">
        <v>98</v>
      </c>
      <c r="O37" s="59">
        <f>(3*O36/4/PI())^(1/3)</f>
        <v>1.5</v>
      </c>
      <c r="P37" s="52" t="s">
        <v>98</v>
      </c>
      <c r="Q37" s="1">
        <f>(3*Q36/4/PI())^(1/3)</f>
        <v>1.5</v>
      </c>
      <c r="R37" s="52"/>
      <c r="S37" s="59"/>
      <c r="T37" s="1" t="s">
        <v>98</v>
      </c>
      <c r="U37" s="59">
        <f>(3*U36/4/PI())^(1/3)</f>
        <v>1.343668569</v>
      </c>
    </row>
    <row r="38" ht="15.75" customHeight="1">
      <c r="A38" s="52" t="s">
        <v>99</v>
      </c>
      <c r="B38" s="59">
        <f>0.5*(1-SQRT(1-(1/(B34/B33+B37/B33+1)^2)))</f>
        <v>0.3775790382</v>
      </c>
      <c r="C38" s="52" t="s">
        <v>99</v>
      </c>
      <c r="D38" s="59">
        <f>0.5*(1-SQRT(1-(1/(D34/D33+D37/D33+1)^2)))</f>
        <v>0.3775790382</v>
      </c>
      <c r="E38" s="52" t="s">
        <v>99</v>
      </c>
      <c r="F38" s="1">
        <f>0.5*(1-SQRT(1-(1/(F34/F33+F37/F33+1)^2)))</f>
        <v>0.3775790382</v>
      </c>
      <c r="G38" s="52"/>
      <c r="H38" s="59"/>
      <c r="I38" s="1" t="s">
        <v>99</v>
      </c>
      <c r="J38" s="59">
        <f>0.5*(1-SQRT(1-(1/(J34/J33+J37/J33+1)^2)))</f>
        <v>0.3775790838</v>
      </c>
      <c r="K38" s="5"/>
      <c r="L38" s="52" t="s">
        <v>99</v>
      </c>
      <c r="M38" s="59">
        <f>0.5*(1-SQRT(1-(1/(M34/M33+M37/M33+1)^2)))</f>
        <v>0.3775790382</v>
      </c>
      <c r="N38" s="52" t="s">
        <v>99</v>
      </c>
      <c r="O38" s="59">
        <f>0.5*(1-SQRT(1-(1/(O34/O33+O37/O33+1)^2)))</f>
        <v>0.3775790382</v>
      </c>
      <c r="P38" s="52" t="s">
        <v>99</v>
      </c>
      <c r="Q38" s="1">
        <f>0.5*(1-SQRT(1-(1/(Q34/Q33+Q37/Q33+1)^2)))</f>
        <v>0.3775790382</v>
      </c>
      <c r="R38" s="52"/>
      <c r="S38" s="59"/>
      <c r="T38" s="1" t="s">
        <v>99</v>
      </c>
      <c r="U38" s="59">
        <f>0.5*(1-SQRT(1-(1/(U34/U33+U37/U33+1)^2)))</f>
        <v>0.3775790838</v>
      </c>
    </row>
    <row r="39" ht="15.75" customHeight="1">
      <c r="A39" s="52" t="s">
        <v>100</v>
      </c>
      <c r="B39" s="62">
        <f>B28</f>
        <v>3.09</v>
      </c>
      <c r="C39" s="52" t="s">
        <v>100</v>
      </c>
      <c r="D39" s="62">
        <f>D28</f>
        <v>3.9</v>
      </c>
      <c r="E39" s="52" t="s">
        <v>100</v>
      </c>
      <c r="F39" s="63">
        <f>F28</f>
        <v>3.36</v>
      </c>
      <c r="G39" s="52"/>
      <c r="H39" s="59"/>
      <c r="I39" s="1" t="s">
        <v>100</v>
      </c>
      <c r="J39" s="62">
        <f>J28</f>
        <v>3.7268</v>
      </c>
      <c r="K39" s="5"/>
      <c r="L39" s="52" t="s">
        <v>100</v>
      </c>
      <c r="M39" s="62">
        <f>M28</f>
        <v>3.09</v>
      </c>
      <c r="N39" s="52" t="s">
        <v>100</v>
      </c>
      <c r="O39" s="62">
        <f>O28</f>
        <v>3.9</v>
      </c>
      <c r="P39" s="52" t="s">
        <v>100</v>
      </c>
      <c r="Q39" s="63">
        <f>Q28</f>
        <v>3.36</v>
      </c>
      <c r="R39" s="52"/>
      <c r="S39" s="59"/>
      <c r="T39" s="1" t="s">
        <v>100</v>
      </c>
      <c r="U39" s="62">
        <f>U28</f>
        <v>3.7268</v>
      </c>
    </row>
    <row r="40" ht="15.75" customHeight="1">
      <c r="A40" s="52" t="s">
        <v>101</v>
      </c>
      <c r="B40" s="59">
        <f>B30*B31*B38*B39*B23*B35</f>
        <v>340.2497607</v>
      </c>
      <c r="C40" s="52" t="s">
        <v>101</v>
      </c>
      <c r="D40" s="59">
        <f>D30*D31*D38*D39*D23*D35</f>
        <v>429.4414456</v>
      </c>
      <c r="E40" s="52" t="s">
        <v>101</v>
      </c>
      <c r="F40" s="1">
        <f>F30*F31*F38*F39*F23*F35</f>
        <v>54.58726068</v>
      </c>
      <c r="G40" s="52">
        <f>306+160</f>
        <v>466</v>
      </c>
      <c r="H40" s="59"/>
      <c r="I40" s="1" t="s">
        <v>101</v>
      </c>
      <c r="J40" s="59">
        <f>J30*J31*J38*J39*J23*J35</f>
        <v>410.3698905</v>
      </c>
      <c r="K40" s="5"/>
      <c r="L40" s="52" t="s">
        <v>101</v>
      </c>
      <c r="M40" s="59">
        <f>M30*M31*M38*M39*M23*M35</f>
        <v>340.2497607</v>
      </c>
      <c r="N40" s="52" t="s">
        <v>101</v>
      </c>
      <c r="O40" s="59">
        <f>O30*O31*O38*O39*O23*O35</f>
        <v>429.4414456</v>
      </c>
      <c r="P40" s="52" t="s">
        <v>101</v>
      </c>
      <c r="Q40" s="1">
        <f>Q30*Q31*Q38*Q39*Q23*Q35</f>
        <v>54.58726068</v>
      </c>
      <c r="R40" s="52"/>
      <c r="S40" s="59"/>
      <c r="T40" s="1" t="s">
        <v>101</v>
      </c>
      <c r="U40" s="59">
        <f>U30*U31*U38*U39*U23*U35</f>
        <v>410.3698905</v>
      </c>
    </row>
    <row r="41" ht="15.75" customHeight="1">
      <c r="A41" s="52" t="s">
        <v>102</v>
      </c>
      <c r="B41" s="59">
        <f>B30*B32*B38*B39*B23*B35</f>
        <v>243.0355434</v>
      </c>
      <c r="C41" s="52" t="s">
        <v>102</v>
      </c>
      <c r="D41" s="59">
        <f>D30*D32*D38*D39*D23*D35</f>
        <v>306.7438897</v>
      </c>
      <c r="E41" s="52" t="s">
        <v>102</v>
      </c>
      <c r="F41" s="1">
        <f>F30*F32*F38*F39*F23*F35</f>
        <v>38.99090048</v>
      </c>
      <c r="G41" s="52"/>
      <c r="H41" s="59"/>
      <c r="I41" s="1" t="s">
        <v>102</v>
      </c>
      <c r="J41" s="59">
        <f>J30*J32*J38*J39*J23*J35</f>
        <v>293.1213504</v>
      </c>
      <c r="K41" s="5"/>
      <c r="L41" s="52" t="s">
        <v>102</v>
      </c>
      <c r="M41" s="59">
        <f>M30*M32*M38*M39*M23*M35</f>
        <v>243.0355434</v>
      </c>
      <c r="N41" s="52" t="s">
        <v>102</v>
      </c>
      <c r="O41" s="59">
        <f>O30*O32*O38*O39*O23*O35</f>
        <v>306.7438897</v>
      </c>
      <c r="P41" s="52" t="s">
        <v>102</v>
      </c>
      <c r="Q41" s="1">
        <f>Q30*Q32*Q38*Q39*Q23*Q35</f>
        <v>38.99090048</v>
      </c>
      <c r="R41" s="52"/>
      <c r="S41" s="59"/>
      <c r="T41" s="1" t="s">
        <v>102</v>
      </c>
      <c r="U41" s="59">
        <f>U30*U32*U38*U39*U23*U35</f>
        <v>293.1213504</v>
      </c>
    </row>
    <row r="42" ht="15.75" customHeight="1">
      <c r="A42" s="60" t="s">
        <v>103</v>
      </c>
      <c r="B42" s="64">
        <v>0.0</v>
      </c>
      <c r="C42" s="60" t="s">
        <v>103</v>
      </c>
      <c r="D42" s="64">
        <v>500.0</v>
      </c>
      <c r="E42" s="60" t="s">
        <v>103</v>
      </c>
      <c r="F42" s="65">
        <f>757.24</f>
        <v>757.24</v>
      </c>
      <c r="G42" s="52"/>
      <c r="H42" s="66"/>
      <c r="I42" s="61" t="s">
        <v>103</v>
      </c>
      <c r="J42" s="64">
        <v>57.6</v>
      </c>
      <c r="K42" s="5"/>
      <c r="L42" s="60" t="s">
        <v>103</v>
      </c>
      <c r="M42" s="64">
        <v>0.0</v>
      </c>
      <c r="N42" s="60" t="s">
        <v>103</v>
      </c>
      <c r="O42" s="64">
        <v>500.0</v>
      </c>
      <c r="P42" s="60" t="s">
        <v>103</v>
      </c>
      <c r="Q42" s="65">
        <f>757.24</f>
        <v>757.24</v>
      </c>
      <c r="R42" s="52"/>
      <c r="S42" s="66"/>
      <c r="T42" s="61" t="s">
        <v>103</v>
      </c>
      <c r="U42" s="64">
        <v>57.6</v>
      </c>
    </row>
    <row r="43" ht="15.75" customHeight="1">
      <c r="A43" s="52" t="s">
        <v>104</v>
      </c>
      <c r="B43" s="53">
        <v>0.0</v>
      </c>
      <c r="C43" s="52" t="s">
        <v>104</v>
      </c>
      <c r="D43" s="53">
        <v>500.0</v>
      </c>
      <c r="E43" s="52" t="s">
        <v>104</v>
      </c>
      <c r="F43" s="54">
        <f>F42/2</f>
        <v>378.62</v>
      </c>
      <c r="G43" s="52"/>
      <c r="H43" s="59"/>
      <c r="I43" s="1" t="s">
        <v>104</v>
      </c>
      <c r="J43" s="53">
        <f>J42/2</f>
        <v>28.8</v>
      </c>
      <c r="K43" s="5"/>
      <c r="L43" s="52" t="s">
        <v>104</v>
      </c>
      <c r="M43" s="53">
        <v>0.0</v>
      </c>
      <c r="N43" s="52" t="s">
        <v>104</v>
      </c>
      <c r="O43" s="53">
        <v>500.0</v>
      </c>
      <c r="P43" s="52" t="s">
        <v>104</v>
      </c>
      <c r="Q43" s="54">
        <f>Q42/2</f>
        <v>378.62</v>
      </c>
      <c r="R43" s="52"/>
      <c r="S43" s="59"/>
      <c r="T43" s="1" t="s">
        <v>104</v>
      </c>
      <c r="U43" s="53">
        <f>U42/2</f>
        <v>28.8</v>
      </c>
    </row>
    <row r="44" ht="15.75" customHeight="1">
      <c r="A44" s="60" t="s">
        <v>105</v>
      </c>
      <c r="B44" s="59">
        <v>258.0</v>
      </c>
      <c r="C44" s="60" t="s">
        <v>105</v>
      </c>
      <c r="D44" s="59">
        <v>258.0</v>
      </c>
      <c r="E44" s="60" t="s">
        <v>105</v>
      </c>
      <c r="F44" s="1">
        <v>258.0</v>
      </c>
      <c r="G44" s="52"/>
      <c r="H44" s="59"/>
      <c r="I44" s="61" t="s">
        <v>105</v>
      </c>
      <c r="J44" s="59">
        <v>258.0</v>
      </c>
      <c r="K44" s="5"/>
      <c r="L44" s="60" t="s">
        <v>105</v>
      </c>
      <c r="M44" s="59">
        <v>258.0</v>
      </c>
      <c r="N44" s="60" t="s">
        <v>105</v>
      </c>
      <c r="O44" s="59">
        <v>258.0</v>
      </c>
      <c r="P44" s="60" t="s">
        <v>105</v>
      </c>
      <c r="Q44" s="1">
        <v>258.0</v>
      </c>
      <c r="R44" s="52"/>
      <c r="S44" s="59"/>
      <c r="T44" s="61" t="s">
        <v>105</v>
      </c>
      <c r="U44" s="59">
        <v>258.0</v>
      </c>
    </row>
    <row r="45" ht="15.75" customHeight="1">
      <c r="A45" s="52" t="s">
        <v>106</v>
      </c>
      <c r="B45" s="59">
        <v>216.0</v>
      </c>
      <c r="C45" s="52" t="s">
        <v>106</v>
      </c>
      <c r="D45" s="59">
        <v>216.0</v>
      </c>
      <c r="E45" s="52" t="s">
        <v>106</v>
      </c>
      <c r="F45" s="1">
        <v>216.0</v>
      </c>
      <c r="G45" s="52"/>
      <c r="H45" s="59"/>
      <c r="I45" s="1" t="s">
        <v>106</v>
      </c>
      <c r="J45" s="59">
        <v>216.0</v>
      </c>
      <c r="K45" s="5"/>
      <c r="L45" s="52" t="s">
        <v>106</v>
      </c>
      <c r="M45" s="59">
        <v>216.0</v>
      </c>
      <c r="N45" s="52" t="s">
        <v>106</v>
      </c>
      <c r="O45" s="59">
        <v>216.0</v>
      </c>
      <c r="P45" s="52" t="s">
        <v>106</v>
      </c>
      <c r="Q45" s="1">
        <v>216.0</v>
      </c>
      <c r="R45" s="52"/>
      <c r="S45" s="59"/>
      <c r="T45" s="1" t="s">
        <v>106</v>
      </c>
      <c r="U45" s="59">
        <v>216.0</v>
      </c>
    </row>
    <row r="46" ht="15.75" customHeight="1">
      <c r="A46" s="52" t="s">
        <v>99</v>
      </c>
      <c r="B46" s="62">
        <f>B38</f>
        <v>0.3775790382</v>
      </c>
      <c r="C46" s="52" t="s">
        <v>99</v>
      </c>
      <c r="D46" s="62">
        <f>D38</f>
        <v>0.3775790382</v>
      </c>
      <c r="E46" s="52" t="s">
        <v>99</v>
      </c>
      <c r="F46" s="63">
        <f>F38</f>
        <v>0.3775790382</v>
      </c>
      <c r="G46" s="52"/>
      <c r="H46" s="59"/>
      <c r="I46" s="1" t="s">
        <v>99</v>
      </c>
      <c r="J46" s="62">
        <f>J38</f>
        <v>0.3775790838</v>
      </c>
      <c r="K46" s="5"/>
      <c r="L46" s="52" t="s">
        <v>99</v>
      </c>
      <c r="M46" s="62">
        <f>M38</f>
        <v>0.3775790382</v>
      </c>
      <c r="N46" s="52" t="s">
        <v>99</v>
      </c>
      <c r="O46" s="62">
        <f>O38</f>
        <v>0.3775790382</v>
      </c>
      <c r="P46" s="52" t="s">
        <v>99</v>
      </c>
      <c r="Q46" s="63">
        <f>Q38</f>
        <v>0.3775790382</v>
      </c>
      <c r="R46" s="52"/>
      <c r="S46" s="59"/>
      <c r="T46" s="1" t="s">
        <v>99</v>
      </c>
      <c r="U46" s="62">
        <f>U38</f>
        <v>0.3775790838</v>
      </c>
    </row>
    <row r="47" ht="15.75" customHeight="1">
      <c r="A47" s="52" t="s">
        <v>100</v>
      </c>
      <c r="B47" s="62">
        <f>B28</f>
        <v>3.09</v>
      </c>
      <c r="C47" s="52" t="s">
        <v>100</v>
      </c>
      <c r="D47" s="62">
        <f>D28</f>
        <v>3.9</v>
      </c>
      <c r="E47" s="52" t="s">
        <v>100</v>
      </c>
      <c r="F47" s="63">
        <f>F28</f>
        <v>3.36</v>
      </c>
      <c r="G47" s="52"/>
      <c r="H47" s="59"/>
      <c r="I47" s="1" t="s">
        <v>100</v>
      </c>
      <c r="J47" s="62">
        <f>J28</f>
        <v>3.7268</v>
      </c>
      <c r="K47" s="5"/>
      <c r="L47" s="52" t="s">
        <v>100</v>
      </c>
      <c r="M47" s="62">
        <f>M28</f>
        <v>3.09</v>
      </c>
      <c r="N47" s="52" t="s">
        <v>100</v>
      </c>
      <c r="O47" s="62">
        <f>O28</f>
        <v>3.9</v>
      </c>
      <c r="P47" s="52" t="s">
        <v>100</v>
      </c>
      <c r="Q47" s="63">
        <f>Q28</f>
        <v>3.36</v>
      </c>
      <c r="R47" s="52"/>
      <c r="S47" s="59"/>
      <c r="T47" s="1" t="s">
        <v>100</v>
      </c>
      <c r="U47" s="62">
        <f>U28</f>
        <v>3.7268</v>
      </c>
    </row>
    <row r="48" ht="15.75" customHeight="1">
      <c r="A48" s="52" t="s">
        <v>107</v>
      </c>
      <c r="B48" s="59">
        <f>B44*B46*B47*B23</f>
        <v>183.6182721</v>
      </c>
      <c r="C48" s="52" t="s">
        <v>107</v>
      </c>
      <c r="D48" s="59">
        <f>D44*D46*D47*D23</f>
        <v>231.7512172</v>
      </c>
      <c r="E48" s="52" t="s">
        <v>107</v>
      </c>
      <c r="F48" s="1">
        <f>F44*F46*F47*F23</f>
        <v>29.45841449</v>
      </c>
      <c r="G48" s="52"/>
      <c r="H48" s="59"/>
      <c r="I48" s="1" t="s">
        <v>107</v>
      </c>
      <c r="J48" s="59">
        <f>J44*J46*J47*J23</f>
        <v>221.459113</v>
      </c>
      <c r="K48" s="5"/>
      <c r="L48" s="52" t="s">
        <v>107</v>
      </c>
      <c r="M48" s="59">
        <f>M44*M46*M47*M23</f>
        <v>183.6182721</v>
      </c>
      <c r="N48" s="52" t="s">
        <v>107</v>
      </c>
      <c r="O48" s="59">
        <f>O44*O46*O47*O23</f>
        <v>231.7512172</v>
      </c>
      <c r="P48" s="52" t="s">
        <v>107</v>
      </c>
      <c r="Q48" s="1">
        <f>Q44*Q46*Q47*Q23</f>
        <v>29.45841449</v>
      </c>
      <c r="R48" s="52"/>
      <c r="S48" s="59"/>
      <c r="T48" s="1" t="s">
        <v>107</v>
      </c>
      <c r="U48" s="59">
        <f>U44*U46*U47*U23</f>
        <v>221.459113</v>
      </c>
    </row>
    <row r="49" ht="15.75" customHeight="1">
      <c r="A49" s="52" t="s">
        <v>108</v>
      </c>
      <c r="B49" s="59">
        <f>B45*B46*B47*B23</f>
        <v>153.7269255</v>
      </c>
      <c r="C49" s="52" t="s">
        <v>108</v>
      </c>
      <c r="D49" s="59">
        <f>D45*D46*D47*D23</f>
        <v>194.0242749</v>
      </c>
      <c r="E49" s="52" t="s">
        <v>108</v>
      </c>
      <c r="F49" s="1">
        <f>F45*F46*F47*F23</f>
        <v>24.66285865</v>
      </c>
      <c r="G49" s="52"/>
      <c r="H49" s="59"/>
      <c r="I49" s="1" t="s">
        <v>108</v>
      </c>
      <c r="J49" s="59">
        <f>J45*J46*J47*J23</f>
        <v>185.4076295</v>
      </c>
      <c r="K49" s="5"/>
      <c r="L49" s="52" t="s">
        <v>108</v>
      </c>
      <c r="M49" s="59">
        <f>M45*M46*M47*M23</f>
        <v>153.7269255</v>
      </c>
      <c r="N49" s="52" t="s">
        <v>108</v>
      </c>
      <c r="O49" s="59">
        <f>O45*O46*O47*O23</f>
        <v>194.0242749</v>
      </c>
      <c r="P49" s="52" t="s">
        <v>108</v>
      </c>
      <c r="Q49" s="1">
        <f>Q45*Q46*Q47*Q23</f>
        <v>24.66285865</v>
      </c>
      <c r="R49" s="52"/>
      <c r="S49" s="59"/>
      <c r="T49" s="1" t="s">
        <v>108</v>
      </c>
      <c r="U49" s="59">
        <f>U45*U46*U47*U23</f>
        <v>185.4076295</v>
      </c>
    </row>
    <row r="50" ht="15.75" customHeight="1">
      <c r="A50" s="60" t="s">
        <v>109</v>
      </c>
      <c r="B50" s="53">
        <v>-40.0</v>
      </c>
      <c r="C50" s="60" t="s">
        <v>109</v>
      </c>
      <c r="D50" s="53">
        <v>-40.0</v>
      </c>
      <c r="E50" s="60" t="s">
        <v>109</v>
      </c>
      <c r="F50" s="54">
        <v>-40.0</v>
      </c>
      <c r="G50" s="52"/>
      <c r="H50" s="59"/>
      <c r="I50" s="61" t="s">
        <v>109</v>
      </c>
      <c r="J50" s="53">
        <v>-40.0</v>
      </c>
      <c r="K50" s="5"/>
      <c r="L50" s="60" t="s">
        <v>109</v>
      </c>
      <c r="M50" s="53">
        <v>-40.0</v>
      </c>
      <c r="N50" s="60" t="s">
        <v>109</v>
      </c>
      <c r="O50" s="53">
        <v>-40.0</v>
      </c>
      <c r="P50" s="60" t="s">
        <v>109</v>
      </c>
      <c r="Q50" s="54">
        <v>-40.0</v>
      </c>
      <c r="R50" s="52"/>
      <c r="S50" s="59"/>
      <c r="T50" s="61" t="s">
        <v>109</v>
      </c>
      <c r="U50" s="53">
        <v>-40.0</v>
      </c>
    </row>
    <row r="51" ht="15.75" customHeight="1">
      <c r="A51" s="52" t="s">
        <v>110</v>
      </c>
      <c r="B51" s="59">
        <f>B50+273.15</f>
        <v>233.15</v>
      </c>
      <c r="C51" s="52" t="s">
        <v>110</v>
      </c>
      <c r="D51" s="59">
        <f>D50+273.15</f>
        <v>233.15</v>
      </c>
      <c r="E51" s="52" t="s">
        <v>110</v>
      </c>
      <c r="F51" s="1">
        <f>F50+273.15</f>
        <v>233.15</v>
      </c>
      <c r="G51" s="52"/>
      <c r="H51" s="59"/>
      <c r="I51" s="1" t="s">
        <v>110</v>
      </c>
      <c r="J51" s="59">
        <f>J50+273.15</f>
        <v>233.15</v>
      </c>
      <c r="K51" s="5"/>
      <c r="L51" s="52" t="s">
        <v>110</v>
      </c>
      <c r="M51" s="59">
        <f>M50+273.15</f>
        <v>233.15</v>
      </c>
      <c r="N51" s="52" t="s">
        <v>110</v>
      </c>
      <c r="O51" s="59">
        <f>O50+273.15</f>
        <v>233.15</v>
      </c>
      <c r="P51" s="52" t="s">
        <v>110</v>
      </c>
      <c r="Q51" s="1">
        <f>Q50+273.15</f>
        <v>233.15</v>
      </c>
      <c r="R51" s="52"/>
      <c r="S51" s="59"/>
      <c r="T51" s="1" t="s">
        <v>110</v>
      </c>
      <c r="U51" s="59">
        <f>U50+273.15</f>
        <v>233.15</v>
      </c>
    </row>
    <row r="52" ht="15.75" customHeight="1">
      <c r="A52" s="52" t="s">
        <v>111</v>
      </c>
      <c r="B52" s="59">
        <v>0.0</v>
      </c>
      <c r="C52" s="52" t="s">
        <v>111</v>
      </c>
      <c r="D52" s="59">
        <v>0.0</v>
      </c>
      <c r="E52" s="52" t="s">
        <v>111</v>
      </c>
      <c r="F52" s="1">
        <v>0.0</v>
      </c>
      <c r="G52" s="52"/>
      <c r="H52" s="59"/>
      <c r="I52" s="1" t="s">
        <v>111</v>
      </c>
      <c r="J52" s="59">
        <v>0.0</v>
      </c>
      <c r="K52" s="5"/>
      <c r="L52" s="52" t="s">
        <v>111</v>
      </c>
      <c r="M52" s="59">
        <v>0.0</v>
      </c>
      <c r="N52" s="52" t="s">
        <v>111</v>
      </c>
      <c r="O52" s="59">
        <v>0.0</v>
      </c>
      <c r="P52" s="52" t="s">
        <v>111</v>
      </c>
      <c r="Q52" s="1">
        <v>0.0</v>
      </c>
      <c r="R52" s="52"/>
      <c r="S52" s="59"/>
      <c r="T52" s="1" t="s">
        <v>111</v>
      </c>
      <c r="U52" s="59">
        <v>0.0</v>
      </c>
    </row>
    <row r="53" ht="15.75" customHeight="1">
      <c r="A53" s="52" t="s">
        <v>112</v>
      </c>
      <c r="B53" s="66">
        <f>B29+B40+B42+B48</f>
        <v>3108.065933</v>
      </c>
      <c r="C53" s="52" t="s">
        <v>112</v>
      </c>
      <c r="D53" s="66">
        <f>D29+D40+D42+D48</f>
        <v>4422.801663</v>
      </c>
      <c r="E53" s="52" t="s">
        <v>112</v>
      </c>
      <c r="F53" s="67">
        <f>F29+F40+F42+F48</f>
        <v>1255.876075</v>
      </c>
      <c r="G53" s="52"/>
      <c r="H53" s="66"/>
      <c r="I53" s="1" t="s">
        <v>112</v>
      </c>
      <c r="J53" s="66">
        <f>J29+J40+J42+J48</f>
        <v>3806.189112</v>
      </c>
      <c r="K53" s="5"/>
      <c r="L53" s="52" t="s">
        <v>112</v>
      </c>
      <c r="M53" s="66">
        <f>M29+M40+M42+M48</f>
        <v>3108.065933</v>
      </c>
      <c r="N53" s="52" t="s">
        <v>112</v>
      </c>
      <c r="O53" s="66">
        <f>O29+O40+O42+O48</f>
        <v>4422.801663</v>
      </c>
      <c r="P53" s="52" t="s">
        <v>112</v>
      </c>
      <c r="Q53" s="67">
        <f>Q29+Q40+Q42+Q48</f>
        <v>1255.876075</v>
      </c>
      <c r="R53" s="52"/>
      <c r="S53" s="66"/>
      <c r="T53" s="1" t="s">
        <v>112</v>
      </c>
      <c r="U53" s="66">
        <f>U29+U40+U42+U48</f>
        <v>3806.189112</v>
      </c>
    </row>
    <row r="54" ht="15.75" customHeight="1">
      <c r="A54" s="52" t="s">
        <v>113</v>
      </c>
      <c r="B54" s="66">
        <f>B41+B43+B49</f>
        <v>396.7624689</v>
      </c>
      <c r="C54" s="52" t="s">
        <v>113</v>
      </c>
      <c r="D54" s="66">
        <f>D41+D43+D49</f>
        <v>1000.768165</v>
      </c>
      <c r="E54" s="52" t="s">
        <v>113</v>
      </c>
      <c r="F54" s="67">
        <f>F41+F43+F49</f>
        <v>442.2737591</v>
      </c>
      <c r="G54" s="52"/>
      <c r="H54" s="66"/>
      <c r="I54" s="1" t="s">
        <v>113</v>
      </c>
      <c r="J54" s="66">
        <f>J41+J43+J49</f>
        <v>507.3289799</v>
      </c>
      <c r="K54" s="5"/>
      <c r="L54" s="52" t="s">
        <v>113</v>
      </c>
      <c r="M54" s="66">
        <f>M41+M43+M49</f>
        <v>396.7624689</v>
      </c>
      <c r="N54" s="52" t="s">
        <v>113</v>
      </c>
      <c r="O54" s="66">
        <f>O41+O43+O49</f>
        <v>1000.768165</v>
      </c>
      <c r="P54" s="52" t="s">
        <v>113</v>
      </c>
      <c r="Q54" s="67">
        <f>Q41+Q43+Q49</f>
        <v>442.2737591</v>
      </c>
      <c r="R54" s="52"/>
      <c r="S54" s="66"/>
      <c r="T54" s="1" t="s">
        <v>113</v>
      </c>
      <c r="U54" s="66">
        <f>U41+U43+U49</f>
        <v>507.3289799</v>
      </c>
    </row>
    <row r="55" ht="15.75" customHeight="1">
      <c r="A55" s="52" t="s">
        <v>114</v>
      </c>
      <c r="B55" s="59">
        <f>$F$1*B26*(B22+B14)*(B51-B52)^4</f>
        <v>702.6772233</v>
      </c>
      <c r="C55" s="52" t="s">
        <v>114</v>
      </c>
      <c r="D55" s="59">
        <f>$F$1*D26*(D22+D14)*(D51-D52)^4</f>
        <v>809.2630942</v>
      </c>
      <c r="E55" s="52" t="s">
        <v>114</v>
      </c>
      <c r="F55" s="1">
        <f>$F$1*F26*(F22+F14)*(F51-F52)^4</f>
        <v>795.8411697</v>
      </c>
      <c r="G55" s="52"/>
      <c r="H55" s="59"/>
      <c r="I55" s="1" t="s">
        <v>114</v>
      </c>
      <c r="J55" s="59">
        <f>$F$1*J26*(J22+J14)*(J51-J52)^4</f>
        <v>667.4302906</v>
      </c>
      <c r="K55" s="5"/>
      <c r="L55" s="52" t="s">
        <v>114</v>
      </c>
      <c r="M55" s="59">
        <f>$F$1*M26*(M22+M14)*(M51-M52)^4</f>
        <v>702.6772233</v>
      </c>
      <c r="N55" s="52" t="s">
        <v>114</v>
      </c>
      <c r="O55" s="59">
        <f>$F$1*O26*(O22+O14)*(O51-O52)^4</f>
        <v>513.1912305</v>
      </c>
      <c r="P55" s="52" t="s">
        <v>114</v>
      </c>
      <c r="Q55" s="1">
        <f>$F$1*Q26*(Q22+Q14)*(Q51-Q52)^4</f>
        <v>795.8411697</v>
      </c>
      <c r="R55" s="52"/>
      <c r="S55" s="59"/>
      <c r="T55" s="1" t="s">
        <v>114</v>
      </c>
      <c r="U55" s="59">
        <f>$F$1*U26*(U22+U14)*(U51-U52)^4</f>
        <v>667.4302906</v>
      </c>
    </row>
    <row r="56" ht="15.75" customHeight="1">
      <c r="A56" s="52" t="s">
        <v>115</v>
      </c>
      <c r="B56" s="66">
        <f>B55-B54</f>
        <v>305.9147544</v>
      </c>
      <c r="C56" s="52" t="s">
        <v>115</v>
      </c>
      <c r="D56" s="66">
        <f>D55-D54</f>
        <v>-191.5050704</v>
      </c>
      <c r="E56" s="52" t="s">
        <v>115</v>
      </c>
      <c r="F56" s="67">
        <f>F55-F54</f>
        <v>353.5674106</v>
      </c>
      <c r="G56" s="52"/>
      <c r="H56" s="66"/>
      <c r="I56" s="1" t="s">
        <v>115</v>
      </c>
      <c r="J56" s="66">
        <f>J55-J54</f>
        <v>160.1013107</v>
      </c>
      <c r="K56" s="5"/>
      <c r="L56" s="52" t="s">
        <v>115</v>
      </c>
      <c r="M56" s="66">
        <f>M55-M54</f>
        <v>305.9147544</v>
      </c>
      <c r="N56" s="52" t="s">
        <v>115</v>
      </c>
      <c r="O56" s="66">
        <f>O55-O54</f>
        <v>-487.5769341</v>
      </c>
      <c r="P56" s="52" t="s">
        <v>115</v>
      </c>
      <c r="Q56" s="67">
        <f>Q55-Q54</f>
        <v>353.5674106</v>
      </c>
      <c r="R56" s="52"/>
      <c r="S56" s="66"/>
      <c r="T56" s="1" t="s">
        <v>115</v>
      </c>
      <c r="U56" s="66">
        <f>U55-U54</f>
        <v>160.1013107</v>
      </c>
    </row>
    <row r="57" ht="15.75" customHeight="1">
      <c r="A57" s="52" t="s">
        <v>116</v>
      </c>
      <c r="B57" s="66">
        <f>B55-B53</f>
        <v>-2405.38871</v>
      </c>
      <c r="C57" s="52" t="s">
        <v>116</v>
      </c>
      <c r="D57" s="66">
        <f>D55-D53</f>
        <v>-3613.538569</v>
      </c>
      <c r="E57" s="52" t="s">
        <v>116</v>
      </c>
      <c r="F57" s="67">
        <f>F55-F53</f>
        <v>-460.0349054</v>
      </c>
      <c r="G57" s="52"/>
      <c r="H57" s="66"/>
      <c r="I57" s="1" t="s">
        <v>116</v>
      </c>
      <c r="J57" s="66">
        <f>J55-J53</f>
        <v>-3138.758821</v>
      </c>
      <c r="K57" s="5"/>
      <c r="L57" s="52" t="s">
        <v>116</v>
      </c>
      <c r="M57" s="66">
        <f>M55-M53</f>
        <v>-2405.38871</v>
      </c>
      <c r="N57" s="52" t="s">
        <v>116</v>
      </c>
      <c r="O57" s="66">
        <f>O55-O53</f>
        <v>-3909.610432</v>
      </c>
      <c r="P57" s="52" t="s">
        <v>116</v>
      </c>
      <c r="Q57" s="67">
        <f>Q55-Q53</f>
        <v>-460.0349054</v>
      </c>
      <c r="R57" s="52"/>
      <c r="S57" s="66"/>
      <c r="T57" s="1" t="s">
        <v>116</v>
      </c>
      <c r="U57" s="66">
        <f>U55-U53</f>
        <v>-3138.758821</v>
      </c>
    </row>
    <row r="58" ht="15.75" customHeight="1">
      <c r="A58" s="52" t="s">
        <v>117</v>
      </c>
      <c r="B58" s="59">
        <f>(((B53)/($F$1*B26*(B14+B22)))^0.25 + B52) - 273.15</f>
        <v>64.96855669</v>
      </c>
      <c r="C58" s="52" t="s">
        <v>117</v>
      </c>
      <c r="D58" s="59">
        <f>(((D53)/($F$1*D26*(D14+D22)))^0.25 + D52) - 273.15</f>
        <v>83.33179177</v>
      </c>
      <c r="E58" s="52" t="s">
        <v>117</v>
      </c>
      <c r="F58" s="1">
        <f>(((F53)/($F$1*F26*(F14+F22)))^0.25 + F52) - 273.15</f>
        <v>-11.83429224</v>
      </c>
      <c r="G58" s="52"/>
      <c r="H58" s="59"/>
      <c r="I58" s="1" t="s">
        <v>117</v>
      </c>
      <c r="J58" s="59">
        <f>(((J53)/($F$1*J26*(J14+J22)))^0.25 + J52) - 273.15</f>
        <v>87.14358718</v>
      </c>
      <c r="K58" s="5"/>
      <c r="L58" s="52" t="s">
        <v>117</v>
      </c>
      <c r="M58" s="59">
        <f>(((M53)/($F$1*M26*(M14+M22)))^0.25 + M52) - 273.15</f>
        <v>64.96855669</v>
      </c>
      <c r="N58" s="52" t="s">
        <v>117</v>
      </c>
      <c r="O58" s="59">
        <f>(((O53)/($F$1*O26*(O14+O22)))^0.25 + O52) - 273.15</f>
        <v>126.3253438</v>
      </c>
      <c r="P58" s="52" t="s">
        <v>117</v>
      </c>
      <c r="Q58" s="1">
        <f>(((Q53)/($F$1*Q26*(Q14+Q22)))^0.25 + Q52) - 273.15</f>
        <v>-11.83429224</v>
      </c>
      <c r="R58" s="52"/>
      <c r="S58" s="59"/>
      <c r="T58" s="1" t="s">
        <v>117</v>
      </c>
      <c r="U58" s="59">
        <f>(((U53)/($F$1*U26*(U14+U22)))^0.25 + U52) - 273.15</f>
        <v>87.14358718</v>
      </c>
    </row>
    <row r="59" ht="15.75" customHeight="1">
      <c r="A59" s="68" t="s">
        <v>118</v>
      </c>
      <c r="B59" s="69">
        <f>(((B54)/($F$1*B26*(B14+B22)))^0.25 + B52) - 273.15</f>
        <v>-71.04405124</v>
      </c>
      <c r="C59" s="68" t="s">
        <v>118</v>
      </c>
      <c r="D59" s="69">
        <f>(((D54)/($F$1*D26*(D14+D22)))^0.25 + D52) - 273.15</f>
        <v>-27.28519982</v>
      </c>
      <c r="E59" s="68" t="s">
        <v>118</v>
      </c>
      <c r="F59" s="70">
        <f>(((F54)/($F$1*F26*(F14+F22)))^0.25 + F52) - 273.15</f>
        <v>-71.84636716</v>
      </c>
      <c r="G59" s="52"/>
      <c r="H59" s="59"/>
      <c r="I59" s="70" t="s">
        <v>118</v>
      </c>
      <c r="J59" s="69">
        <f>(((J54)/($F$1*J26*(J14+J22)))^0.25 + J52) - 273.15</f>
        <v>-55.45103748</v>
      </c>
      <c r="K59" s="5"/>
      <c r="L59" s="68" t="s">
        <v>118</v>
      </c>
      <c r="M59" s="69">
        <f>(((M54)/($F$1*M26*(M14+M22)))^0.25 + M52) - 273.15</f>
        <v>-71.04405124</v>
      </c>
      <c r="N59" s="68" t="s">
        <v>118</v>
      </c>
      <c r="O59" s="69">
        <f>(((O54)/($F$1*O26*(O14+O22)))^0.25 + O52) - 273.15</f>
        <v>2.367369627</v>
      </c>
      <c r="P59" s="68" t="s">
        <v>118</v>
      </c>
      <c r="Q59" s="70">
        <f>(((Q54)/($F$1*Q26*(Q14+Q22)))^0.25 + Q52) - 273.15</f>
        <v>-71.84636716</v>
      </c>
      <c r="R59" s="52"/>
      <c r="S59" s="59"/>
      <c r="T59" s="70" t="s">
        <v>118</v>
      </c>
      <c r="U59" s="69">
        <f>(((U54)/($F$1*U26*(U14+U22)))^0.25 + U52) - 273.15</f>
        <v>-55.45103748</v>
      </c>
    </row>
    <row r="60" ht="15.75" customHeight="1">
      <c r="K60" s="5"/>
    </row>
    <row r="61" ht="15.75" customHeight="1">
      <c r="K61" s="5"/>
    </row>
    <row r="62" ht="15.75" customHeight="1">
      <c r="A62" s="48" t="s">
        <v>119</v>
      </c>
      <c r="B62" s="49"/>
      <c r="C62" s="48" t="s">
        <v>120</v>
      </c>
      <c r="D62" s="49"/>
      <c r="E62" s="48" t="s">
        <v>121</v>
      </c>
      <c r="F62" s="49"/>
      <c r="G62" s="50" t="s">
        <v>69</v>
      </c>
      <c r="H62" s="51"/>
      <c r="I62" s="48" t="s">
        <v>122</v>
      </c>
      <c r="J62" s="49"/>
      <c r="K62" s="5"/>
      <c r="L62" s="48" t="s">
        <v>119</v>
      </c>
      <c r="M62" s="49"/>
      <c r="N62" s="48" t="s">
        <v>120</v>
      </c>
      <c r="O62" s="49"/>
      <c r="P62" s="48" t="s">
        <v>121</v>
      </c>
      <c r="Q62" s="49"/>
      <c r="R62" s="50" t="s">
        <v>69</v>
      </c>
      <c r="S62" s="51"/>
      <c r="T62" s="50" t="s">
        <v>123</v>
      </c>
      <c r="U62" s="51"/>
    </row>
    <row r="63" ht="15.0" customHeight="1">
      <c r="A63" s="52" t="s">
        <v>72</v>
      </c>
      <c r="B63" s="62">
        <f t="shared" ref="B63:B64" si="1">B11</f>
        <v>0.61</v>
      </c>
      <c r="C63" s="52" t="s">
        <v>72</v>
      </c>
      <c r="D63" s="62">
        <f t="shared" ref="D63:D64" si="2">D11</f>
        <v>0.61</v>
      </c>
      <c r="E63" s="52" t="s">
        <v>72</v>
      </c>
      <c r="F63" s="62">
        <f t="shared" ref="F63:F64" si="3">F11</f>
        <v>0.09</v>
      </c>
      <c r="G63" s="71" t="s">
        <v>73</v>
      </c>
      <c r="H63" s="56"/>
      <c r="I63" s="52" t="s">
        <v>72</v>
      </c>
      <c r="J63" s="62">
        <f t="shared" ref="J63:J64" si="4">J11</f>
        <v>0.61</v>
      </c>
      <c r="K63" s="5"/>
      <c r="L63" s="52" t="s">
        <v>72</v>
      </c>
      <c r="M63" s="62">
        <f t="shared" ref="M63:M64" si="5">M11</f>
        <v>0.61</v>
      </c>
      <c r="N63" s="52" t="s">
        <v>72</v>
      </c>
      <c r="O63" s="62">
        <f t="shared" ref="O63:O64" si="6">O11</f>
        <v>0.61</v>
      </c>
      <c r="P63" s="52" t="s">
        <v>72</v>
      </c>
      <c r="Q63" s="62">
        <f t="shared" ref="Q63:Q64" si="7">Q11</f>
        <v>0.09</v>
      </c>
      <c r="R63" s="71" t="s">
        <v>73</v>
      </c>
      <c r="S63" s="56"/>
      <c r="T63" s="71" t="s">
        <v>124</v>
      </c>
      <c r="U63" s="56"/>
    </row>
    <row r="64" ht="15.75" customHeight="1">
      <c r="A64" s="52" t="s">
        <v>74</v>
      </c>
      <c r="B64" s="62">
        <f t="shared" si="1"/>
        <v>0.25</v>
      </c>
      <c r="C64" s="52" t="s">
        <v>74</v>
      </c>
      <c r="D64" s="62">
        <f t="shared" si="2"/>
        <v>0.25</v>
      </c>
      <c r="E64" s="52" t="s">
        <v>74</v>
      </c>
      <c r="F64" s="62">
        <f t="shared" si="3"/>
        <v>0.45</v>
      </c>
      <c r="G64" s="72"/>
      <c r="H64" s="56"/>
      <c r="I64" s="52" t="s">
        <v>74</v>
      </c>
      <c r="J64" s="62">
        <f t="shared" si="4"/>
        <v>0.25</v>
      </c>
      <c r="K64" s="5"/>
      <c r="L64" s="52" t="s">
        <v>74</v>
      </c>
      <c r="M64" s="62">
        <f t="shared" si="5"/>
        <v>0.25</v>
      </c>
      <c r="N64" s="52" t="s">
        <v>74</v>
      </c>
      <c r="O64" s="62">
        <f t="shared" si="6"/>
        <v>0.25</v>
      </c>
      <c r="P64" s="52" t="s">
        <v>74</v>
      </c>
      <c r="Q64" s="62">
        <f t="shared" si="7"/>
        <v>0.45</v>
      </c>
      <c r="R64" s="72"/>
      <c r="S64" s="56"/>
      <c r="T64" s="57"/>
      <c r="U64" s="58"/>
    </row>
    <row r="65" ht="15.75" customHeight="1">
      <c r="A65" s="52" t="s">
        <v>75</v>
      </c>
      <c r="B65" s="59">
        <f> 2*1.5 * 1.03</f>
        <v>3.09</v>
      </c>
      <c r="C65" s="52" t="s">
        <v>75</v>
      </c>
      <c r="D65" s="59">
        <f> 2*1.5 * 1.3</f>
        <v>3.9</v>
      </c>
      <c r="E65" s="52" t="s">
        <v>75</v>
      </c>
      <c r="F65" s="59">
        <v>3.3600000000000003</v>
      </c>
      <c r="G65" s="60"/>
      <c r="H65" s="73"/>
      <c r="I65" s="1" t="s">
        <v>75</v>
      </c>
      <c r="J65" s="59">
        <v>3.7268</v>
      </c>
      <c r="K65" s="5"/>
      <c r="L65" s="52" t="s">
        <v>75</v>
      </c>
      <c r="M65" s="59">
        <f> 2*1.5 * 1.03</f>
        <v>3.09</v>
      </c>
      <c r="N65" s="52" t="s">
        <v>75</v>
      </c>
      <c r="O65" s="59">
        <f> 2*1.5 * 1.3</f>
        <v>3.9</v>
      </c>
      <c r="P65" s="52" t="s">
        <v>75</v>
      </c>
      <c r="Q65" s="59">
        <v>3.3600000000000003</v>
      </c>
      <c r="R65" s="60"/>
      <c r="S65" s="61"/>
    </row>
    <row r="66" ht="15.75" customHeight="1">
      <c r="A66" s="52" t="s">
        <v>76</v>
      </c>
      <c r="B66" s="59">
        <f> 2*PI()*1.5*1.03 + PI()*1.5^2</f>
        <v>16.77610477</v>
      </c>
      <c r="C66" s="52" t="s">
        <v>76</v>
      </c>
      <c r="D66" s="59">
        <f> 2*PI()*1.5*1.3 + PI()*1.5^2</f>
        <v>19.32079482</v>
      </c>
      <c r="E66" s="52" t="s">
        <v>76</v>
      </c>
      <c r="F66" s="59">
        <v>10.555751316061706</v>
      </c>
      <c r="G66" s="52"/>
      <c r="H66" s="59"/>
      <c r="I66" s="1" t="s">
        <v>76</v>
      </c>
      <c r="J66" s="59">
        <v>15.9346</v>
      </c>
      <c r="K66" s="5"/>
      <c r="L66" s="52" t="s">
        <v>76</v>
      </c>
      <c r="M66" s="59">
        <f> 2*PI()*1.5*1.03 + PI()*1.5^2</f>
        <v>16.77610477</v>
      </c>
      <c r="N66" s="52" t="s">
        <v>76</v>
      </c>
      <c r="O66" s="59">
        <f> 2*PI()*1.5*1.3</f>
        <v>12.25221135</v>
      </c>
      <c r="P66" s="52" t="s">
        <v>76</v>
      </c>
      <c r="Q66" s="59">
        <v>10.555751316061706</v>
      </c>
      <c r="R66" s="52"/>
    </row>
    <row r="67" ht="15.75" customHeight="1">
      <c r="A67" s="52" t="s">
        <v>77</v>
      </c>
      <c r="B67" s="62">
        <f t="shared" ref="B67:B72" si="8">B15</f>
        <v>0.85</v>
      </c>
      <c r="C67" s="52" t="s">
        <v>77</v>
      </c>
      <c r="D67" s="62">
        <f t="shared" ref="D67:D72" si="9">D15</f>
        <v>0.85</v>
      </c>
      <c r="E67" s="52" t="s">
        <v>77</v>
      </c>
      <c r="F67" s="63">
        <f t="shared" ref="F67:F72" si="10">F15</f>
        <v>0.85</v>
      </c>
      <c r="G67" s="52"/>
      <c r="H67" s="59"/>
      <c r="I67" s="1" t="s">
        <v>77</v>
      </c>
      <c r="J67" s="62">
        <f t="shared" ref="J67:J72" si="11">J15</f>
        <v>0.85</v>
      </c>
      <c r="K67" s="5"/>
      <c r="L67" s="52" t="s">
        <v>77</v>
      </c>
      <c r="M67" s="62">
        <f t="shared" ref="M67:M72" si="12">M15</f>
        <v>0.85</v>
      </c>
      <c r="N67" s="52" t="s">
        <v>77</v>
      </c>
      <c r="O67" s="62">
        <f t="shared" ref="O67:O72" si="13">O15</f>
        <v>0.85</v>
      </c>
      <c r="P67" s="52" t="s">
        <v>77</v>
      </c>
      <c r="Q67" s="63">
        <f t="shared" ref="Q67:Q72" si="14">Q15</f>
        <v>0.85</v>
      </c>
      <c r="R67" s="52"/>
    </row>
    <row r="68" ht="15.75" customHeight="1">
      <c r="A68" s="52" t="s">
        <v>78</v>
      </c>
      <c r="B68" s="62">
        <f t="shared" si="8"/>
        <v>0.9</v>
      </c>
      <c r="C68" s="52" t="s">
        <v>78</v>
      </c>
      <c r="D68" s="62">
        <f t="shared" si="9"/>
        <v>0.9</v>
      </c>
      <c r="E68" s="52" t="s">
        <v>78</v>
      </c>
      <c r="F68" s="63">
        <f t="shared" si="10"/>
        <v>0.9</v>
      </c>
      <c r="G68" s="52"/>
      <c r="H68" s="59"/>
      <c r="I68" s="1" t="s">
        <v>78</v>
      </c>
      <c r="J68" s="62">
        <f t="shared" si="11"/>
        <v>0.9</v>
      </c>
      <c r="K68" s="5"/>
      <c r="L68" s="52" t="s">
        <v>78</v>
      </c>
      <c r="M68" s="62">
        <f t="shared" si="12"/>
        <v>0.9</v>
      </c>
      <c r="N68" s="52" t="s">
        <v>78</v>
      </c>
      <c r="O68" s="62">
        <f t="shared" si="13"/>
        <v>0.9</v>
      </c>
      <c r="P68" s="52" t="s">
        <v>78</v>
      </c>
      <c r="Q68" s="63">
        <f t="shared" si="14"/>
        <v>0.9</v>
      </c>
      <c r="R68" s="52"/>
    </row>
    <row r="69" ht="15.75" customHeight="1">
      <c r="A69" s="52" t="s">
        <v>79</v>
      </c>
      <c r="B69" s="62">
        <f t="shared" si="8"/>
        <v>2</v>
      </c>
      <c r="C69" s="52" t="s">
        <v>79</v>
      </c>
      <c r="D69" s="62">
        <f t="shared" si="9"/>
        <v>2</v>
      </c>
      <c r="E69" s="52" t="s">
        <v>79</v>
      </c>
      <c r="F69" s="63">
        <f t="shared" si="10"/>
        <v>2</v>
      </c>
      <c r="G69" s="52"/>
      <c r="H69" s="59"/>
      <c r="I69" s="1" t="s">
        <v>79</v>
      </c>
      <c r="J69" s="62">
        <f t="shared" si="11"/>
        <v>2</v>
      </c>
      <c r="K69" s="5"/>
      <c r="L69" s="52" t="s">
        <v>79</v>
      </c>
      <c r="M69" s="62">
        <f t="shared" si="12"/>
        <v>2</v>
      </c>
      <c r="N69" s="52" t="s">
        <v>79</v>
      </c>
      <c r="O69" s="62">
        <f t="shared" si="13"/>
        <v>2</v>
      </c>
      <c r="P69" s="52" t="s">
        <v>79</v>
      </c>
      <c r="Q69" s="63">
        <f t="shared" si="14"/>
        <v>2</v>
      </c>
      <c r="R69" s="52"/>
    </row>
    <row r="70" ht="15.75" customHeight="1">
      <c r="A70" s="52" t="s">
        <v>80</v>
      </c>
      <c r="B70" s="62">
        <f t="shared" si="8"/>
        <v>2</v>
      </c>
      <c r="C70" s="52" t="s">
        <v>80</v>
      </c>
      <c r="D70" s="62">
        <f t="shared" si="9"/>
        <v>2</v>
      </c>
      <c r="E70" s="52" t="s">
        <v>80</v>
      </c>
      <c r="F70" s="63">
        <f t="shared" si="10"/>
        <v>2</v>
      </c>
      <c r="G70" s="52"/>
      <c r="H70" s="59"/>
      <c r="I70" s="1" t="s">
        <v>80</v>
      </c>
      <c r="J70" s="62">
        <f t="shared" si="11"/>
        <v>2</v>
      </c>
      <c r="K70" s="5"/>
      <c r="L70" s="52" t="s">
        <v>80</v>
      </c>
      <c r="M70" s="62">
        <f t="shared" si="12"/>
        <v>2</v>
      </c>
      <c r="N70" s="52" t="s">
        <v>80</v>
      </c>
      <c r="O70" s="62">
        <f t="shared" si="13"/>
        <v>2</v>
      </c>
      <c r="P70" s="52" t="s">
        <v>80</v>
      </c>
      <c r="Q70" s="63">
        <f t="shared" si="14"/>
        <v>2</v>
      </c>
      <c r="R70" s="52"/>
    </row>
    <row r="71" ht="15.75" customHeight="1">
      <c r="A71" s="52" t="s">
        <v>81</v>
      </c>
      <c r="B71" s="62">
        <f t="shared" si="8"/>
        <v>0.0254</v>
      </c>
      <c r="C71" s="52" t="s">
        <v>81</v>
      </c>
      <c r="D71" s="62">
        <f t="shared" si="9"/>
        <v>0.0254</v>
      </c>
      <c r="E71" s="52" t="s">
        <v>81</v>
      </c>
      <c r="F71" s="63">
        <f t="shared" si="10"/>
        <v>0.0254</v>
      </c>
      <c r="G71" s="52"/>
      <c r="H71" s="59"/>
      <c r="I71" s="1" t="s">
        <v>81</v>
      </c>
      <c r="J71" s="62">
        <f t="shared" si="11"/>
        <v>0.0254</v>
      </c>
      <c r="K71" s="5"/>
      <c r="L71" s="52" t="s">
        <v>81</v>
      </c>
      <c r="M71" s="62">
        <f t="shared" si="12"/>
        <v>0.0254</v>
      </c>
      <c r="N71" s="52" t="s">
        <v>81</v>
      </c>
      <c r="O71" s="62">
        <f t="shared" si="13"/>
        <v>0.0254</v>
      </c>
      <c r="P71" s="52" t="s">
        <v>81</v>
      </c>
      <c r="Q71" s="63">
        <f t="shared" si="14"/>
        <v>0.0254</v>
      </c>
      <c r="R71" s="52"/>
    </row>
    <row r="72" ht="15.75" customHeight="1">
      <c r="A72" s="52" t="s">
        <v>82</v>
      </c>
      <c r="B72" s="62">
        <f t="shared" si="8"/>
        <v>0</v>
      </c>
      <c r="C72" s="52" t="s">
        <v>82</v>
      </c>
      <c r="D72" s="62">
        <f t="shared" si="9"/>
        <v>0</v>
      </c>
      <c r="E72" s="52" t="s">
        <v>82</v>
      </c>
      <c r="F72" s="63">
        <f t="shared" si="10"/>
        <v>0</v>
      </c>
      <c r="G72" s="52"/>
      <c r="H72" s="59"/>
      <c r="I72" s="1" t="s">
        <v>82</v>
      </c>
      <c r="J72" s="62">
        <f t="shared" si="11"/>
        <v>0</v>
      </c>
      <c r="K72" s="5"/>
      <c r="L72" s="52" t="s">
        <v>82</v>
      </c>
      <c r="M72" s="62">
        <f t="shared" si="12"/>
        <v>0</v>
      </c>
      <c r="N72" s="52" t="s">
        <v>82</v>
      </c>
      <c r="O72" s="62">
        <f t="shared" si="13"/>
        <v>0</v>
      </c>
      <c r="P72" s="52" t="s">
        <v>82</v>
      </c>
      <c r="Q72" s="63">
        <f t="shared" si="14"/>
        <v>0</v>
      </c>
      <c r="R72" s="52"/>
    </row>
    <row r="73" ht="15.75" customHeight="1">
      <c r="A73" s="52" t="s">
        <v>83</v>
      </c>
      <c r="B73" s="59">
        <f>IF(B72 = 0, 0, B69*B70*2)</f>
        <v>0</v>
      </c>
      <c r="C73" s="52" t="s">
        <v>83</v>
      </c>
      <c r="D73" s="59">
        <f>IF(D72 = 0, 0, D69*D70*2)</f>
        <v>0</v>
      </c>
      <c r="E73" s="52" t="s">
        <v>83</v>
      </c>
      <c r="F73" s="1">
        <f>IF(F72 = 0, 0, F69*F70*2)</f>
        <v>0</v>
      </c>
      <c r="G73" s="52"/>
      <c r="H73" s="59"/>
      <c r="I73" s="1" t="s">
        <v>83</v>
      </c>
      <c r="J73" s="59">
        <f>IF(J72 = 0, 0, J69*J70*2)</f>
        <v>0</v>
      </c>
      <c r="K73" s="5"/>
      <c r="L73" s="52" t="s">
        <v>83</v>
      </c>
      <c r="M73" s="59">
        <f>IF(M72 = 0, 0, M69*M70*2)</f>
        <v>0</v>
      </c>
      <c r="N73" s="52" t="s">
        <v>83</v>
      </c>
      <c r="O73" s="59">
        <f>IF(O72 = 0, 0, O69*O70*2)</f>
        <v>0</v>
      </c>
      <c r="P73" s="52" t="s">
        <v>83</v>
      </c>
      <c r="Q73" s="1">
        <f>IF(Q72 = 0, 0, Q69*Q70*2)</f>
        <v>0</v>
      </c>
      <c r="R73" s="52"/>
    </row>
    <row r="74" ht="15.75" customHeight="1">
      <c r="A74" s="52" t="s">
        <v>84</v>
      </c>
      <c r="B74" s="59">
        <f>(B69*B70*2 + B69*B71 + 2*B70*B71)*B72</f>
        <v>0</v>
      </c>
      <c r="C74" s="52" t="s">
        <v>84</v>
      </c>
      <c r="D74" s="59">
        <f>(D69*D70*2 + D69*D71 + 2*D70*D71)*D72</f>
        <v>0</v>
      </c>
      <c r="E74" s="52" t="s">
        <v>84</v>
      </c>
      <c r="F74" s="1">
        <f>(F69*F70*2 + F69*F71 + 2*F70*F71)*F72</f>
        <v>0</v>
      </c>
      <c r="G74" s="52"/>
      <c r="H74" s="59"/>
      <c r="I74" s="1" t="s">
        <v>84</v>
      </c>
      <c r="J74" s="59">
        <f>(J69*J70*2 + J69*J71 + 2*J70*J71)*J72</f>
        <v>0</v>
      </c>
      <c r="K74" s="5"/>
      <c r="L74" s="52" t="s">
        <v>84</v>
      </c>
      <c r="M74" s="59">
        <f>(M69*M70*2 + M69*M71 + 2*M70*M71)*M72</f>
        <v>0</v>
      </c>
      <c r="N74" s="52" t="s">
        <v>84</v>
      </c>
      <c r="O74" s="59">
        <f>(O69*O70*2 + O69*O71 + 2*O70*O71)*O72</f>
        <v>0</v>
      </c>
      <c r="P74" s="52" t="s">
        <v>84</v>
      </c>
      <c r="Q74" s="1">
        <f>(Q69*Q70*2 + Q69*Q71 + 2*Q70*Q71)*Q72</f>
        <v>0</v>
      </c>
      <c r="R74" s="52"/>
    </row>
    <row r="75" ht="15.75" customHeight="1">
      <c r="A75" s="52" t="s">
        <v>85</v>
      </c>
      <c r="B75" s="59">
        <f>B63*(B65/(B65+B73)) + B67*(B73/(B65+B73))</f>
        <v>0.61</v>
      </c>
      <c r="C75" s="52" t="s">
        <v>85</v>
      </c>
      <c r="D75" s="59">
        <f>D63*(D65/(D65+D73)) + D67*(D73/(D65+D73))</f>
        <v>0.61</v>
      </c>
      <c r="E75" s="52" t="s">
        <v>85</v>
      </c>
      <c r="F75" s="1">
        <f>F63*(F65/(F65+F73)) + F67*(F73/(F65+F73))</f>
        <v>0.09</v>
      </c>
      <c r="G75" s="52"/>
      <c r="H75" s="59"/>
      <c r="I75" s="1" t="s">
        <v>85</v>
      </c>
      <c r="J75" s="59">
        <f>J63*(J65/(J65+J73)) + J67*(J73/(J65+J73))</f>
        <v>0.61</v>
      </c>
      <c r="K75" s="5"/>
      <c r="L75" s="52" t="s">
        <v>85</v>
      </c>
      <c r="M75" s="59">
        <f>M63*(M65/(M65+M73)) + M67*(M73/(M65+M73))</f>
        <v>0.61</v>
      </c>
      <c r="N75" s="52" t="s">
        <v>85</v>
      </c>
      <c r="O75" s="59">
        <f>O63*(O65/(O65+O73)) + O67*(O73/(O65+O73))</f>
        <v>0.61</v>
      </c>
      <c r="P75" s="52" t="s">
        <v>85</v>
      </c>
      <c r="Q75" s="1">
        <f>Q63*(Q65/(Q65+Q73)) + Q67*(Q73/(Q65+Q73))</f>
        <v>0.09</v>
      </c>
      <c r="R75" s="52"/>
    </row>
    <row r="76" ht="15.75" customHeight="1">
      <c r="A76" s="52" t="s">
        <v>86</v>
      </c>
      <c r="B76" s="59">
        <f>B64*(B65/(B65+B73)) + B68*(B73/(B65+B73))</f>
        <v>0.25</v>
      </c>
      <c r="C76" s="52" t="s">
        <v>86</v>
      </c>
      <c r="D76" s="59">
        <f>D64*(D65/(D65+D73)) + D68*(D73/(D65+D73))</f>
        <v>0.25</v>
      </c>
      <c r="E76" s="52" t="s">
        <v>86</v>
      </c>
      <c r="F76" s="1">
        <f>F64*(F65/(F65+F73)) + F68*(F73/(F65+F73))</f>
        <v>0.45</v>
      </c>
      <c r="G76" s="52"/>
      <c r="H76" s="59"/>
      <c r="I76" s="1" t="s">
        <v>86</v>
      </c>
      <c r="J76" s="59">
        <f>J64*(J65/(J65+J73)) + J68*(J73/(J65+J73))</f>
        <v>0.25</v>
      </c>
      <c r="K76" s="5"/>
      <c r="L76" s="52" t="s">
        <v>86</v>
      </c>
      <c r="M76" s="59">
        <f>M64*(M65/(M65+M73)) + M68*(M73/(M65+M73))</f>
        <v>0.25</v>
      </c>
      <c r="N76" s="52" t="s">
        <v>86</v>
      </c>
      <c r="O76" s="59">
        <f>O64*(O65/(O65+O73)) + O68*(O73/(O65+O73))</f>
        <v>0.25</v>
      </c>
      <c r="P76" s="52" t="s">
        <v>86</v>
      </c>
      <c r="Q76" s="1">
        <f>Q64*(Q65/(Q65+Q73)) + Q68*(Q73/(Q65+Q73))</f>
        <v>0.45</v>
      </c>
      <c r="R76" s="52"/>
    </row>
    <row r="77" ht="15.75" customHeight="1">
      <c r="A77" s="52" t="s">
        <v>87</v>
      </c>
      <c r="B77" s="59">
        <f>B63*(B66/(B66+B74)) + B67*(B74/(B66+B74))</f>
        <v>0.61</v>
      </c>
      <c r="C77" s="52" t="s">
        <v>87</v>
      </c>
      <c r="D77" s="59">
        <f>D63*(D66/(D66+D74)) + D67*(D74/(D66+D74))</f>
        <v>0.61</v>
      </c>
      <c r="E77" s="52" t="s">
        <v>87</v>
      </c>
      <c r="F77" s="1">
        <f>F63*(F66/(F66+F74)) + F67*(F74/(F66+F74))</f>
        <v>0.09</v>
      </c>
      <c r="G77" s="52"/>
      <c r="H77" s="59"/>
      <c r="I77" s="1" t="s">
        <v>87</v>
      </c>
      <c r="J77" s="59">
        <f>J63*(J66/(J66+J74)) + J67*(J74/(J66+J74))</f>
        <v>0.61</v>
      </c>
      <c r="K77" s="5"/>
      <c r="L77" s="52" t="s">
        <v>87</v>
      </c>
      <c r="M77" s="59">
        <f>M63*(M66/(M66+M74)) + M67*(M74/(M66+M74))</f>
        <v>0.61</v>
      </c>
      <c r="N77" s="52" t="s">
        <v>87</v>
      </c>
      <c r="O77" s="59">
        <f>O63*(O66/(O66+O74)) + O67*(O74/(O66+O74))</f>
        <v>0.61</v>
      </c>
      <c r="P77" s="52" t="s">
        <v>87</v>
      </c>
      <c r="Q77" s="1">
        <f>Q63*(Q66/(Q66+Q74)) + Q67*(Q74/(Q66+Q74))</f>
        <v>0.09</v>
      </c>
      <c r="R77" s="52"/>
    </row>
    <row r="78" ht="15.75" customHeight="1">
      <c r="A78" s="52" t="s">
        <v>88</v>
      </c>
      <c r="B78" s="59">
        <f>B64*(B66/(B66+B74)) + B68*(B74/(B66+B74))</f>
        <v>0.25</v>
      </c>
      <c r="C78" s="52" t="s">
        <v>88</v>
      </c>
      <c r="D78" s="59">
        <f>D64*(D66/(D66+D74)) + D68*(D74/(D66+D74))</f>
        <v>0.25</v>
      </c>
      <c r="E78" s="52" t="s">
        <v>88</v>
      </c>
      <c r="F78" s="1">
        <f>F64*(F66/(F66+F74)) + F68*(F74/(F66+F74))</f>
        <v>0.45</v>
      </c>
      <c r="G78" s="52"/>
      <c r="H78" s="59"/>
      <c r="I78" s="1" t="s">
        <v>88</v>
      </c>
      <c r="J78" s="59">
        <f>J64*(J66/(J66+J74)) + J68*(J74/(J66+J74))</f>
        <v>0.25</v>
      </c>
      <c r="K78" s="5"/>
      <c r="L78" s="52" t="s">
        <v>88</v>
      </c>
      <c r="M78" s="59">
        <f>M64*(M66/(M66+M74)) + M68*(M74/(M66+M74))</f>
        <v>0.25</v>
      </c>
      <c r="N78" s="52" t="s">
        <v>88</v>
      </c>
      <c r="O78" s="59">
        <f>O64*(O66/(O66+O74)) + O68*(O74/(O66+O74))</f>
        <v>0.25</v>
      </c>
      <c r="P78" s="52" t="s">
        <v>88</v>
      </c>
      <c r="Q78" s="1">
        <f>Q64*(Q66/(Q66+Q74)) + Q68*(Q74/(Q66+Q74))</f>
        <v>0.45</v>
      </c>
      <c r="R78" s="52"/>
    </row>
    <row r="79" ht="15.75" customHeight="1">
      <c r="A79" s="60" t="s">
        <v>89</v>
      </c>
      <c r="B79" s="59">
        <f>1371/9.912^2</f>
        <v>13.95451889</v>
      </c>
      <c r="C79" s="60" t="s">
        <v>89</v>
      </c>
      <c r="D79" s="59">
        <f>1371/9.912^2</f>
        <v>13.95451889</v>
      </c>
      <c r="E79" s="60" t="s">
        <v>89</v>
      </c>
      <c r="F79" s="1">
        <f>1371/9.912^2</f>
        <v>13.95451889</v>
      </c>
      <c r="G79" s="52"/>
      <c r="H79" s="59"/>
      <c r="I79" s="61" t="s">
        <v>89</v>
      </c>
      <c r="J79" s="59">
        <f>1371/9.912^2</f>
        <v>13.95451889</v>
      </c>
      <c r="K79" s="5"/>
      <c r="L79" s="60" t="s">
        <v>89</v>
      </c>
      <c r="M79" s="59">
        <f>1371/9.912^2</f>
        <v>13.95451889</v>
      </c>
      <c r="N79" s="60" t="s">
        <v>89</v>
      </c>
      <c r="O79" s="59">
        <f>1371/9.912^2</f>
        <v>13.95451889</v>
      </c>
      <c r="P79" s="60" t="s">
        <v>89</v>
      </c>
      <c r="Q79" s="1">
        <f>1371/9.912^2</f>
        <v>13.95451889</v>
      </c>
      <c r="R79" s="52"/>
    </row>
    <row r="80" ht="15.75" customHeight="1">
      <c r="A80" s="52" t="s">
        <v>90</v>
      </c>
      <c r="B80" s="59">
        <f>B65+B73</f>
        <v>3.09</v>
      </c>
      <c r="C80" s="52" t="s">
        <v>90</v>
      </c>
      <c r="D80" s="59">
        <f>D65+D73</f>
        <v>3.9</v>
      </c>
      <c r="E80" s="52" t="s">
        <v>90</v>
      </c>
      <c r="F80" s="1">
        <f>F65+F73</f>
        <v>3.36</v>
      </c>
      <c r="G80" s="52"/>
      <c r="H80" s="59"/>
      <c r="I80" s="1" t="s">
        <v>90</v>
      </c>
      <c r="J80" s="59">
        <f>J65+J73</f>
        <v>3.7268</v>
      </c>
      <c r="K80" s="5"/>
      <c r="L80" s="52" t="s">
        <v>90</v>
      </c>
      <c r="M80" s="59">
        <f>M65+M73</f>
        <v>3.09</v>
      </c>
      <c r="N80" s="52" t="s">
        <v>90</v>
      </c>
      <c r="O80" s="59">
        <f>O65+O73</f>
        <v>3.9</v>
      </c>
      <c r="P80" s="52" t="s">
        <v>90</v>
      </c>
      <c r="Q80" s="1">
        <f>Q65+Q73</f>
        <v>3.36</v>
      </c>
      <c r="R80" s="52"/>
    </row>
    <row r="81" ht="15.75" customHeight="1">
      <c r="A81" s="52" t="s">
        <v>91</v>
      </c>
      <c r="B81" s="59">
        <f>B75*B79*B80</f>
        <v>26.30287266</v>
      </c>
      <c r="C81" s="52" t="s">
        <v>91</v>
      </c>
      <c r="D81" s="59">
        <f>D75*D79*D80</f>
        <v>33.19780045</v>
      </c>
      <c r="E81" s="52" t="s">
        <v>91</v>
      </c>
      <c r="F81" s="1">
        <f>F75*F79*F80</f>
        <v>4.219846514</v>
      </c>
      <c r="G81" s="52"/>
      <c r="H81" s="59"/>
      <c r="I81" s="1" t="s">
        <v>91</v>
      </c>
      <c r="J81" s="59">
        <f>J75*J79*J80</f>
        <v>31.72347762</v>
      </c>
      <c r="K81" s="5"/>
      <c r="L81" s="52" t="s">
        <v>91</v>
      </c>
      <c r="M81" s="59">
        <f>M75*M79*M80</f>
        <v>26.30287266</v>
      </c>
      <c r="N81" s="52" t="s">
        <v>91</v>
      </c>
      <c r="O81" s="59">
        <f>O75*O79*O80</f>
        <v>33.19780045</v>
      </c>
      <c r="P81" s="52" t="s">
        <v>91</v>
      </c>
      <c r="Q81" s="1">
        <f>Q75*Q79*Q80</f>
        <v>4.219846514</v>
      </c>
      <c r="R81" s="52"/>
    </row>
    <row r="82" ht="15.75" customHeight="1">
      <c r="A82" s="60" t="s">
        <v>89</v>
      </c>
      <c r="B82" s="62">
        <f>B79</f>
        <v>13.95451889</v>
      </c>
      <c r="C82" s="60" t="s">
        <v>89</v>
      </c>
      <c r="D82" s="62">
        <f>D79</f>
        <v>13.95451889</v>
      </c>
      <c r="E82" s="60" t="s">
        <v>89</v>
      </c>
      <c r="F82" s="63">
        <f>F79</f>
        <v>13.95451889</v>
      </c>
      <c r="G82" s="52"/>
      <c r="H82" s="59"/>
      <c r="I82" s="61" t="s">
        <v>89</v>
      </c>
      <c r="J82" s="62">
        <f>J79</f>
        <v>13.95451889</v>
      </c>
      <c r="K82" s="5"/>
      <c r="L82" s="60" t="s">
        <v>89</v>
      </c>
      <c r="M82" s="62">
        <f>M79</f>
        <v>13.95451889</v>
      </c>
      <c r="N82" s="60" t="s">
        <v>89</v>
      </c>
      <c r="O82" s="62">
        <f>O79</f>
        <v>13.95451889</v>
      </c>
      <c r="P82" s="60" t="s">
        <v>89</v>
      </c>
      <c r="Q82" s="63">
        <f>Q79</f>
        <v>13.95451889</v>
      </c>
      <c r="R82" s="52"/>
    </row>
    <row r="83" ht="15.75" customHeight="1">
      <c r="A83" s="52" t="s">
        <v>92</v>
      </c>
      <c r="B83" s="59">
        <v>0.26</v>
      </c>
      <c r="C83" s="52" t="s">
        <v>92</v>
      </c>
      <c r="D83" s="59">
        <v>0.26</v>
      </c>
      <c r="E83" s="52" t="s">
        <v>92</v>
      </c>
      <c r="F83" s="1">
        <v>0.26</v>
      </c>
      <c r="G83" s="52"/>
      <c r="H83" s="59"/>
      <c r="I83" s="1" t="s">
        <v>92</v>
      </c>
      <c r="J83" s="59">
        <v>0.26</v>
      </c>
      <c r="K83" s="5"/>
      <c r="L83" s="52" t="s">
        <v>92</v>
      </c>
      <c r="M83" s="59">
        <v>0.26</v>
      </c>
      <c r="N83" s="52" t="s">
        <v>92</v>
      </c>
      <c r="O83" s="59">
        <v>0.26</v>
      </c>
      <c r="P83" s="52" t="s">
        <v>92</v>
      </c>
      <c r="Q83" s="1">
        <v>0.26</v>
      </c>
      <c r="R83" s="52"/>
    </row>
    <row r="84" ht="15.75" customHeight="1">
      <c r="A84" s="52" t="s">
        <v>93</v>
      </c>
      <c r="B84" s="59">
        <v>0.16</v>
      </c>
      <c r="C84" s="52" t="s">
        <v>93</v>
      </c>
      <c r="D84" s="59">
        <v>0.16</v>
      </c>
      <c r="E84" s="52" t="s">
        <v>93</v>
      </c>
      <c r="F84" s="1">
        <v>0.16</v>
      </c>
      <c r="G84" s="52"/>
      <c r="H84" s="59"/>
      <c r="I84" s="1" t="s">
        <v>93</v>
      </c>
      <c r="J84" s="59">
        <v>0.16</v>
      </c>
      <c r="K84" s="5"/>
      <c r="L84" s="52" t="s">
        <v>93</v>
      </c>
      <c r="M84" s="59">
        <v>0.16</v>
      </c>
      <c r="N84" s="52" t="s">
        <v>93</v>
      </c>
      <c r="O84" s="59">
        <v>0.16</v>
      </c>
      <c r="P84" s="52" t="s">
        <v>93</v>
      </c>
      <c r="Q84" s="1">
        <v>0.16</v>
      </c>
      <c r="R84" s="52"/>
    </row>
    <row r="85" ht="15.75" customHeight="1">
      <c r="A85" s="52" t="s">
        <v>94</v>
      </c>
      <c r="B85" s="59">
        <f>2576*10^3</f>
        <v>2576000</v>
      </c>
      <c r="C85" s="52" t="s">
        <v>94</v>
      </c>
      <c r="D85" s="59">
        <f>2576*10^3</f>
        <v>2576000</v>
      </c>
      <c r="E85" s="52" t="s">
        <v>94</v>
      </c>
      <c r="F85" s="1">
        <f>2576*10^3</f>
        <v>2576000</v>
      </c>
      <c r="G85" s="52">
        <f>701+307+417</f>
        <v>1425</v>
      </c>
      <c r="H85" s="59"/>
      <c r="I85" s="1" t="s">
        <v>94</v>
      </c>
      <c r="J85" s="59">
        <f>2576*10^3</f>
        <v>2576000</v>
      </c>
      <c r="K85" s="5"/>
      <c r="L85" s="52" t="s">
        <v>94</v>
      </c>
      <c r="M85" s="59">
        <f>2576*10^3</f>
        <v>2576000</v>
      </c>
      <c r="N85" s="52" t="s">
        <v>94</v>
      </c>
      <c r="O85" s="59">
        <f>2576*10^3</f>
        <v>2576000</v>
      </c>
      <c r="P85" s="52" t="s">
        <v>94</v>
      </c>
      <c r="Q85" s="1">
        <f>2576*10^3</f>
        <v>2576000</v>
      </c>
      <c r="R85" s="52"/>
    </row>
    <row r="86" ht="15.75" customHeight="1">
      <c r="A86" s="52" t="s">
        <v>95</v>
      </c>
      <c r="B86" s="59">
        <f>200*10^3</f>
        <v>200000</v>
      </c>
      <c r="C86" s="52" t="s">
        <v>95</v>
      </c>
      <c r="D86" s="59">
        <f>200*10^3</f>
        <v>200000</v>
      </c>
      <c r="E86" s="52" t="s">
        <v>95</v>
      </c>
      <c r="F86" s="1">
        <f>200*10^3</f>
        <v>200000</v>
      </c>
      <c r="G86" s="52"/>
      <c r="H86" s="59"/>
      <c r="I86" s="1" t="s">
        <v>95</v>
      </c>
      <c r="J86" s="59">
        <f>200*10^3</f>
        <v>200000</v>
      </c>
      <c r="K86" s="5"/>
      <c r="L86" s="52" t="s">
        <v>95</v>
      </c>
      <c r="M86" s="59">
        <f>200*10^3</f>
        <v>200000</v>
      </c>
      <c r="N86" s="52" t="s">
        <v>95</v>
      </c>
      <c r="O86" s="59">
        <f>200*10^3</f>
        <v>200000</v>
      </c>
      <c r="P86" s="52" t="s">
        <v>95</v>
      </c>
      <c r="Q86" s="1">
        <f>200*10^3</f>
        <v>200000</v>
      </c>
      <c r="R86" s="52"/>
    </row>
    <row r="87" ht="15.75" customHeight="1">
      <c r="A87" s="52" t="s">
        <v>96</v>
      </c>
      <c r="B87" s="59">
        <f>0.657+0.54*(B85)/(B85+B86)-0.196*((B85)/(B85+B86))^2</f>
        <v>0.98931981</v>
      </c>
      <c r="C87" s="52" t="s">
        <v>96</v>
      </c>
      <c r="D87" s="59">
        <f>0.657+0.54*(D85)/(D85+D86)-0.196*((D85)/(D85+D86))^2</f>
        <v>0.98931981</v>
      </c>
      <c r="E87" s="52" t="s">
        <v>96</v>
      </c>
      <c r="F87" s="1">
        <f>0.657+0.54*(F85)/(F85+F86)-0.196*((F85)/(F85+F86))^2</f>
        <v>0.98931981</v>
      </c>
      <c r="G87" s="52"/>
      <c r="H87" s="59"/>
      <c r="I87" s="1" t="s">
        <v>96</v>
      </c>
      <c r="J87" s="59">
        <f>0.657+0.54*(J85)/(J85+J86)-0.196*((J85)/(J85+J86))^2</f>
        <v>0.98931981</v>
      </c>
      <c r="K87" s="5"/>
      <c r="L87" s="52" t="s">
        <v>96</v>
      </c>
      <c r="M87" s="59">
        <f>0.657+0.54*(M85)/(M85+M86)-0.196*((M85)/(M85+M86))^2</f>
        <v>0.98931981</v>
      </c>
      <c r="N87" s="52" t="s">
        <v>96</v>
      </c>
      <c r="O87" s="59">
        <f>0.657+0.54*(O85)/(O85+O86)-0.196*((O85)/(O85+O86))^2</f>
        <v>0.98931981</v>
      </c>
      <c r="P87" s="52" t="s">
        <v>96</v>
      </c>
      <c r="Q87" s="1">
        <f>0.657+0.54*(Q85)/(Q85+Q86)-0.196*((Q85)/(Q85+Q86))^2</f>
        <v>0.98931981</v>
      </c>
      <c r="R87" s="52"/>
    </row>
    <row r="88" ht="15.75" customHeight="1">
      <c r="A88" s="52" t="s">
        <v>97</v>
      </c>
      <c r="B88" s="62">
        <f>B36</f>
        <v>14.13716694</v>
      </c>
      <c r="C88" s="52" t="s">
        <v>97</v>
      </c>
      <c r="D88" s="62">
        <f>D36</f>
        <v>14.13716694</v>
      </c>
      <c r="E88" s="52" t="s">
        <v>97</v>
      </c>
      <c r="F88" s="63">
        <f>F36</f>
        <v>14.13716694</v>
      </c>
      <c r="G88" s="52"/>
      <c r="H88" s="59"/>
      <c r="I88" s="1" t="s">
        <v>97</v>
      </c>
      <c r="J88" s="62">
        <f>J36</f>
        <v>10.16166993</v>
      </c>
      <c r="K88" s="5"/>
      <c r="L88" s="52" t="s">
        <v>97</v>
      </c>
      <c r="M88" s="62">
        <f>M36</f>
        <v>14.13716694</v>
      </c>
      <c r="N88" s="52" t="s">
        <v>97</v>
      </c>
      <c r="O88" s="62">
        <f>O36</f>
        <v>14.13716694</v>
      </c>
      <c r="P88" s="52" t="s">
        <v>97</v>
      </c>
      <c r="Q88" s="63">
        <f>Q36</f>
        <v>14.13716694</v>
      </c>
      <c r="R88" s="52"/>
    </row>
    <row r="89" ht="15.75" customHeight="1">
      <c r="A89" s="52" t="s">
        <v>98</v>
      </c>
      <c r="B89" s="59">
        <f>(3*B88/4/PI())^(1/3)</f>
        <v>1.5</v>
      </c>
      <c r="C89" s="52" t="s">
        <v>98</v>
      </c>
      <c r="D89" s="59">
        <f>(3*D88/4/PI())^(1/3)</f>
        <v>1.5</v>
      </c>
      <c r="E89" s="52" t="s">
        <v>98</v>
      </c>
      <c r="F89" s="1">
        <f>(3*F88/4/PI())^(1/3)</f>
        <v>1.5</v>
      </c>
      <c r="G89" s="52"/>
      <c r="H89" s="59"/>
      <c r="I89" s="1" t="s">
        <v>98</v>
      </c>
      <c r="J89" s="59">
        <f>(3*J88/4/PI())^(1/3)</f>
        <v>1.343668569</v>
      </c>
      <c r="K89" s="5"/>
      <c r="L89" s="52" t="s">
        <v>98</v>
      </c>
      <c r="M89" s="59">
        <f>(3*M88/4/PI())^(1/3)</f>
        <v>1.5</v>
      </c>
      <c r="N89" s="52" t="s">
        <v>98</v>
      </c>
      <c r="O89" s="59">
        <f>(3*O88/4/PI())^(1/3)</f>
        <v>1.5</v>
      </c>
      <c r="P89" s="52" t="s">
        <v>98</v>
      </c>
      <c r="Q89" s="1">
        <f>(3*Q88/4/PI())^(1/3)</f>
        <v>1.5</v>
      </c>
      <c r="R89" s="52"/>
    </row>
    <row r="90" ht="15.75" customHeight="1">
      <c r="A90" s="52" t="s">
        <v>99</v>
      </c>
      <c r="B90" s="59">
        <f>0.5*(1-SQRT(1-(1/(B86/B85+B89/B85+1)^2)))</f>
        <v>0.3136518663</v>
      </c>
      <c r="C90" s="52" t="s">
        <v>99</v>
      </c>
      <c r="D90" s="59">
        <f>0.5*(1-SQRT(1-(1/(D86/D85+D89/D85+1)^2)))</f>
        <v>0.3136518663</v>
      </c>
      <c r="E90" s="52" t="s">
        <v>99</v>
      </c>
      <c r="F90" s="1">
        <f>0.5*(1-SQRT(1-(1/(F86/F85+F89/F85+1)^2)))</f>
        <v>0.3136518663</v>
      </c>
      <c r="G90" s="52"/>
      <c r="H90" s="59"/>
      <c r="I90" s="1" t="s">
        <v>99</v>
      </c>
      <c r="J90" s="59">
        <f>0.5*(1-SQRT(1-(1/(J86/J85+J89/J85+1)^2)))</f>
        <v>0.3136519314</v>
      </c>
      <c r="K90" s="5"/>
      <c r="L90" s="52" t="s">
        <v>99</v>
      </c>
      <c r="M90" s="59">
        <f>0.5*(1-SQRT(1-(1/(M86/M85+M89/M85+1)^2)))</f>
        <v>0.3136518663</v>
      </c>
      <c r="N90" s="52" t="s">
        <v>99</v>
      </c>
      <c r="O90" s="59">
        <f>0.5*(1-SQRT(1-(1/(O86/O85+O89/O85+1)^2)))</f>
        <v>0.3136518663</v>
      </c>
      <c r="P90" s="52" t="s">
        <v>99</v>
      </c>
      <c r="Q90" s="1">
        <f>0.5*(1-SQRT(1-(1/(Q86/Q85+Q89/Q85+1)^2)))</f>
        <v>0.3136518663</v>
      </c>
      <c r="R90" s="52"/>
    </row>
    <row r="91" ht="15.75" customHeight="1">
      <c r="A91" s="52" t="s">
        <v>100</v>
      </c>
      <c r="B91" s="62">
        <f>B80</f>
        <v>3.09</v>
      </c>
      <c r="C91" s="52" t="s">
        <v>100</v>
      </c>
      <c r="D91" s="62">
        <f>D80</f>
        <v>3.9</v>
      </c>
      <c r="E91" s="52" t="s">
        <v>100</v>
      </c>
      <c r="F91" s="63">
        <f>F80</f>
        <v>3.36</v>
      </c>
      <c r="G91" s="52"/>
      <c r="H91" s="59"/>
      <c r="I91" s="1" t="s">
        <v>100</v>
      </c>
      <c r="J91" s="62">
        <f>J80</f>
        <v>3.7268</v>
      </c>
      <c r="K91" s="5"/>
      <c r="L91" s="52" t="s">
        <v>100</v>
      </c>
      <c r="M91" s="62">
        <f>M80</f>
        <v>3.09</v>
      </c>
      <c r="N91" s="52" t="s">
        <v>100</v>
      </c>
      <c r="O91" s="62">
        <f>O80</f>
        <v>3.9</v>
      </c>
      <c r="P91" s="52" t="s">
        <v>100</v>
      </c>
      <c r="Q91" s="63">
        <f>Q80</f>
        <v>3.36</v>
      </c>
      <c r="R91" s="52"/>
    </row>
    <row r="92" ht="15.75" customHeight="1">
      <c r="A92" s="52" t="s">
        <v>101</v>
      </c>
      <c r="B92" s="59">
        <f>B82*B83*B90*B91*B75*B87</f>
        <v>2.122076871</v>
      </c>
      <c r="C92" s="52" t="s">
        <v>101</v>
      </c>
      <c r="D92" s="59">
        <f>D82*D83*D90*D91*D75*D87</f>
        <v>2.678349449</v>
      </c>
      <c r="E92" s="52" t="s">
        <v>101</v>
      </c>
      <c r="F92" s="1">
        <f>F82*F83*F90*F91*F75*F87</f>
        <v>0.3404509766</v>
      </c>
      <c r="G92" s="52"/>
      <c r="H92" s="59"/>
      <c r="I92" s="1" t="s">
        <v>101</v>
      </c>
      <c r="J92" s="59">
        <f>J82*J83*J90*J91*J75*J87</f>
        <v>2.559403794</v>
      </c>
      <c r="K92" s="5"/>
      <c r="L92" s="52" t="s">
        <v>101</v>
      </c>
      <c r="M92" s="59">
        <f>M82*M83*M90*M91*M75*M87</f>
        <v>2.122076871</v>
      </c>
      <c r="N92" s="52" t="s">
        <v>101</v>
      </c>
      <c r="O92" s="59">
        <f>O82*O83*O90*O91*O75*O87</f>
        <v>2.678349449</v>
      </c>
      <c r="P92" s="52" t="s">
        <v>101</v>
      </c>
      <c r="Q92" s="1">
        <f>Q82*Q83*Q90*Q91*Q75*Q87</f>
        <v>0.3404509766</v>
      </c>
      <c r="R92" s="52"/>
    </row>
    <row r="93" ht="15.75" customHeight="1">
      <c r="A93" s="52" t="s">
        <v>102</v>
      </c>
      <c r="B93" s="59">
        <f>B82*B84*B90*B91*B75*B87</f>
        <v>1.305893459</v>
      </c>
      <c r="C93" s="52" t="s">
        <v>102</v>
      </c>
      <c r="D93" s="59">
        <f>D82*D84*D90*D91*D75*D87</f>
        <v>1.648215045</v>
      </c>
      <c r="E93" s="52" t="s">
        <v>102</v>
      </c>
      <c r="F93" s="1">
        <f>F82*F84*F90*F91*F75*F87</f>
        <v>0.2095082933</v>
      </c>
      <c r="G93" s="52"/>
      <c r="H93" s="59"/>
      <c r="I93" s="1" t="s">
        <v>102</v>
      </c>
      <c r="J93" s="59">
        <f>J82*J84*J90*J91*J75*J87</f>
        <v>1.575017719</v>
      </c>
      <c r="K93" s="5"/>
      <c r="L93" s="52" t="s">
        <v>102</v>
      </c>
      <c r="M93" s="59">
        <f>M82*M84*M90*M91*M75*M87</f>
        <v>1.305893459</v>
      </c>
      <c r="N93" s="52" t="s">
        <v>102</v>
      </c>
      <c r="O93" s="59">
        <f>O82*O84*O90*O91*O75*O87</f>
        <v>1.648215045</v>
      </c>
      <c r="P93" s="52" t="s">
        <v>102</v>
      </c>
      <c r="Q93" s="1">
        <f>Q82*Q84*Q90*Q91*Q75*Q87</f>
        <v>0.2095082933</v>
      </c>
      <c r="R93" s="52"/>
    </row>
    <row r="94" ht="15.75" customHeight="1">
      <c r="A94" s="60" t="s">
        <v>103</v>
      </c>
      <c r="B94" s="64">
        <v>0.0</v>
      </c>
      <c r="C94" s="60" t="s">
        <v>103</v>
      </c>
      <c r="D94" s="64">
        <v>500.0</v>
      </c>
      <c r="E94" s="60" t="s">
        <v>103</v>
      </c>
      <c r="F94" s="65">
        <f>757.24</f>
        <v>757.24</v>
      </c>
      <c r="G94" s="52"/>
      <c r="H94" s="66"/>
      <c r="I94" s="61" t="s">
        <v>103</v>
      </c>
      <c r="J94" s="64">
        <v>57.6</v>
      </c>
      <c r="K94" s="5"/>
      <c r="L94" s="60" t="s">
        <v>103</v>
      </c>
      <c r="M94" s="64">
        <v>0.0</v>
      </c>
      <c r="N94" s="60" t="s">
        <v>103</v>
      </c>
      <c r="O94" s="64">
        <v>500.0</v>
      </c>
      <c r="P94" s="60" t="s">
        <v>103</v>
      </c>
      <c r="Q94" s="65">
        <f>757.24</f>
        <v>757.24</v>
      </c>
      <c r="R94" s="52"/>
      <c r="S94" s="67"/>
      <c r="U94" s="67"/>
    </row>
    <row r="95" ht="15.75" customHeight="1">
      <c r="A95" s="52" t="s">
        <v>104</v>
      </c>
      <c r="B95" s="53">
        <v>0.0</v>
      </c>
      <c r="C95" s="52" t="s">
        <v>104</v>
      </c>
      <c r="D95" s="53">
        <v>500.0</v>
      </c>
      <c r="E95" s="52" t="s">
        <v>104</v>
      </c>
      <c r="F95" s="54">
        <f>F94/2</f>
        <v>378.62</v>
      </c>
      <c r="G95" s="52"/>
      <c r="H95" s="59"/>
      <c r="I95" s="1" t="s">
        <v>104</v>
      </c>
      <c r="J95" s="53">
        <f>J94/2</f>
        <v>28.8</v>
      </c>
      <c r="K95" s="5"/>
      <c r="L95" s="52" t="s">
        <v>104</v>
      </c>
      <c r="M95" s="53">
        <v>0.0</v>
      </c>
      <c r="N95" s="52" t="s">
        <v>104</v>
      </c>
      <c r="O95" s="53">
        <v>500.0</v>
      </c>
      <c r="P95" s="52" t="s">
        <v>104</v>
      </c>
      <c r="Q95" s="54">
        <f>Q94/2</f>
        <v>378.62</v>
      </c>
      <c r="R95" s="52"/>
    </row>
    <row r="96" ht="15.75" customHeight="1">
      <c r="A96" s="60" t="s">
        <v>105</v>
      </c>
      <c r="B96" s="74">
        <v>0.7</v>
      </c>
      <c r="C96" s="60" t="s">
        <v>105</v>
      </c>
      <c r="D96" s="74">
        <v>0.7</v>
      </c>
      <c r="E96" s="60" t="s">
        <v>105</v>
      </c>
      <c r="F96" s="75">
        <v>0.7</v>
      </c>
      <c r="G96" s="52"/>
      <c r="H96" s="74"/>
      <c r="I96" s="61" t="s">
        <v>105</v>
      </c>
      <c r="J96" s="74">
        <v>0.7</v>
      </c>
      <c r="K96" s="5"/>
      <c r="L96" s="60" t="s">
        <v>105</v>
      </c>
      <c r="M96" s="74">
        <v>0.7</v>
      </c>
      <c r="N96" s="60" t="s">
        <v>105</v>
      </c>
      <c r="O96" s="74">
        <v>0.7</v>
      </c>
      <c r="P96" s="60" t="s">
        <v>105</v>
      </c>
      <c r="Q96" s="75">
        <v>0.7</v>
      </c>
      <c r="R96" s="52"/>
      <c r="S96" s="75"/>
      <c r="U96" s="75"/>
    </row>
    <row r="97" ht="15.75" customHeight="1">
      <c r="A97" s="52" t="s">
        <v>106</v>
      </c>
      <c r="B97" s="74">
        <v>0.35</v>
      </c>
      <c r="C97" s="52" t="s">
        <v>106</v>
      </c>
      <c r="D97" s="74">
        <v>0.35</v>
      </c>
      <c r="E97" s="52" t="s">
        <v>106</v>
      </c>
      <c r="F97" s="75">
        <v>0.35</v>
      </c>
      <c r="G97" s="52"/>
      <c r="H97" s="74"/>
      <c r="I97" s="1" t="s">
        <v>106</v>
      </c>
      <c r="J97" s="74">
        <v>0.35</v>
      </c>
      <c r="K97" s="5"/>
      <c r="L97" s="52" t="s">
        <v>106</v>
      </c>
      <c r="M97" s="74">
        <v>0.35</v>
      </c>
      <c r="N97" s="52" t="s">
        <v>106</v>
      </c>
      <c r="O97" s="74">
        <v>0.35</v>
      </c>
      <c r="P97" s="52" t="s">
        <v>106</v>
      </c>
      <c r="Q97" s="75">
        <v>0.35</v>
      </c>
      <c r="R97" s="52"/>
      <c r="S97" s="75"/>
      <c r="U97" s="75"/>
    </row>
    <row r="98" ht="15.75" customHeight="1">
      <c r="A98" s="52" t="s">
        <v>99</v>
      </c>
      <c r="B98" s="62">
        <f>B90</f>
        <v>0.3136518663</v>
      </c>
      <c r="C98" s="52" t="s">
        <v>99</v>
      </c>
      <c r="D98" s="62">
        <f>D90</f>
        <v>0.3136518663</v>
      </c>
      <c r="E98" s="52" t="s">
        <v>99</v>
      </c>
      <c r="F98" s="63">
        <f>F90</f>
        <v>0.3136518663</v>
      </c>
      <c r="G98" s="52"/>
      <c r="H98" s="59"/>
      <c r="I98" s="1" t="s">
        <v>99</v>
      </c>
      <c r="J98" s="62">
        <f>J90</f>
        <v>0.3136519314</v>
      </c>
      <c r="K98" s="5"/>
      <c r="L98" s="52" t="s">
        <v>99</v>
      </c>
      <c r="M98" s="62">
        <f>M90</f>
        <v>0.3136518663</v>
      </c>
      <c r="N98" s="52" t="s">
        <v>99</v>
      </c>
      <c r="O98" s="62">
        <f>O90</f>
        <v>0.3136518663</v>
      </c>
      <c r="P98" s="52" t="s">
        <v>99</v>
      </c>
      <c r="Q98" s="63">
        <f>Q90</f>
        <v>0.3136518663</v>
      </c>
      <c r="R98" s="52"/>
    </row>
    <row r="99" ht="15.75" customHeight="1">
      <c r="A99" s="52" t="s">
        <v>100</v>
      </c>
      <c r="B99" s="62">
        <f>B80</f>
        <v>3.09</v>
      </c>
      <c r="C99" s="52" t="s">
        <v>100</v>
      </c>
      <c r="D99" s="62">
        <f>D80</f>
        <v>3.9</v>
      </c>
      <c r="E99" s="52" t="s">
        <v>100</v>
      </c>
      <c r="F99" s="63">
        <f>F80</f>
        <v>3.36</v>
      </c>
      <c r="G99" s="52"/>
      <c r="H99" s="59"/>
      <c r="I99" s="1" t="s">
        <v>100</v>
      </c>
      <c r="J99" s="62">
        <f>J80</f>
        <v>3.7268</v>
      </c>
      <c r="K99" s="5"/>
      <c r="L99" s="52" t="s">
        <v>100</v>
      </c>
      <c r="M99" s="62">
        <f>M80</f>
        <v>3.09</v>
      </c>
      <c r="N99" s="52" t="s">
        <v>100</v>
      </c>
      <c r="O99" s="62">
        <f>O80</f>
        <v>3.9</v>
      </c>
      <c r="P99" s="52" t="s">
        <v>100</v>
      </c>
      <c r="Q99" s="63">
        <f>Q80</f>
        <v>3.36</v>
      </c>
      <c r="R99" s="52"/>
    </row>
    <row r="100" ht="15.75" customHeight="1">
      <c r="A100" s="52" t="s">
        <v>107</v>
      </c>
      <c r="B100" s="59">
        <f>B96*B98*B99*B75</f>
        <v>0.413841682</v>
      </c>
      <c r="C100" s="52" t="s">
        <v>107</v>
      </c>
      <c r="D100" s="59">
        <f>D96*D98*D99*D75</f>
        <v>0.522324453</v>
      </c>
      <c r="E100" s="52" t="s">
        <v>107</v>
      </c>
      <c r="F100" s="1">
        <f>F96*F98*F99*F75</f>
        <v>0.06639382706</v>
      </c>
      <c r="G100" s="52"/>
      <c r="H100" s="59"/>
      <c r="I100" s="1" t="s">
        <v>107</v>
      </c>
      <c r="J100" s="59">
        <f>J96*J98*J99*J75</f>
        <v>0.4991279936</v>
      </c>
      <c r="K100" s="5"/>
      <c r="L100" s="52" t="s">
        <v>107</v>
      </c>
      <c r="M100" s="59">
        <f>M96*M98*M99*M75</f>
        <v>0.413841682</v>
      </c>
      <c r="N100" s="52" t="s">
        <v>107</v>
      </c>
      <c r="O100" s="59">
        <f>O96*O98*O99*O75</f>
        <v>0.522324453</v>
      </c>
      <c r="P100" s="52" t="s">
        <v>107</v>
      </c>
      <c r="Q100" s="1">
        <f>Q96*Q98*Q99*Q75</f>
        <v>0.06639382706</v>
      </c>
      <c r="R100" s="52"/>
    </row>
    <row r="101" ht="15.75" customHeight="1">
      <c r="A101" s="52" t="s">
        <v>108</v>
      </c>
      <c r="B101" s="59">
        <f>B97*B98*B99*B75</f>
        <v>0.206920841</v>
      </c>
      <c r="C101" s="52" t="s">
        <v>108</v>
      </c>
      <c r="D101" s="59">
        <f>D97*D98*D99*D75</f>
        <v>0.2611622265</v>
      </c>
      <c r="E101" s="52" t="s">
        <v>108</v>
      </c>
      <c r="F101" s="1">
        <f>F97*F98*F99*F75</f>
        <v>0.03319691353</v>
      </c>
      <c r="G101" s="52"/>
      <c r="H101" s="59"/>
      <c r="I101" s="1" t="s">
        <v>108</v>
      </c>
      <c r="J101" s="59">
        <f>J97*J98*J99*J75</f>
        <v>0.2495639968</v>
      </c>
      <c r="K101" s="5"/>
      <c r="L101" s="52" t="s">
        <v>108</v>
      </c>
      <c r="M101" s="59">
        <f>M97*M98*M99*M75</f>
        <v>0.206920841</v>
      </c>
      <c r="N101" s="52" t="s">
        <v>108</v>
      </c>
      <c r="O101" s="59">
        <f>O97*O98*O99*O75</f>
        <v>0.2611622265</v>
      </c>
      <c r="P101" s="52" t="s">
        <v>108</v>
      </c>
      <c r="Q101" s="1">
        <f>Q97*Q98*Q99*Q75</f>
        <v>0.03319691353</v>
      </c>
      <c r="R101" s="52"/>
    </row>
    <row r="102" ht="15.75" customHeight="1">
      <c r="A102" s="60" t="s">
        <v>109</v>
      </c>
      <c r="B102" s="53">
        <v>-40.0</v>
      </c>
      <c r="C102" s="60" t="s">
        <v>109</v>
      </c>
      <c r="D102" s="53">
        <v>-40.0</v>
      </c>
      <c r="E102" s="60" t="s">
        <v>109</v>
      </c>
      <c r="F102" s="54">
        <v>-40.0</v>
      </c>
      <c r="G102" s="52"/>
      <c r="H102" s="59"/>
      <c r="I102" s="61" t="s">
        <v>109</v>
      </c>
      <c r="J102" s="53">
        <v>-40.0</v>
      </c>
      <c r="K102" s="5"/>
      <c r="L102" s="60" t="s">
        <v>109</v>
      </c>
      <c r="M102" s="53">
        <v>-40.0</v>
      </c>
      <c r="N102" s="60" t="s">
        <v>109</v>
      </c>
      <c r="O102" s="53">
        <v>-40.0</v>
      </c>
      <c r="P102" s="60" t="s">
        <v>109</v>
      </c>
      <c r="Q102" s="54">
        <v>-40.0</v>
      </c>
      <c r="R102" s="52"/>
    </row>
    <row r="103" ht="15.75" customHeight="1">
      <c r="A103" s="52" t="s">
        <v>110</v>
      </c>
      <c r="B103" s="59">
        <f>B102+273.15</f>
        <v>233.15</v>
      </c>
      <c r="C103" s="52" t="s">
        <v>110</v>
      </c>
      <c r="D103" s="59">
        <f>D102+273.15</f>
        <v>233.15</v>
      </c>
      <c r="E103" s="52" t="s">
        <v>110</v>
      </c>
      <c r="F103" s="1">
        <f>F102+273.15</f>
        <v>233.15</v>
      </c>
      <c r="G103" s="52"/>
      <c r="H103" s="59"/>
      <c r="I103" s="1" t="s">
        <v>110</v>
      </c>
      <c r="J103" s="59">
        <f>J102+273.15</f>
        <v>233.15</v>
      </c>
      <c r="K103" s="5"/>
      <c r="L103" s="52" t="s">
        <v>110</v>
      </c>
      <c r="M103" s="59">
        <f>M102+273.15</f>
        <v>233.15</v>
      </c>
      <c r="N103" s="52" t="s">
        <v>110</v>
      </c>
      <c r="O103" s="59">
        <f>O102+273.15</f>
        <v>233.15</v>
      </c>
      <c r="P103" s="52" t="s">
        <v>110</v>
      </c>
      <c r="Q103" s="1">
        <f>Q102+273.15</f>
        <v>233.15</v>
      </c>
      <c r="R103" s="52"/>
    </row>
    <row r="104" ht="15.75" customHeight="1">
      <c r="A104" s="52" t="s">
        <v>111</v>
      </c>
      <c r="B104" s="59">
        <v>0.0</v>
      </c>
      <c r="C104" s="52" t="s">
        <v>111</v>
      </c>
      <c r="D104" s="59">
        <v>0.0</v>
      </c>
      <c r="E104" s="52" t="s">
        <v>111</v>
      </c>
      <c r="F104" s="1">
        <v>0.0</v>
      </c>
      <c r="G104" s="52"/>
      <c r="H104" s="59"/>
      <c r="I104" s="1" t="s">
        <v>111</v>
      </c>
      <c r="J104" s="59">
        <v>0.0</v>
      </c>
      <c r="K104" s="5"/>
      <c r="L104" s="52" t="s">
        <v>111</v>
      </c>
      <c r="M104" s="59">
        <v>0.0</v>
      </c>
      <c r="N104" s="52" t="s">
        <v>111</v>
      </c>
      <c r="O104" s="59">
        <v>0.0</v>
      </c>
      <c r="P104" s="52" t="s">
        <v>111</v>
      </c>
      <c r="Q104" s="1">
        <v>0.0</v>
      </c>
      <c r="R104" s="52"/>
    </row>
    <row r="105" ht="15.75" customHeight="1">
      <c r="A105" s="52" t="s">
        <v>112</v>
      </c>
      <c r="B105" s="66">
        <f>B81+B92+B94+B100</f>
        <v>28.83879122</v>
      </c>
      <c r="C105" s="52" t="s">
        <v>112</v>
      </c>
      <c r="D105" s="66">
        <f>D81+D92+D94+D100</f>
        <v>536.3984744</v>
      </c>
      <c r="E105" s="52" t="s">
        <v>112</v>
      </c>
      <c r="F105" s="67">
        <f>F81+F92+F94+F100</f>
        <v>761.8666913</v>
      </c>
      <c r="G105" s="52"/>
      <c r="H105" s="66"/>
      <c r="I105" s="1" t="s">
        <v>112</v>
      </c>
      <c r="J105" s="66">
        <f>J81+J92+J94+J100</f>
        <v>92.38200941</v>
      </c>
      <c r="K105" s="5"/>
      <c r="L105" s="52" t="s">
        <v>112</v>
      </c>
      <c r="M105" s="66">
        <f>M81+M92+M94+M100</f>
        <v>28.83879122</v>
      </c>
      <c r="N105" s="52" t="s">
        <v>112</v>
      </c>
      <c r="O105" s="66">
        <f>O81+O92+O94+O100</f>
        <v>536.3984744</v>
      </c>
      <c r="P105" s="52" t="s">
        <v>112</v>
      </c>
      <c r="Q105" s="67">
        <f>Q81+Q92+Q94+Q100</f>
        <v>761.8666913</v>
      </c>
      <c r="R105" s="52"/>
      <c r="S105" s="67"/>
      <c r="U105" s="67"/>
    </row>
    <row r="106" ht="15.75" customHeight="1">
      <c r="A106" s="52" t="s">
        <v>113</v>
      </c>
      <c r="B106" s="66">
        <f>B93+B95+B101</f>
        <v>1.5128143</v>
      </c>
      <c r="C106" s="52" t="s">
        <v>113</v>
      </c>
      <c r="D106" s="66">
        <f>D93+D95+D101</f>
        <v>501.9093773</v>
      </c>
      <c r="E106" s="52" t="s">
        <v>113</v>
      </c>
      <c r="F106" s="67">
        <f>F93+F95+F101</f>
        <v>378.8627052</v>
      </c>
      <c r="G106" s="52"/>
      <c r="H106" s="66"/>
      <c r="I106" s="1" t="s">
        <v>113</v>
      </c>
      <c r="J106" s="66">
        <f>J93+J95+J101</f>
        <v>30.62458172</v>
      </c>
      <c r="K106" s="5"/>
      <c r="L106" s="52" t="s">
        <v>113</v>
      </c>
      <c r="M106" s="66">
        <f>M93+M95+M101</f>
        <v>1.5128143</v>
      </c>
      <c r="N106" s="52" t="s">
        <v>113</v>
      </c>
      <c r="O106" s="66">
        <f>O93+O95+O101</f>
        <v>501.9093773</v>
      </c>
      <c r="P106" s="52" t="s">
        <v>113</v>
      </c>
      <c r="Q106" s="67">
        <f>Q93+Q95+Q101</f>
        <v>378.8627052</v>
      </c>
      <c r="R106" s="52"/>
      <c r="S106" s="67"/>
      <c r="U106" s="67"/>
    </row>
    <row r="107" ht="15.75" customHeight="1">
      <c r="A107" s="52" t="s">
        <v>114</v>
      </c>
      <c r="B107" s="59">
        <f>$F$1*B78*(B74+B66)*(B103-B104)^4</f>
        <v>702.6772233</v>
      </c>
      <c r="C107" s="52" t="s">
        <v>114</v>
      </c>
      <c r="D107" s="59">
        <f>$F$1*D78*(D74+D66)*(D103-D104)^4</f>
        <v>809.2630942</v>
      </c>
      <c r="E107" s="52" t="s">
        <v>114</v>
      </c>
      <c r="F107" s="1">
        <f>$F$1*F78*(F74+F66)*(F103-F104)^4</f>
        <v>795.8411697</v>
      </c>
      <c r="G107" s="52"/>
      <c r="H107" s="59"/>
      <c r="I107" s="1" t="s">
        <v>114</v>
      </c>
      <c r="J107" s="59">
        <f>$F$1*J78*(J74+J66)*(J103-J104)^4</f>
        <v>667.4302906</v>
      </c>
      <c r="K107" s="5"/>
      <c r="L107" s="52" t="s">
        <v>114</v>
      </c>
      <c r="M107" s="59">
        <f>$F$1*M78*(M74+M66)*(M103-M104)^4</f>
        <v>702.6772233</v>
      </c>
      <c r="N107" s="52" t="s">
        <v>114</v>
      </c>
      <c r="O107" s="59">
        <f>$F$1*O78*(O74+O66)*(O103-O104)^4</f>
        <v>513.1912305</v>
      </c>
      <c r="P107" s="52" t="s">
        <v>114</v>
      </c>
      <c r="Q107" s="1">
        <f>$F$1*Q78*(Q74+Q66)*(Q103-Q104)^4</f>
        <v>795.8411697</v>
      </c>
      <c r="R107" s="52"/>
    </row>
    <row r="108" ht="15.75" customHeight="1">
      <c r="A108" s="52" t="s">
        <v>115</v>
      </c>
      <c r="B108" s="66">
        <f>B107-B106</f>
        <v>701.164409</v>
      </c>
      <c r="C108" s="52" t="s">
        <v>115</v>
      </c>
      <c r="D108" s="66">
        <f>D107-D106</f>
        <v>307.3537169</v>
      </c>
      <c r="E108" s="52" t="s">
        <v>115</v>
      </c>
      <c r="F108" s="67">
        <f>F107-F106</f>
        <v>416.9784645</v>
      </c>
      <c r="G108" s="52"/>
      <c r="H108" s="66"/>
      <c r="I108" s="1" t="s">
        <v>115</v>
      </c>
      <c r="J108" s="66">
        <f>J107-J106</f>
        <v>636.8057089</v>
      </c>
      <c r="K108" s="5"/>
      <c r="L108" s="52" t="s">
        <v>115</v>
      </c>
      <c r="M108" s="66">
        <f>M107-M106</f>
        <v>701.164409</v>
      </c>
      <c r="N108" s="52" t="s">
        <v>115</v>
      </c>
      <c r="O108" s="66">
        <f>O107-O106</f>
        <v>11.2818532</v>
      </c>
      <c r="P108" s="52" t="s">
        <v>115</v>
      </c>
      <c r="Q108" s="67">
        <f>Q107-Q106</f>
        <v>416.9784645</v>
      </c>
      <c r="R108" s="52"/>
      <c r="S108" s="67"/>
      <c r="U108" s="67"/>
    </row>
    <row r="109" ht="15.75" customHeight="1">
      <c r="A109" s="52" t="s">
        <v>116</v>
      </c>
      <c r="B109" s="66">
        <f>B107-B105</f>
        <v>673.8384321</v>
      </c>
      <c r="C109" s="52" t="s">
        <v>116</v>
      </c>
      <c r="D109" s="66">
        <f>D107-D105</f>
        <v>272.8646199</v>
      </c>
      <c r="E109" s="52" t="s">
        <v>116</v>
      </c>
      <c r="F109" s="67">
        <f>F107-F105</f>
        <v>33.97447841</v>
      </c>
      <c r="G109" s="52"/>
      <c r="H109" s="66"/>
      <c r="I109" s="1" t="s">
        <v>116</v>
      </c>
      <c r="J109" s="66">
        <f>J107-J105</f>
        <v>575.0482812</v>
      </c>
      <c r="K109" s="5"/>
      <c r="L109" s="52" t="s">
        <v>116</v>
      </c>
      <c r="M109" s="66">
        <f>M107-M105</f>
        <v>673.8384321</v>
      </c>
      <c r="N109" s="52" t="s">
        <v>116</v>
      </c>
      <c r="O109" s="66">
        <f>O107-O105</f>
        <v>-23.20724388</v>
      </c>
      <c r="P109" s="52" t="s">
        <v>116</v>
      </c>
      <c r="Q109" s="67">
        <f>Q107-Q105</f>
        <v>33.97447841</v>
      </c>
      <c r="R109" s="52"/>
      <c r="S109" s="67"/>
      <c r="U109" s="67"/>
    </row>
    <row r="110" ht="15.75" customHeight="1">
      <c r="A110" s="52" t="s">
        <v>117</v>
      </c>
      <c r="B110" s="59">
        <f>(((B105)/($F$1*B78*(B66+B74)))^0.25 + B104) - 273.15</f>
        <v>-168.2100836</v>
      </c>
      <c r="C110" s="52" t="s">
        <v>117</v>
      </c>
      <c r="D110" s="59">
        <f>(((D105)/($F$1*D78*(D66+D74)))^0.25 + D104) - 273.15</f>
        <v>-62.77948532</v>
      </c>
      <c r="E110" s="52" t="s">
        <v>117</v>
      </c>
      <c r="F110" s="1">
        <f>(((F105)/($F$1*F78*(F66+F74)))^0.25 + F104) - 273.15</f>
        <v>-42.52915133</v>
      </c>
      <c r="G110" s="52"/>
      <c r="H110" s="59"/>
      <c r="I110" s="1" t="s">
        <v>117</v>
      </c>
      <c r="J110" s="59">
        <f>(((J105)/($F$1*J78*(J66+J74)))^0.25 + J104) - 273.15</f>
        <v>-130.9397851</v>
      </c>
      <c r="K110" s="5"/>
      <c r="L110" s="52" t="s">
        <v>117</v>
      </c>
      <c r="M110" s="59">
        <f>(((M105)/($F$1*M78*(M66+M74)))^0.25 + M104) - 273.15</f>
        <v>-168.2100836</v>
      </c>
      <c r="N110" s="52" t="s">
        <v>117</v>
      </c>
      <c r="O110" s="59">
        <f>(((O105)/($F$1*O78*(O66+O74)))^0.25 + O104) - 273.15</f>
        <v>-37.4077107</v>
      </c>
      <c r="P110" s="52" t="s">
        <v>117</v>
      </c>
      <c r="Q110" s="1">
        <f>(((Q105)/($F$1*Q78*(Q66+Q74)))^0.25 + Q104) - 273.15</f>
        <v>-42.52915133</v>
      </c>
      <c r="R110" s="52"/>
    </row>
    <row r="111" ht="15.75" customHeight="1">
      <c r="A111" s="68" t="s">
        <v>118</v>
      </c>
      <c r="B111" s="69">
        <f>(((B106)/($F$1*B78*(B66+B74)))^0.25 + B104) - 273.15</f>
        <v>-222.9281327</v>
      </c>
      <c r="C111" s="68" t="s">
        <v>118</v>
      </c>
      <c r="D111" s="69">
        <f>(((D106)/($F$1*D78*(D66+D74)))^0.25 + D104) - 273.15</f>
        <v>-66.24579675</v>
      </c>
      <c r="E111" s="68" t="s">
        <v>118</v>
      </c>
      <c r="F111" s="70">
        <f>(((F106)/($F$1*F78*(F66+F74)))^0.25 + F104) - 273.15</f>
        <v>-79.48582804</v>
      </c>
      <c r="G111" s="52"/>
      <c r="H111" s="59"/>
      <c r="I111" s="70" t="s">
        <v>118</v>
      </c>
      <c r="J111" s="69">
        <f>(((J106)/($F$1*J78*(J66+J74)))^0.25 + J104) - 273.15</f>
        <v>-165.2425368</v>
      </c>
      <c r="K111" s="5"/>
      <c r="L111" s="68" t="s">
        <v>118</v>
      </c>
      <c r="M111" s="69">
        <f>(((M106)/($F$1*M78*(M66+M74)))^0.25 + M104) - 273.15</f>
        <v>-222.9281327</v>
      </c>
      <c r="N111" s="68" t="s">
        <v>118</v>
      </c>
      <c r="O111" s="69">
        <f>(((O106)/($F$1*O78*(O66+O74)))^0.25 + O104) - 273.15</f>
        <v>-41.29207726</v>
      </c>
      <c r="P111" s="68" t="s">
        <v>118</v>
      </c>
      <c r="Q111" s="70">
        <f>(((Q106)/($F$1*Q78*(Q66+Q74)))^0.25 + Q104) - 273.15</f>
        <v>-79.48582804</v>
      </c>
      <c r="R111" s="52"/>
    </row>
    <row r="112" ht="15.75" customHeight="1">
      <c r="F112" s="61"/>
      <c r="K112" s="5"/>
      <c r="Q112" s="61"/>
    </row>
    <row r="113" ht="15.75" customHeight="1">
      <c r="K113" s="5"/>
    </row>
    <row r="114" ht="15.75" customHeight="1">
      <c r="A114" s="50" t="s">
        <v>125</v>
      </c>
      <c r="B114" s="51"/>
      <c r="C114" s="48" t="s">
        <v>126</v>
      </c>
      <c r="D114" s="49"/>
      <c r="E114" s="48" t="s">
        <v>127</v>
      </c>
      <c r="F114" s="49"/>
      <c r="G114" s="48" t="s">
        <v>128</v>
      </c>
      <c r="H114" s="49"/>
      <c r="I114" s="50" t="s">
        <v>129</v>
      </c>
      <c r="J114" s="51"/>
      <c r="K114" s="5"/>
      <c r="L114" s="50" t="s">
        <v>125</v>
      </c>
      <c r="M114" s="51"/>
      <c r="N114" s="48" t="s">
        <v>126</v>
      </c>
      <c r="O114" s="49"/>
      <c r="P114" s="48" t="s">
        <v>127</v>
      </c>
      <c r="Q114" s="49"/>
      <c r="R114" s="48" t="s">
        <v>128</v>
      </c>
      <c r="S114" s="49"/>
      <c r="T114" s="50" t="s">
        <v>130</v>
      </c>
      <c r="U114" s="51"/>
    </row>
    <row r="115" ht="15.0" customHeight="1">
      <c r="A115" s="76" t="s">
        <v>131</v>
      </c>
      <c r="B115" s="56"/>
      <c r="C115" s="1" t="s">
        <v>72</v>
      </c>
      <c r="D115" s="62">
        <f t="shared" ref="D115:D116" si="15">D11</f>
        <v>0.61</v>
      </c>
      <c r="E115" s="52" t="s">
        <v>72</v>
      </c>
      <c r="F115" s="62">
        <f t="shared" ref="F115:F116" si="16">F11</f>
        <v>0.09</v>
      </c>
      <c r="G115" s="52" t="s">
        <v>72</v>
      </c>
      <c r="H115" s="54">
        <v>0.09</v>
      </c>
      <c r="I115" s="77" t="s">
        <v>132</v>
      </c>
      <c r="J115" s="49"/>
      <c r="K115" s="5"/>
      <c r="L115" s="76" t="s">
        <v>131</v>
      </c>
      <c r="M115" s="56"/>
      <c r="N115" s="1" t="s">
        <v>72</v>
      </c>
      <c r="O115" s="62">
        <f t="shared" ref="O115:O116" si="17">O11</f>
        <v>0.61</v>
      </c>
      <c r="P115" s="52" t="s">
        <v>72</v>
      </c>
      <c r="Q115" s="62">
        <f t="shared" ref="Q115:Q116" si="18">Q11</f>
        <v>0.09</v>
      </c>
      <c r="R115" s="52" t="s">
        <v>72</v>
      </c>
      <c r="S115" s="54">
        <v>0.09</v>
      </c>
      <c r="T115" s="77" t="s">
        <v>124</v>
      </c>
      <c r="U115" s="49"/>
    </row>
    <row r="116" ht="15.75" customHeight="1">
      <c r="A116" s="47"/>
      <c r="B116" s="58"/>
      <c r="C116" s="1" t="s">
        <v>74</v>
      </c>
      <c r="D116" s="62">
        <f t="shared" si="15"/>
        <v>0.25</v>
      </c>
      <c r="E116" s="52" t="s">
        <v>74</v>
      </c>
      <c r="F116" s="62">
        <f t="shared" si="16"/>
        <v>0.45</v>
      </c>
      <c r="G116" s="52" t="s">
        <v>74</v>
      </c>
      <c r="H116" s="54">
        <v>0.45</v>
      </c>
      <c r="I116" s="72"/>
      <c r="J116" s="56"/>
      <c r="K116" s="5"/>
      <c r="L116" s="47"/>
      <c r="M116" s="58"/>
      <c r="N116" s="1" t="s">
        <v>74</v>
      </c>
      <c r="O116" s="62">
        <f t="shared" si="17"/>
        <v>0.25</v>
      </c>
      <c r="P116" s="52" t="s">
        <v>74</v>
      </c>
      <c r="Q116" s="62">
        <f t="shared" si="18"/>
        <v>0.45</v>
      </c>
      <c r="R116" s="52" t="s">
        <v>74</v>
      </c>
      <c r="S116" s="54">
        <v>0.45</v>
      </c>
      <c r="T116" s="72"/>
      <c r="U116" s="56"/>
    </row>
    <row r="117" ht="15.75" customHeight="1">
      <c r="B117" s="59"/>
      <c r="C117" s="1" t="s">
        <v>75</v>
      </c>
      <c r="D117" s="59">
        <f> 2*1.5 * 1.3</f>
        <v>3.9</v>
      </c>
      <c r="E117" s="52" t="s">
        <v>75</v>
      </c>
      <c r="F117" s="59">
        <v>3.3600000000000003</v>
      </c>
      <c r="G117" s="52" t="s">
        <v>75</v>
      </c>
      <c r="H117" s="59">
        <f> 1*1</f>
        <v>1</v>
      </c>
      <c r="I117" s="57"/>
      <c r="J117" s="58"/>
      <c r="K117" s="5"/>
      <c r="M117" s="59"/>
      <c r="N117" s="1" t="s">
        <v>75</v>
      </c>
      <c r="O117" s="59">
        <f> 2*1.5 * 1.3</f>
        <v>3.9</v>
      </c>
      <c r="P117" s="52" t="s">
        <v>75</v>
      </c>
      <c r="Q117" s="59">
        <v>3.3600000000000003</v>
      </c>
      <c r="R117" s="52" t="s">
        <v>75</v>
      </c>
      <c r="S117" s="59">
        <f> 1*1</f>
        <v>1</v>
      </c>
      <c r="T117" s="57"/>
      <c r="U117" s="58"/>
    </row>
    <row r="118" ht="15.75" customHeight="1">
      <c r="B118" s="59"/>
      <c r="C118" s="1" t="s">
        <v>76</v>
      </c>
      <c r="D118" s="59">
        <f> 2*PI()*1.5*1.3 + PI()*1.5^2</f>
        <v>19.32079482</v>
      </c>
      <c r="E118" s="52" t="s">
        <v>76</v>
      </c>
      <c r="F118" s="59">
        <v>10.555751316061706</v>
      </c>
      <c r="G118" s="52" t="s">
        <v>76</v>
      </c>
      <c r="H118" s="59">
        <f> (1*1) + 2*(0.5*0.14+0.5*0.29) + (1*0.14) + (1*0.29) + (1*1+(0.29-0.14)*1)</f>
        <v>3.01</v>
      </c>
      <c r="K118" s="5"/>
      <c r="M118" s="59"/>
      <c r="N118" s="1" t="s">
        <v>76</v>
      </c>
      <c r="O118" s="59">
        <f> 2*PI()*1.5*1.3</f>
        <v>12.25221135</v>
      </c>
      <c r="P118" s="52" t="s">
        <v>76</v>
      </c>
      <c r="Q118" s="59">
        <v>10.555751316061706</v>
      </c>
      <c r="R118" s="52" t="s">
        <v>76</v>
      </c>
      <c r="S118" s="59">
        <f> (1*1) + 2*(0.5*0.14+0.5*0.29) + (1*0.14) + (1*0.29) + (1*1+(0.29-0.14)*1)</f>
        <v>3.01</v>
      </c>
    </row>
    <row r="119" ht="15.75" customHeight="1">
      <c r="B119" s="59"/>
      <c r="C119" s="1" t="s">
        <v>77</v>
      </c>
      <c r="D119" s="62">
        <f t="shared" ref="D119:D124" si="19">D15</f>
        <v>0.85</v>
      </c>
      <c r="E119" s="52" t="s">
        <v>77</v>
      </c>
      <c r="F119" s="62">
        <f t="shared" ref="F119:F124" si="20">F15</f>
        <v>0.85</v>
      </c>
      <c r="G119" s="52" t="s">
        <v>77</v>
      </c>
      <c r="H119" s="53">
        <v>0.85</v>
      </c>
      <c r="K119" s="5"/>
      <c r="M119" s="59"/>
      <c r="N119" s="1" t="s">
        <v>77</v>
      </c>
      <c r="O119" s="62">
        <f t="shared" ref="O119:O124" si="21">O15</f>
        <v>0.85</v>
      </c>
      <c r="P119" s="52" t="s">
        <v>77</v>
      </c>
      <c r="Q119" s="62">
        <f t="shared" ref="Q119:Q124" si="22">Q15</f>
        <v>0.85</v>
      </c>
      <c r="R119" s="52" t="s">
        <v>77</v>
      </c>
      <c r="S119" s="53">
        <v>0.85</v>
      </c>
    </row>
    <row r="120" ht="15.75" customHeight="1">
      <c r="B120" s="59"/>
      <c r="C120" s="1" t="s">
        <v>78</v>
      </c>
      <c r="D120" s="62">
        <f t="shared" si="19"/>
        <v>0.9</v>
      </c>
      <c r="E120" s="52" t="s">
        <v>78</v>
      </c>
      <c r="F120" s="62">
        <f t="shared" si="20"/>
        <v>0.9</v>
      </c>
      <c r="G120" s="52" t="s">
        <v>78</v>
      </c>
      <c r="H120" s="53">
        <v>0.9</v>
      </c>
      <c r="K120" s="5"/>
      <c r="M120" s="59"/>
      <c r="N120" s="1" t="s">
        <v>78</v>
      </c>
      <c r="O120" s="62">
        <f t="shared" si="21"/>
        <v>0.9</v>
      </c>
      <c r="P120" s="52" t="s">
        <v>78</v>
      </c>
      <c r="Q120" s="62">
        <f t="shared" si="22"/>
        <v>0.9</v>
      </c>
      <c r="R120" s="52" t="s">
        <v>78</v>
      </c>
      <c r="S120" s="53">
        <v>0.9</v>
      </c>
    </row>
    <row r="121" ht="15.75" customHeight="1">
      <c r="B121" s="59"/>
      <c r="C121" s="1" t="s">
        <v>79</v>
      </c>
      <c r="D121" s="62">
        <f t="shared" si="19"/>
        <v>2</v>
      </c>
      <c r="E121" s="52" t="s">
        <v>79</v>
      </c>
      <c r="F121" s="62">
        <f t="shared" si="20"/>
        <v>2</v>
      </c>
      <c r="G121" s="52" t="s">
        <v>79</v>
      </c>
      <c r="H121" s="53">
        <v>2.0</v>
      </c>
      <c r="K121" s="5"/>
      <c r="M121" s="59"/>
      <c r="N121" s="1" t="s">
        <v>79</v>
      </c>
      <c r="O121" s="62">
        <f t="shared" si="21"/>
        <v>2</v>
      </c>
      <c r="P121" s="52" t="s">
        <v>79</v>
      </c>
      <c r="Q121" s="62">
        <f t="shared" si="22"/>
        <v>2</v>
      </c>
      <c r="R121" s="52" t="s">
        <v>79</v>
      </c>
      <c r="S121" s="53">
        <v>2.0</v>
      </c>
    </row>
    <row r="122" ht="15.75" customHeight="1">
      <c r="B122" s="59"/>
      <c r="C122" s="1" t="s">
        <v>80</v>
      </c>
      <c r="D122" s="62">
        <f t="shared" si="19"/>
        <v>2</v>
      </c>
      <c r="E122" s="52" t="s">
        <v>80</v>
      </c>
      <c r="F122" s="62">
        <f t="shared" si="20"/>
        <v>2</v>
      </c>
      <c r="G122" s="52" t="s">
        <v>80</v>
      </c>
      <c r="H122" s="53">
        <v>2.0</v>
      </c>
      <c r="K122" s="5"/>
      <c r="M122" s="59"/>
      <c r="N122" s="1" t="s">
        <v>80</v>
      </c>
      <c r="O122" s="62">
        <f t="shared" si="21"/>
        <v>2</v>
      </c>
      <c r="P122" s="52" t="s">
        <v>80</v>
      </c>
      <c r="Q122" s="62">
        <f t="shared" si="22"/>
        <v>2</v>
      </c>
      <c r="R122" s="52" t="s">
        <v>80</v>
      </c>
      <c r="S122" s="53">
        <v>2.0</v>
      </c>
    </row>
    <row r="123" ht="15.75" customHeight="1">
      <c r="B123" s="59"/>
      <c r="C123" s="1" t="s">
        <v>81</v>
      </c>
      <c r="D123" s="62">
        <f t="shared" si="19"/>
        <v>0.0254</v>
      </c>
      <c r="E123" s="52" t="s">
        <v>81</v>
      </c>
      <c r="F123" s="62">
        <f t="shared" si="20"/>
        <v>0.0254</v>
      </c>
      <c r="G123" s="52" t="s">
        <v>81</v>
      </c>
      <c r="H123" s="53">
        <v>0.0254</v>
      </c>
      <c r="K123" s="5"/>
      <c r="M123" s="59"/>
      <c r="N123" s="1" t="s">
        <v>81</v>
      </c>
      <c r="O123" s="62">
        <f t="shared" si="21"/>
        <v>0.0254</v>
      </c>
      <c r="P123" s="52" t="s">
        <v>81</v>
      </c>
      <c r="Q123" s="62">
        <f t="shared" si="22"/>
        <v>0.0254</v>
      </c>
      <c r="R123" s="52" t="s">
        <v>81</v>
      </c>
      <c r="S123" s="53">
        <v>0.0254</v>
      </c>
    </row>
    <row r="124" ht="15.75" customHeight="1">
      <c r="B124" s="59"/>
      <c r="C124" s="1" t="s">
        <v>82</v>
      </c>
      <c r="D124" s="62">
        <f t="shared" si="19"/>
        <v>0</v>
      </c>
      <c r="E124" s="52" t="s">
        <v>82</v>
      </c>
      <c r="F124" s="62">
        <f t="shared" si="20"/>
        <v>0</v>
      </c>
      <c r="G124" s="52" t="s">
        <v>82</v>
      </c>
      <c r="H124" s="53">
        <v>0.0</v>
      </c>
      <c r="K124" s="5"/>
      <c r="M124" s="59"/>
      <c r="N124" s="1" t="s">
        <v>82</v>
      </c>
      <c r="O124" s="62">
        <f t="shared" si="21"/>
        <v>0</v>
      </c>
      <c r="P124" s="52" t="s">
        <v>82</v>
      </c>
      <c r="Q124" s="62">
        <f t="shared" si="22"/>
        <v>0</v>
      </c>
      <c r="R124" s="52" t="s">
        <v>82</v>
      </c>
      <c r="S124" s="53">
        <v>0.0</v>
      </c>
    </row>
    <row r="125" ht="15.75" customHeight="1">
      <c r="B125" s="59"/>
      <c r="C125" s="1" t="s">
        <v>83</v>
      </c>
      <c r="D125" s="59">
        <f>IF(D124 = 0, 0, D121*D122*2)</f>
        <v>0</v>
      </c>
      <c r="E125" s="52" t="s">
        <v>83</v>
      </c>
      <c r="F125" s="59">
        <f>IF(F124 = 0, 0, F121*F122*2)</f>
        <v>0</v>
      </c>
      <c r="G125" s="52" t="s">
        <v>83</v>
      </c>
      <c r="H125" s="59">
        <f>IF(H124 = 0, 0, H121*H122*2)</f>
        <v>0</v>
      </c>
      <c r="K125" s="5"/>
      <c r="M125" s="59"/>
      <c r="N125" s="1" t="s">
        <v>83</v>
      </c>
      <c r="O125" s="59">
        <f>IF(O124 = 0, 0, O121*O122*2)</f>
        <v>0</v>
      </c>
      <c r="P125" s="52" t="s">
        <v>83</v>
      </c>
      <c r="Q125" s="59">
        <f>IF(Q124 = 0, 0, Q121*Q122*2)</f>
        <v>0</v>
      </c>
      <c r="R125" s="52" t="s">
        <v>83</v>
      </c>
      <c r="S125" s="59">
        <f>IF(S124 = 0, 0, S121*S122*2)</f>
        <v>0</v>
      </c>
    </row>
    <row r="126" ht="15.75" customHeight="1">
      <c r="B126" s="59"/>
      <c r="C126" s="1" t="s">
        <v>84</v>
      </c>
      <c r="D126" s="59">
        <f>(D121*D122*2 + D121*D123 + 2*D122*D123)*D124</f>
        <v>0</v>
      </c>
      <c r="E126" s="52" t="s">
        <v>84</v>
      </c>
      <c r="F126" s="59">
        <f>(F121*F122*2 + F121*F123 + 2*F122*F123)*F124</f>
        <v>0</v>
      </c>
      <c r="G126" s="52" t="s">
        <v>84</v>
      </c>
      <c r="H126" s="59">
        <f>(H121*H122*2 + H121*H123 + 2*H122*H123)*H124</f>
        <v>0</v>
      </c>
      <c r="K126" s="5"/>
      <c r="M126" s="59"/>
      <c r="N126" s="1" t="s">
        <v>84</v>
      </c>
      <c r="O126" s="59">
        <f>(O121*O122*2 + O121*O123 + 2*O122*O123)*O124</f>
        <v>0</v>
      </c>
      <c r="P126" s="52" t="s">
        <v>84</v>
      </c>
      <c r="Q126" s="59">
        <f>(Q121*Q122*2 + Q121*Q123 + 2*Q122*Q123)*Q124</f>
        <v>0</v>
      </c>
      <c r="R126" s="52" t="s">
        <v>84</v>
      </c>
      <c r="S126" s="59">
        <f>(S121*S122*2 + S121*S123 + 2*S122*S123)*S124</f>
        <v>0</v>
      </c>
    </row>
    <row r="127" ht="15.75" customHeight="1">
      <c r="B127" s="59"/>
      <c r="C127" s="1" t="s">
        <v>85</v>
      </c>
      <c r="D127" s="59">
        <f>D115*(D117/(D117+D125)) + D119*(D125/(D117+D125))</f>
        <v>0.61</v>
      </c>
      <c r="E127" s="52" t="s">
        <v>85</v>
      </c>
      <c r="F127" s="59">
        <f>F115*(F117/(F117+F125)) + F119*(F125/(F117+F125))</f>
        <v>0.09</v>
      </c>
      <c r="G127" s="52" t="s">
        <v>85</v>
      </c>
      <c r="H127" s="59">
        <f>H115*(H117/(H117+H125)) + H119*(H125/(H117+H125))</f>
        <v>0.09</v>
      </c>
      <c r="K127" s="5"/>
      <c r="M127" s="59"/>
      <c r="N127" s="1" t="s">
        <v>85</v>
      </c>
      <c r="O127" s="59">
        <f>O115*(O117/(O117+O125)) + O119*(O125/(O117+O125))</f>
        <v>0.61</v>
      </c>
      <c r="P127" s="52" t="s">
        <v>85</v>
      </c>
      <c r="Q127" s="59">
        <f>Q115*(Q117/(Q117+Q125)) + Q119*(Q125/(Q117+Q125))</f>
        <v>0.09</v>
      </c>
      <c r="R127" s="52" t="s">
        <v>85</v>
      </c>
      <c r="S127" s="59">
        <f>S115*(S117/(S117+S125)) + S119*(S125/(S117+S125))</f>
        <v>0.09</v>
      </c>
    </row>
    <row r="128" ht="15.75" customHeight="1">
      <c r="B128" s="59"/>
      <c r="C128" s="1" t="s">
        <v>86</v>
      </c>
      <c r="D128" s="59">
        <f>D116*(D117/(D117+D125)) + D120*(D125/(D117+D125))</f>
        <v>0.25</v>
      </c>
      <c r="E128" s="52" t="s">
        <v>86</v>
      </c>
      <c r="F128" s="59">
        <f>F116*(F117/(F117+F125)) + F120*(F125/(F117+F125))</f>
        <v>0.45</v>
      </c>
      <c r="G128" s="52" t="s">
        <v>86</v>
      </c>
      <c r="H128" s="59">
        <f>H116*(H117/(H117+H125)) + H120*(H125/(H117+H125))</f>
        <v>0.45</v>
      </c>
      <c r="K128" s="5"/>
      <c r="M128" s="59"/>
      <c r="N128" s="1" t="s">
        <v>86</v>
      </c>
      <c r="O128" s="59">
        <f>O116*(O117/(O117+O125)) + O120*(O125/(O117+O125))</f>
        <v>0.25</v>
      </c>
      <c r="P128" s="52" t="s">
        <v>86</v>
      </c>
      <c r="Q128" s="59">
        <f>Q116*(Q117/(Q117+Q125)) + Q120*(Q125/(Q117+Q125))</f>
        <v>0.45</v>
      </c>
      <c r="R128" s="52" t="s">
        <v>86</v>
      </c>
      <c r="S128" s="59">
        <f>S116*(S117/(S117+S125)) + S120*(S125/(S117+S125))</f>
        <v>0.45</v>
      </c>
    </row>
    <row r="129" ht="15.75" customHeight="1">
      <c r="B129" s="59"/>
      <c r="C129" s="1" t="s">
        <v>87</v>
      </c>
      <c r="D129" s="59">
        <f>D115*(D118/(D118+D126)) + D119*(D126/(D118+D126))</f>
        <v>0.61</v>
      </c>
      <c r="E129" s="52" t="s">
        <v>87</v>
      </c>
      <c r="F129" s="59">
        <f>F115*(F118/(F118+F126)) + F119*(F126/(F118+F126))</f>
        <v>0.09</v>
      </c>
      <c r="G129" s="52" t="s">
        <v>87</v>
      </c>
      <c r="H129" s="59">
        <f>H115*(H118/(H118+H126)) + H119*(H126/(H118+H126))</f>
        <v>0.09</v>
      </c>
      <c r="K129" s="5"/>
      <c r="M129" s="59"/>
      <c r="N129" s="1" t="s">
        <v>87</v>
      </c>
      <c r="O129" s="59">
        <f>O115*(O118/(O118+O126)) + O119*(O126/(O118+O126))</f>
        <v>0.61</v>
      </c>
      <c r="P129" s="52" t="s">
        <v>87</v>
      </c>
      <c r="Q129" s="59">
        <f>Q115*(Q118/(Q118+Q126)) + Q119*(Q126/(Q118+Q126))</f>
        <v>0.09</v>
      </c>
      <c r="R129" s="52" t="s">
        <v>87</v>
      </c>
      <c r="S129" s="59">
        <f>S115*(S118/(S118+S126)) + S119*(S126/(S118+S126))</f>
        <v>0.09</v>
      </c>
    </row>
    <row r="130" ht="15.75" customHeight="1">
      <c r="B130" s="59"/>
      <c r="C130" s="1" t="s">
        <v>88</v>
      </c>
      <c r="D130" s="59">
        <f>D116*(D118/(D118+D126)) + D120*(D126/(D118+D126))</f>
        <v>0.25</v>
      </c>
      <c r="E130" s="52" t="s">
        <v>88</v>
      </c>
      <c r="F130" s="59">
        <f>F116*(F118/(F118+F126)) + F120*(F126/(F118+F126))</f>
        <v>0.45</v>
      </c>
      <c r="G130" s="52" t="s">
        <v>88</v>
      </c>
      <c r="H130" s="59">
        <f>H116*(H118/(H118+H126)) + H120*(H126/(H118+H126))</f>
        <v>0.45</v>
      </c>
      <c r="K130" s="5"/>
      <c r="M130" s="59"/>
      <c r="N130" s="1" t="s">
        <v>88</v>
      </c>
      <c r="O130" s="59">
        <f>O116*(O118/(O118+O126)) + O120*(O126/(O118+O126))</f>
        <v>0.25</v>
      </c>
      <c r="P130" s="52" t="s">
        <v>88</v>
      </c>
      <c r="Q130" s="59">
        <f>Q116*(Q118/(Q118+Q126)) + Q120*(Q126/(Q118+Q126))</f>
        <v>0.45</v>
      </c>
      <c r="R130" s="52" t="s">
        <v>88</v>
      </c>
      <c r="S130" s="59">
        <f>S116*(S118/(S118+S126)) + S120*(S126/(S118+S126))</f>
        <v>0.45</v>
      </c>
    </row>
    <row r="131" ht="15.75" customHeight="1">
      <c r="B131" s="74"/>
      <c r="C131" s="61" t="s">
        <v>89</v>
      </c>
      <c r="D131" s="74">
        <v>13.95451889</v>
      </c>
      <c r="E131" s="60" t="s">
        <v>89</v>
      </c>
      <c r="F131" s="74">
        <v>13.95451889</v>
      </c>
      <c r="G131" s="60" t="s">
        <v>89</v>
      </c>
      <c r="H131" s="74">
        <v>13.95451889</v>
      </c>
      <c r="J131" s="75"/>
      <c r="K131" s="5"/>
      <c r="M131" s="74"/>
      <c r="N131" s="61" t="s">
        <v>89</v>
      </c>
      <c r="O131" s="74">
        <v>13.95451889</v>
      </c>
      <c r="P131" s="60" t="s">
        <v>89</v>
      </c>
      <c r="Q131" s="74">
        <v>13.95451889</v>
      </c>
      <c r="R131" s="60" t="s">
        <v>89</v>
      </c>
      <c r="S131" s="74">
        <v>13.95451889</v>
      </c>
      <c r="U131" s="75"/>
    </row>
    <row r="132" ht="15.75" customHeight="1">
      <c r="B132" s="59"/>
      <c r="C132" s="1" t="s">
        <v>90</v>
      </c>
      <c r="D132" s="59">
        <f>D117+D125</f>
        <v>3.9</v>
      </c>
      <c r="E132" s="52" t="s">
        <v>90</v>
      </c>
      <c r="F132" s="59">
        <f>F117+F125</f>
        <v>3.36</v>
      </c>
      <c r="G132" s="52" t="s">
        <v>90</v>
      </c>
      <c r="H132" s="59">
        <f>H117+H125</f>
        <v>1</v>
      </c>
      <c r="K132" s="5"/>
      <c r="M132" s="59"/>
      <c r="N132" s="1" t="s">
        <v>90</v>
      </c>
      <c r="O132" s="59">
        <f>O117+O125</f>
        <v>3.9</v>
      </c>
      <c r="P132" s="52" t="s">
        <v>90</v>
      </c>
      <c r="Q132" s="59">
        <f>Q117+Q125</f>
        <v>3.36</v>
      </c>
      <c r="R132" s="52" t="s">
        <v>90</v>
      </c>
      <c r="S132" s="59">
        <f>S117+S125</f>
        <v>1</v>
      </c>
    </row>
    <row r="133" ht="15.75" customHeight="1">
      <c r="B133" s="59"/>
      <c r="C133" s="1" t="s">
        <v>91</v>
      </c>
      <c r="D133" s="59">
        <f>D127*D131*D132</f>
        <v>33.19780044</v>
      </c>
      <c r="E133" s="52" t="s">
        <v>91</v>
      </c>
      <c r="F133" s="59">
        <f>F127*F131*F132</f>
        <v>4.219846512</v>
      </c>
      <c r="G133" s="52" t="s">
        <v>91</v>
      </c>
      <c r="H133" s="59">
        <f>H127*H131*H132</f>
        <v>1.2559067</v>
      </c>
      <c r="K133" s="5"/>
      <c r="M133" s="59"/>
      <c r="N133" s="1" t="s">
        <v>91</v>
      </c>
      <c r="O133" s="59">
        <f>O127*O131*O132</f>
        <v>33.19780044</v>
      </c>
      <c r="P133" s="52" t="s">
        <v>91</v>
      </c>
      <c r="Q133" s="59">
        <f>Q127*Q131*Q132</f>
        <v>4.219846512</v>
      </c>
      <c r="R133" s="52" t="s">
        <v>91</v>
      </c>
      <c r="S133" s="59">
        <f>S127*S131*S132</f>
        <v>1.2559067</v>
      </c>
    </row>
    <row r="134" ht="15.75" customHeight="1">
      <c r="B134" s="59"/>
      <c r="C134" s="61" t="s">
        <v>89</v>
      </c>
      <c r="D134" s="62">
        <f>D131</f>
        <v>13.95451889</v>
      </c>
      <c r="E134" s="60" t="s">
        <v>89</v>
      </c>
      <c r="F134" s="62">
        <f>F131</f>
        <v>13.95451889</v>
      </c>
      <c r="G134" s="60" t="s">
        <v>89</v>
      </c>
      <c r="H134" s="62">
        <f>H131</f>
        <v>13.95451889</v>
      </c>
      <c r="K134" s="5"/>
      <c r="M134" s="59"/>
      <c r="N134" s="61" t="s">
        <v>89</v>
      </c>
      <c r="O134" s="62">
        <f>O131</f>
        <v>13.95451889</v>
      </c>
      <c r="P134" s="60" t="s">
        <v>89</v>
      </c>
      <c r="Q134" s="62">
        <f>Q131</f>
        <v>13.95451889</v>
      </c>
      <c r="R134" s="60" t="s">
        <v>89</v>
      </c>
      <c r="S134" s="62">
        <f>S131</f>
        <v>13.95451889</v>
      </c>
    </row>
    <row r="135" ht="15.75" customHeight="1">
      <c r="B135" s="74"/>
      <c r="C135" s="1" t="s">
        <v>92</v>
      </c>
      <c r="D135" s="74">
        <v>0.26</v>
      </c>
      <c r="E135" s="52" t="s">
        <v>92</v>
      </c>
      <c r="F135" s="74">
        <v>0.26</v>
      </c>
      <c r="G135" s="52" t="s">
        <v>92</v>
      </c>
      <c r="H135" s="74">
        <v>0.26</v>
      </c>
      <c r="J135" s="75"/>
      <c r="K135" s="5"/>
      <c r="M135" s="74"/>
      <c r="N135" s="1" t="s">
        <v>92</v>
      </c>
      <c r="O135" s="74">
        <v>0.26</v>
      </c>
      <c r="P135" s="52" t="s">
        <v>92</v>
      </c>
      <c r="Q135" s="74">
        <v>0.26</v>
      </c>
      <c r="R135" s="52" t="s">
        <v>92</v>
      </c>
      <c r="S135" s="74">
        <v>0.26</v>
      </c>
      <c r="U135" s="75"/>
    </row>
    <row r="136" ht="15.75" customHeight="1">
      <c r="B136" s="74"/>
      <c r="C136" s="1" t="s">
        <v>93</v>
      </c>
      <c r="D136" s="74">
        <v>0.16</v>
      </c>
      <c r="E136" s="52" t="s">
        <v>93</v>
      </c>
      <c r="F136" s="74">
        <v>0.16</v>
      </c>
      <c r="G136" s="52" t="s">
        <v>93</v>
      </c>
      <c r="H136" s="74">
        <v>0.16</v>
      </c>
      <c r="J136" s="75"/>
      <c r="K136" s="5"/>
      <c r="M136" s="74"/>
      <c r="N136" s="1" t="s">
        <v>93</v>
      </c>
      <c r="O136" s="74">
        <v>0.16</v>
      </c>
      <c r="P136" s="52" t="s">
        <v>93</v>
      </c>
      <c r="Q136" s="74">
        <v>0.16</v>
      </c>
      <c r="R136" s="52" t="s">
        <v>93</v>
      </c>
      <c r="S136" s="74">
        <v>0.16</v>
      </c>
      <c r="U136" s="75"/>
    </row>
    <row r="137" ht="15.75" customHeight="1">
      <c r="B137" s="59"/>
      <c r="C137" s="1" t="s">
        <v>94</v>
      </c>
      <c r="D137" s="59">
        <f>2576*10^3</f>
        <v>2576000</v>
      </c>
      <c r="E137" s="52" t="s">
        <v>94</v>
      </c>
      <c r="F137" s="59">
        <f>2576*10^3</f>
        <v>2576000</v>
      </c>
      <c r="G137" s="52" t="s">
        <v>94</v>
      </c>
      <c r="H137" s="59">
        <f>2576*10^3</f>
        <v>2576000</v>
      </c>
      <c r="K137" s="5"/>
      <c r="M137" s="59"/>
      <c r="N137" s="1" t="s">
        <v>94</v>
      </c>
      <c r="O137" s="59">
        <f>2576*10^3</f>
        <v>2576000</v>
      </c>
      <c r="P137" s="52" t="s">
        <v>94</v>
      </c>
      <c r="Q137" s="59">
        <f>2576*10^3</f>
        <v>2576000</v>
      </c>
      <c r="R137" s="52" t="s">
        <v>94</v>
      </c>
      <c r="S137" s="59">
        <f>2576*10^3</f>
        <v>2576000</v>
      </c>
    </row>
    <row r="138" ht="15.75" customHeight="1">
      <c r="B138" s="59"/>
      <c r="C138" s="1" t="s">
        <v>95</v>
      </c>
      <c r="D138" s="59">
        <v>1.0</v>
      </c>
      <c r="E138" s="52" t="s">
        <v>95</v>
      </c>
      <c r="F138" s="59">
        <v>1.0</v>
      </c>
      <c r="G138" s="52" t="s">
        <v>95</v>
      </c>
      <c r="H138" s="59">
        <v>1.0</v>
      </c>
      <c r="K138" s="5"/>
      <c r="M138" s="59"/>
      <c r="N138" s="1" t="s">
        <v>95</v>
      </c>
      <c r="O138" s="59">
        <v>1.0</v>
      </c>
      <c r="P138" s="52" t="s">
        <v>95</v>
      </c>
      <c r="Q138" s="59">
        <v>1.0</v>
      </c>
      <c r="R138" s="52" t="s">
        <v>95</v>
      </c>
      <c r="S138" s="59">
        <v>1.0</v>
      </c>
    </row>
    <row r="139" ht="15.75" customHeight="1">
      <c r="B139" s="59"/>
      <c r="C139" s="1" t="s">
        <v>96</v>
      </c>
      <c r="D139" s="59">
        <f>0.657+0.54*(D137)/(D137+D138)-0.196*((D137)/(D137+D138))^2</f>
        <v>1.000999943</v>
      </c>
      <c r="E139" s="52" t="s">
        <v>96</v>
      </c>
      <c r="F139" s="59">
        <f>0.657+0.54*(F137)/(F137+F138)-0.196*((F137)/(F137+F138))^2</f>
        <v>1.000999943</v>
      </c>
      <c r="G139" s="52" t="s">
        <v>96</v>
      </c>
      <c r="H139" s="59">
        <f>0.657+0.54*(H137)/(H137+H138)-0.196*((H137)/(H137+H138))^2</f>
        <v>1.000999943</v>
      </c>
      <c r="K139" s="5"/>
      <c r="M139" s="59"/>
      <c r="N139" s="1" t="s">
        <v>96</v>
      </c>
      <c r="O139" s="59">
        <f>0.657+0.54*(O137)/(O137+O138)-0.196*((O137)/(O137+O138))^2</f>
        <v>1.000999943</v>
      </c>
      <c r="P139" s="52" t="s">
        <v>96</v>
      </c>
      <c r="Q139" s="59">
        <f>0.657+0.54*(Q137)/(Q137+Q138)-0.196*((Q137)/(Q137+Q138))^2</f>
        <v>1.000999943</v>
      </c>
      <c r="R139" s="52" t="s">
        <v>96</v>
      </c>
      <c r="S139" s="59">
        <f>0.657+0.54*(S137)/(S137+S138)-0.196*((S137)/(S137+S138))^2</f>
        <v>1.000999943</v>
      </c>
    </row>
    <row r="140" ht="15.75" customHeight="1">
      <c r="B140" s="59"/>
      <c r="C140" s="1" t="s">
        <v>97</v>
      </c>
      <c r="D140" s="62">
        <f>D36</f>
        <v>14.13716694</v>
      </c>
      <c r="E140" s="52" t="s">
        <v>97</v>
      </c>
      <c r="F140" s="62">
        <f>F36</f>
        <v>14.13716694</v>
      </c>
      <c r="G140" s="52" t="s">
        <v>97</v>
      </c>
      <c r="H140" s="62" t="str">
        <f>H88</f>
        <v/>
      </c>
      <c r="K140" s="5"/>
      <c r="M140" s="59"/>
      <c r="N140" s="1" t="s">
        <v>97</v>
      </c>
      <c r="O140" s="62">
        <f>O36</f>
        <v>14.13716694</v>
      </c>
      <c r="P140" s="52" t="s">
        <v>97</v>
      </c>
      <c r="Q140" s="62">
        <f>Q36</f>
        <v>14.13716694</v>
      </c>
      <c r="R140" s="52" t="s">
        <v>97</v>
      </c>
      <c r="S140" s="62" t="str">
        <f>S88</f>
        <v/>
      </c>
    </row>
    <row r="141" ht="15.75" customHeight="1">
      <c r="B141" s="59"/>
      <c r="C141" s="1" t="s">
        <v>98</v>
      </c>
      <c r="D141" s="59">
        <f>(3*D140/4/PI())^(1/3)</f>
        <v>1.5</v>
      </c>
      <c r="E141" s="52" t="s">
        <v>98</v>
      </c>
      <c r="F141" s="59">
        <f>(3*F140/4/PI())^(1/3)</f>
        <v>1.5</v>
      </c>
      <c r="G141" s="52" t="s">
        <v>98</v>
      </c>
      <c r="H141" s="59">
        <f>(3*H140/4/PI())^(1/3)</f>
        <v>0</v>
      </c>
      <c r="K141" s="5"/>
      <c r="M141" s="59"/>
      <c r="N141" s="1" t="s">
        <v>98</v>
      </c>
      <c r="O141" s="59">
        <f>(3*O140/4/PI())^(1/3)</f>
        <v>1.5</v>
      </c>
      <c r="P141" s="52" t="s">
        <v>98</v>
      </c>
      <c r="Q141" s="59">
        <f>(3*Q140/4/PI())^(1/3)</f>
        <v>1.5</v>
      </c>
      <c r="R141" s="52" t="s">
        <v>98</v>
      </c>
      <c r="S141" s="59">
        <f>(3*S140/4/PI())^(1/3)</f>
        <v>0</v>
      </c>
    </row>
    <row r="142" ht="15.75" customHeight="1">
      <c r="B142" s="59"/>
      <c r="C142" s="1" t="s">
        <v>99</v>
      </c>
      <c r="D142" s="59">
        <f>0.5*(1-SQRT(1-(1/(D138/D137+D141/D137+1)^2)))</f>
        <v>0.4993034027</v>
      </c>
      <c r="E142" s="52" t="s">
        <v>99</v>
      </c>
      <c r="F142" s="59">
        <f>0.5*(1-SQRT(1-(1/(F138/F137+F141/F137+1)^2)))</f>
        <v>0.4993034027</v>
      </c>
      <c r="G142" s="52" t="s">
        <v>99</v>
      </c>
      <c r="H142" s="59">
        <f>0.5*(1-SQRT(1-(1/(H138/H137+H141/H137+1)^2)))</f>
        <v>0.499559433</v>
      </c>
      <c r="K142" s="5"/>
      <c r="M142" s="59"/>
      <c r="N142" s="1" t="s">
        <v>99</v>
      </c>
      <c r="O142" s="59">
        <f>0.5*(1-SQRT(1-(1/(O138/O137+O141/O137+1)^2)))</f>
        <v>0.4993034027</v>
      </c>
      <c r="P142" s="52" t="s">
        <v>99</v>
      </c>
      <c r="Q142" s="59">
        <f>0.5*(1-SQRT(1-(1/(Q138/Q137+Q141/Q137+1)^2)))</f>
        <v>0.4993034027</v>
      </c>
      <c r="R142" s="52" t="s">
        <v>99</v>
      </c>
      <c r="S142" s="59">
        <f>0.5*(1-SQRT(1-(1/(S138/S137+S141/S137+1)^2)))</f>
        <v>0.499559433</v>
      </c>
    </row>
    <row r="143" ht="15.75" customHeight="1">
      <c r="B143" s="59"/>
      <c r="C143" s="1" t="s">
        <v>100</v>
      </c>
      <c r="D143" s="62">
        <f>D132</f>
        <v>3.9</v>
      </c>
      <c r="E143" s="52" t="s">
        <v>100</v>
      </c>
      <c r="F143" s="62">
        <f>F132</f>
        <v>3.36</v>
      </c>
      <c r="G143" s="52" t="s">
        <v>100</v>
      </c>
      <c r="H143" s="62">
        <f>H132</f>
        <v>1</v>
      </c>
      <c r="K143" s="5"/>
      <c r="M143" s="59"/>
      <c r="N143" s="1" t="s">
        <v>100</v>
      </c>
      <c r="O143" s="62">
        <f>O132</f>
        <v>3.9</v>
      </c>
      <c r="P143" s="52" t="s">
        <v>100</v>
      </c>
      <c r="Q143" s="62">
        <f>Q132</f>
        <v>3.36</v>
      </c>
      <c r="R143" s="52" t="s">
        <v>100</v>
      </c>
      <c r="S143" s="62">
        <f>S132</f>
        <v>1</v>
      </c>
    </row>
    <row r="144" ht="15.75" customHeight="1">
      <c r="B144" s="59"/>
      <c r="C144" s="1" t="s">
        <v>101</v>
      </c>
      <c r="D144" s="59">
        <f>D134*D135*D142*D143*D127*D139</f>
        <v>4.314010882</v>
      </c>
      <c r="E144" s="52" t="s">
        <v>101</v>
      </c>
      <c r="F144" s="59">
        <f>F134*F135*F142*F143*F127*F139</f>
        <v>0.5483635522</v>
      </c>
      <c r="G144" s="52" t="s">
        <v>101</v>
      </c>
      <c r="H144" s="59">
        <f>H134*H135*H142*H143*H127*H139</f>
        <v>0.1632871248</v>
      </c>
      <c r="K144" s="5"/>
      <c r="M144" s="59"/>
      <c r="N144" s="1" t="s">
        <v>101</v>
      </c>
      <c r="O144" s="59">
        <f>O134*O135*O142*O143*O127*O139</f>
        <v>4.314010882</v>
      </c>
      <c r="P144" s="52" t="s">
        <v>101</v>
      </c>
      <c r="Q144" s="59">
        <f>Q134*Q135*Q142*Q143*Q127*Q139</f>
        <v>0.5483635522</v>
      </c>
      <c r="R144" s="52" t="s">
        <v>101</v>
      </c>
      <c r="S144" s="59">
        <f>S134*S135*S142*S143*S127*S139</f>
        <v>0.1632871248</v>
      </c>
    </row>
    <row r="145" ht="15.75" customHeight="1">
      <c r="B145" s="59"/>
      <c r="C145" s="1" t="s">
        <v>102</v>
      </c>
      <c r="D145" s="59">
        <f>D134*D136*D142*D143*D127*D139</f>
        <v>2.654775927</v>
      </c>
      <c r="E145" s="52" t="s">
        <v>102</v>
      </c>
      <c r="F145" s="59">
        <f>F134*F136*F142*F143*F127*F139</f>
        <v>0.3374544937</v>
      </c>
      <c r="G145" s="52" t="s">
        <v>102</v>
      </c>
      <c r="H145" s="59">
        <f>H134*H136*H142*H143*H127*H139</f>
        <v>0.1004843845</v>
      </c>
      <c r="K145" s="5"/>
      <c r="M145" s="59"/>
      <c r="N145" s="1" t="s">
        <v>102</v>
      </c>
      <c r="O145" s="59">
        <f>O134*O136*O142*O143*O127*O139</f>
        <v>2.654775927</v>
      </c>
      <c r="P145" s="52" t="s">
        <v>102</v>
      </c>
      <c r="Q145" s="59">
        <f>Q134*Q136*Q142*Q143*Q127*Q139</f>
        <v>0.3374544937</v>
      </c>
      <c r="R145" s="52" t="s">
        <v>102</v>
      </c>
      <c r="S145" s="59">
        <f>S134*S136*S142*S143*S127*S139</f>
        <v>0.1004843845</v>
      </c>
    </row>
    <row r="146" ht="15.75" customHeight="1">
      <c r="B146" s="66"/>
      <c r="C146" s="61" t="s">
        <v>103</v>
      </c>
      <c r="D146" s="64">
        <v>500.0</v>
      </c>
      <c r="E146" s="60" t="s">
        <v>103</v>
      </c>
      <c r="F146" s="65">
        <f>757.24</f>
        <v>757.24</v>
      </c>
      <c r="G146" s="60" t="s">
        <v>103</v>
      </c>
      <c r="H146" s="64">
        <v>172.0</v>
      </c>
      <c r="J146" s="67"/>
      <c r="K146" s="5"/>
      <c r="M146" s="66"/>
      <c r="N146" s="61" t="s">
        <v>103</v>
      </c>
      <c r="O146" s="64">
        <v>500.0</v>
      </c>
      <c r="P146" s="60" t="s">
        <v>103</v>
      </c>
      <c r="Q146" s="65">
        <f>757.24</f>
        <v>757.24</v>
      </c>
      <c r="R146" s="60" t="s">
        <v>103</v>
      </c>
      <c r="S146" s="64">
        <v>172.0</v>
      </c>
      <c r="U146" s="67"/>
    </row>
    <row r="147" ht="15.75" customHeight="1">
      <c r="B147" s="59"/>
      <c r="C147" s="1" t="s">
        <v>104</v>
      </c>
      <c r="D147" s="53">
        <v>500.0</v>
      </c>
      <c r="E147" s="52" t="s">
        <v>104</v>
      </c>
      <c r="F147" s="54">
        <f>F146/2</f>
        <v>378.62</v>
      </c>
      <c r="G147" s="52" t="s">
        <v>104</v>
      </c>
      <c r="H147" s="53">
        <f>H146/2</f>
        <v>86</v>
      </c>
      <c r="K147" s="5"/>
      <c r="M147" s="59"/>
      <c r="N147" s="1" t="s">
        <v>104</v>
      </c>
      <c r="O147" s="53">
        <v>500.0</v>
      </c>
      <c r="P147" s="52" t="s">
        <v>104</v>
      </c>
      <c r="Q147" s="54">
        <f>Q146/2</f>
        <v>378.62</v>
      </c>
      <c r="R147" s="52" t="s">
        <v>104</v>
      </c>
      <c r="S147" s="53">
        <f>S146/2</f>
        <v>86</v>
      </c>
    </row>
    <row r="148" ht="15.75" customHeight="1">
      <c r="B148" s="74"/>
      <c r="C148" s="61" t="s">
        <v>105</v>
      </c>
      <c r="D148" s="74">
        <v>0.7</v>
      </c>
      <c r="E148" s="60" t="s">
        <v>105</v>
      </c>
      <c r="F148" s="74">
        <v>0.7</v>
      </c>
      <c r="G148" s="60" t="s">
        <v>105</v>
      </c>
      <c r="H148" s="74">
        <v>0.7</v>
      </c>
      <c r="J148" s="75"/>
      <c r="K148" s="5"/>
      <c r="M148" s="74"/>
      <c r="N148" s="61" t="s">
        <v>105</v>
      </c>
      <c r="O148" s="74">
        <v>0.7</v>
      </c>
      <c r="P148" s="60" t="s">
        <v>105</v>
      </c>
      <c r="Q148" s="74">
        <v>0.7</v>
      </c>
      <c r="R148" s="60" t="s">
        <v>105</v>
      </c>
      <c r="S148" s="74">
        <v>0.7</v>
      </c>
      <c r="U148" s="75"/>
    </row>
    <row r="149" ht="15.75" customHeight="1">
      <c r="B149" s="74"/>
      <c r="C149" s="1" t="s">
        <v>106</v>
      </c>
      <c r="D149" s="74">
        <v>0.35</v>
      </c>
      <c r="E149" s="52" t="s">
        <v>106</v>
      </c>
      <c r="F149" s="74">
        <v>0.35</v>
      </c>
      <c r="G149" s="52" t="s">
        <v>106</v>
      </c>
      <c r="H149" s="74">
        <v>0.35</v>
      </c>
      <c r="J149" s="75"/>
      <c r="K149" s="5"/>
      <c r="M149" s="74"/>
      <c r="N149" s="1" t="s">
        <v>106</v>
      </c>
      <c r="O149" s="74">
        <v>0.35</v>
      </c>
      <c r="P149" s="52" t="s">
        <v>106</v>
      </c>
      <c r="Q149" s="74">
        <v>0.35</v>
      </c>
      <c r="R149" s="52" t="s">
        <v>106</v>
      </c>
      <c r="S149" s="74">
        <v>0.35</v>
      </c>
      <c r="U149" s="75"/>
    </row>
    <row r="150" ht="15.75" customHeight="1">
      <c r="B150" s="59"/>
      <c r="C150" s="1" t="s">
        <v>99</v>
      </c>
      <c r="D150" s="62">
        <f>D142</f>
        <v>0.4993034027</v>
      </c>
      <c r="E150" s="52" t="s">
        <v>99</v>
      </c>
      <c r="F150" s="62">
        <f>F142</f>
        <v>0.4993034027</v>
      </c>
      <c r="G150" s="52" t="s">
        <v>99</v>
      </c>
      <c r="H150" s="62">
        <f>H142</f>
        <v>0.499559433</v>
      </c>
      <c r="K150" s="5"/>
      <c r="M150" s="59"/>
      <c r="N150" s="1" t="s">
        <v>99</v>
      </c>
      <c r="O150" s="62">
        <f>O142</f>
        <v>0.4993034027</v>
      </c>
      <c r="P150" s="52" t="s">
        <v>99</v>
      </c>
      <c r="Q150" s="62">
        <f>Q142</f>
        <v>0.4993034027</v>
      </c>
      <c r="R150" s="52" t="s">
        <v>99</v>
      </c>
      <c r="S150" s="62">
        <f>S142</f>
        <v>0.499559433</v>
      </c>
    </row>
    <row r="151" ht="15.75" customHeight="1">
      <c r="B151" s="59"/>
      <c r="C151" s="1" t="s">
        <v>100</v>
      </c>
      <c r="D151" s="62">
        <f>D132</f>
        <v>3.9</v>
      </c>
      <c r="E151" s="52" t="s">
        <v>100</v>
      </c>
      <c r="F151" s="62">
        <f>F132</f>
        <v>3.36</v>
      </c>
      <c r="G151" s="52" t="s">
        <v>100</v>
      </c>
      <c r="H151" s="62">
        <f>H132</f>
        <v>1</v>
      </c>
      <c r="K151" s="5"/>
      <c r="M151" s="59"/>
      <c r="N151" s="1" t="s">
        <v>100</v>
      </c>
      <c r="O151" s="62">
        <f>O132</f>
        <v>3.9</v>
      </c>
      <c r="P151" s="52" t="s">
        <v>100</v>
      </c>
      <c r="Q151" s="62">
        <f>Q132</f>
        <v>3.36</v>
      </c>
      <c r="R151" s="52" t="s">
        <v>100</v>
      </c>
      <c r="S151" s="62">
        <f>S132</f>
        <v>1</v>
      </c>
    </row>
    <row r="152" ht="15.75" customHeight="1">
      <c r="B152" s="59"/>
      <c r="C152" s="1" t="s">
        <v>107</v>
      </c>
      <c r="D152" s="59">
        <f>D148*D150*D151*D127</f>
        <v>0.8314899566</v>
      </c>
      <c r="E152" s="52" t="s">
        <v>107</v>
      </c>
      <c r="F152" s="59">
        <f>F148*F150*F151*F127</f>
        <v>0.1056925443</v>
      </c>
      <c r="G152" s="52" t="s">
        <v>107</v>
      </c>
      <c r="H152" s="59">
        <f>H148*H150*H151*H127</f>
        <v>0.03147224428</v>
      </c>
      <c r="K152" s="5"/>
      <c r="M152" s="59"/>
      <c r="N152" s="1" t="s">
        <v>107</v>
      </c>
      <c r="O152" s="59">
        <f>O148*O150*O151*O127</f>
        <v>0.8314899566</v>
      </c>
      <c r="P152" s="52" t="s">
        <v>107</v>
      </c>
      <c r="Q152" s="59">
        <f>Q148*Q150*Q151*Q127</f>
        <v>0.1056925443</v>
      </c>
      <c r="R152" s="52" t="s">
        <v>107</v>
      </c>
      <c r="S152" s="59">
        <f>S148*S150*S151*S127</f>
        <v>0.03147224428</v>
      </c>
    </row>
    <row r="153" ht="15.75" customHeight="1">
      <c r="B153" s="59"/>
      <c r="C153" s="1" t="s">
        <v>108</v>
      </c>
      <c r="D153" s="59">
        <f>D149*D150*D151*D127</f>
        <v>0.4157449783</v>
      </c>
      <c r="E153" s="52" t="s">
        <v>108</v>
      </c>
      <c r="F153" s="59">
        <f>F149*F150*F151*F127</f>
        <v>0.05284627215</v>
      </c>
      <c r="G153" s="52" t="s">
        <v>108</v>
      </c>
      <c r="H153" s="59">
        <f>H149*H150*H151*H127</f>
        <v>0.01573612214</v>
      </c>
      <c r="K153" s="5"/>
      <c r="M153" s="59"/>
      <c r="N153" s="1" t="s">
        <v>108</v>
      </c>
      <c r="O153" s="59">
        <f>O149*O150*O151*O127</f>
        <v>0.4157449783</v>
      </c>
      <c r="P153" s="52" t="s">
        <v>108</v>
      </c>
      <c r="Q153" s="59">
        <f>Q149*Q150*Q151*Q127</f>
        <v>0.05284627215</v>
      </c>
      <c r="R153" s="52" t="s">
        <v>108</v>
      </c>
      <c r="S153" s="59">
        <f>S149*S150*S151*S127</f>
        <v>0.01573612214</v>
      </c>
    </row>
    <row r="154" ht="15.75" customHeight="1">
      <c r="B154" s="59"/>
      <c r="C154" s="61" t="s">
        <v>109</v>
      </c>
      <c r="D154" s="53">
        <v>-40.0</v>
      </c>
      <c r="E154" s="60" t="s">
        <v>109</v>
      </c>
      <c r="F154" s="53">
        <v>-40.0</v>
      </c>
      <c r="G154" s="60" t="s">
        <v>109</v>
      </c>
      <c r="H154" s="53">
        <v>-40.0</v>
      </c>
      <c r="K154" s="5"/>
      <c r="M154" s="59"/>
      <c r="N154" s="61" t="s">
        <v>109</v>
      </c>
      <c r="O154" s="53">
        <v>-40.0</v>
      </c>
      <c r="P154" s="60" t="s">
        <v>109</v>
      </c>
      <c r="Q154" s="53">
        <v>-40.0</v>
      </c>
      <c r="R154" s="60" t="s">
        <v>109</v>
      </c>
      <c r="S154" s="53">
        <v>-40.0</v>
      </c>
    </row>
    <row r="155" ht="15.75" customHeight="1">
      <c r="B155" s="59"/>
      <c r="C155" s="1" t="s">
        <v>110</v>
      </c>
      <c r="D155" s="59">
        <f>D154+273.15</f>
        <v>233.15</v>
      </c>
      <c r="E155" s="52" t="s">
        <v>110</v>
      </c>
      <c r="F155" s="59">
        <f>F154+273.15</f>
        <v>233.15</v>
      </c>
      <c r="G155" s="52" t="s">
        <v>110</v>
      </c>
      <c r="H155" s="59">
        <f>H154+273.15</f>
        <v>233.15</v>
      </c>
      <c r="K155" s="5"/>
      <c r="M155" s="59"/>
      <c r="N155" s="1" t="s">
        <v>110</v>
      </c>
      <c r="O155" s="59">
        <f>O154+273.15</f>
        <v>233.15</v>
      </c>
      <c r="P155" s="52" t="s">
        <v>110</v>
      </c>
      <c r="Q155" s="59">
        <f>Q154+273.15</f>
        <v>233.15</v>
      </c>
      <c r="R155" s="52" t="s">
        <v>110</v>
      </c>
      <c r="S155" s="59">
        <f>S154+273.15</f>
        <v>233.15</v>
      </c>
    </row>
    <row r="156" ht="15.75" customHeight="1">
      <c r="B156" s="59"/>
      <c r="C156" s="1" t="s">
        <v>111</v>
      </c>
      <c r="D156" s="59">
        <v>90.6</v>
      </c>
      <c r="E156" s="52" t="s">
        <v>111</v>
      </c>
      <c r="F156" s="59">
        <v>90.6</v>
      </c>
      <c r="G156" s="52" t="s">
        <v>111</v>
      </c>
      <c r="H156" s="59">
        <v>90.6</v>
      </c>
      <c r="K156" s="5"/>
      <c r="M156" s="59"/>
      <c r="N156" s="1" t="s">
        <v>111</v>
      </c>
      <c r="O156" s="59">
        <v>90.6</v>
      </c>
      <c r="P156" s="52" t="s">
        <v>111</v>
      </c>
      <c r="Q156" s="59">
        <v>90.6</v>
      </c>
      <c r="R156" s="52" t="s">
        <v>111</v>
      </c>
      <c r="S156" s="59">
        <v>90.6</v>
      </c>
    </row>
    <row r="157" ht="15.75" customHeight="1">
      <c r="B157" s="66"/>
      <c r="C157" s="1" t="s">
        <v>112</v>
      </c>
      <c r="D157" s="66">
        <f>D133+D144+D146+D152</f>
        <v>538.3433013</v>
      </c>
      <c r="E157" s="52" t="s">
        <v>112</v>
      </c>
      <c r="F157" s="66">
        <f>F133+F144+F146+F152</f>
        <v>762.1139026</v>
      </c>
      <c r="G157" s="52" t="s">
        <v>112</v>
      </c>
      <c r="H157" s="66">
        <f>H133+H144+H146+H152</f>
        <v>173.4506661</v>
      </c>
      <c r="J157" s="67"/>
      <c r="K157" s="5"/>
      <c r="M157" s="66"/>
      <c r="N157" s="1" t="s">
        <v>112</v>
      </c>
      <c r="O157" s="66">
        <f>O133+O144+O146+O152</f>
        <v>538.3433013</v>
      </c>
      <c r="P157" s="52" t="s">
        <v>112</v>
      </c>
      <c r="Q157" s="66">
        <f>Q133+Q144+Q146+Q152</f>
        <v>762.1139026</v>
      </c>
      <c r="R157" s="52" t="s">
        <v>112</v>
      </c>
      <c r="S157" s="66">
        <f>S133+S144+S146+S152</f>
        <v>173.4506661</v>
      </c>
      <c r="U157" s="67"/>
    </row>
    <row r="158" ht="15.75" customHeight="1">
      <c r="B158" s="66"/>
      <c r="C158" s="1" t="s">
        <v>113</v>
      </c>
      <c r="D158" s="66">
        <f>D145+D147+D153</f>
        <v>503.0705209</v>
      </c>
      <c r="E158" s="52" t="s">
        <v>113</v>
      </c>
      <c r="F158" s="66">
        <f>F145+F147+F153</f>
        <v>379.0103008</v>
      </c>
      <c r="G158" s="52" t="s">
        <v>113</v>
      </c>
      <c r="H158" s="66">
        <f>H145+H147+H153</f>
        <v>86.11622051</v>
      </c>
      <c r="J158" s="67"/>
      <c r="K158" s="5"/>
      <c r="M158" s="66"/>
      <c r="N158" s="1" t="s">
        <v>113</v>
      </c>
      <c r="O158" s="66">
        <f>O145+O147+O153</f>
        <v>503.0705209</v>
      </c>
      <c r="P158" s="52" t="s">
        <v>113</v>
      </c>
      <c r="Q158" s="66">
        <f>Q145+Q147+Q153</f>
        <v>379.0103008</v>
      </c>
      <c r="R158" s="52" t="s">
        <v>113</v>
      </c>
      <c r="S158" s="66">
        <f>S145+S147+S153</f>
        <v>86.11622051</v>
      </c>
      <c r="U158" s="67"/>
    </row>
    <row r="159" ht="15.75" customHeight="1">
      <c r="B159" s="59"/>
      <c r="C159" s="1" t="s">
        <v>114</v>
      </c>
      <c r="D159" s="59">
        <f>$F$1*D130*(D126+D118)*(D155-D156)^4</f>
        <v>113.0881091</v>
      </c>
      <c r="E159" s="52" t="s">
        <v>114</v>
      </c>
      <c r="F159" s="59">
        <f>$F$1*F130*(F126+F118)*(F155-F156)^4</f>
        <v>111.2125015</v>
      </c>
      <c r="G159" s="52" t="s">
        <v>114</v>
      </c>
      <c r="H159" s="59">
        <f>$F$1*H130*(H126+H118)*(H155-H156)^4</f>
        <v>31.71253466</v>
      </c>
      <c r="K159" s="5"/>
      <c r="M159" s="59"/>
      <c r="N159" s="1" t="s">
        <v>114</v>
      </c>
      <c r="O159" s="59">
        <f>$F$1*O130*(O126+O118)*(O155-O156)^4</f>
        <v>71.71441067</v>
      </c>
      <c r="P159" s="52" t="s">
        <v>114</v>
      </c>
      <c r="Q159" s="59">
        <f>$F$1*Q130*(Q126+Q118)*(Q155-Q156)^4</f>
        <v>111.2125015</v>
      </c>
      <c r="R159" s="52" t="s">
        <v>114</v>
      </c>
      <c r="S159" s="59">
        <f>$F$1*S130*(S126+S118)*(S155-S156)^4</f>
        <v>31.71253466</v>
      </c>
    </row>
    <row r="160" ht="15.75" customHeight="1">
      <c r="B160" s="66"/>
      <c r="C160" s="1" t="s">
        <v>115</v>
      </c>
      <c r="D160" s="66">
        <f>D159-D158</f>
        <v>-389.9824118</v>
      </c>
      <c r="E160" s="52" t="s">
        <v>115</v>
      </c>
      <c r="F160" s="66">
        <f>F159-F158</f>
        <v>-267.7977993</v>
      </c>
      <c r="G160" s="52" t="s">
        <v>115</v>
      </c>
      <c r="H160" s="66">
        <f>H159-H158</f>
        <v>-54.40368585</v>
      </c>
      <c r="J160" s="67"/>
      <c r="K160" s="5"/>
      <c r="M160" s="66"/>
      <c r="N160" s="1" t="s">
        <v>115</v>
      </c>
      <c r="O160" s="66">
        <f>O159-O158</f>
        <v>-431.3561102</v>
      </c>
      <c r="P160" s="52" t="s">
        <v>115</v>
      </c>
      <c r="Q160" s="66">
        <f>Q159-Q158</f>
        <v>-267.7977993</v>
      </c>
      <c r="R160" s="52" t="s">
        <v>115</v>
      </c>
      <c r="S160" s="66">
        <f>S159-S158</f>
        <v>-54.40368585</v>
      </c>
      <c r="U160" s="67"/>
    </row>
    <row r="161" ht="15.75" customHeight="1">
      <c r="B161" s="66"/>
      <c r="C161" s="1" t="s">
        <v>116</v>
      </c>
      <c r="D161" s="66">
        <f>D159-D157</f>
        <v>-425.2551921</v>
      </c>
      <c r="E161" s="52" t="s">
        <v>116</v>
      </c>
      <c r="F161" s="66">
        <f>F159-F157</f>
        <v>-650.9014011</v>
      </c>
      <c r="G161" s="52" t="s">
        <v>116</v>
      </c>
      <c r="H161" s="66">
        <f>H159-H157</f>
        <v>-141.7381314</v>
      </c>
      <c r="J161" s="67"/>
      <c r="K161" s="5"/>
      <c r="M161" s="66"/>
      <c r="N161" s="1" t="s">
        <v>116</v>
      </c>
      <c r="O161" s="66">
        <f>O159-O157</f>
        <v>-466.6288906</v>
      </c>
      <c r="P161" s="52" t="s">
        <v>116</v>
      </c>
      <c r="Q161" s="66">
        <f>Q159-Q157</f>
        <v>-650.9014011</v>
      </c>
      <c r="R161" s="52" t="s">
        <v>116</v>
      </c>
      <c r="S161" s="66">
        <f>S159-S157</f>
        <v>-141.7381314</v>
      </c>
      <c r="U161" s="67"/>
    </row>
    <row r="162" ht="15.75" customHeight="1">
      <c r="B162" s="59"/>
      <c r="C162" s="1" t="s">
        <v>117</v>
      </c>
      <c r="D162" s="59">
        <f>(((D157)/($F$1*D130*(D118+D126)))^0.25 + D156) - 273.15</f>
        <v>28.01094174</v>
      </c>
      <c r="E162" s="52" t="s">
        <v>117</v>
      </c>
      <c r="F162" s="59">
        <f>(((F157)/($F$1*F130*(F118+F126)))^0.25 + F156) - 273.15</f>
        <v>48.08955442</v>
      </c>
      <c r="G162" s="52" t="s">
        <v>117</v>
      </c>
      <c r="H162" s="59">
        <f>(((H157)/($F$1*H130*(H118+H126)))^0.25 + H156) - 273.15</f>
        <v>35.44848523</v>
      </c>
      <c r="K162" s="5"/>
      <c r="M162" s="59"/>
      <c r="N162" s="1" t="s">
        <v>117</v>
      </c>
      <c r="O162" s="59">
        <f>(((O157)/($F$1*O130*(O118+O126)))^0.25 + O156) - 273.15</f>
        <v>53.40568285</v>
      </c>
      <c r="P162" s="52" t="s">
        <v>117</v>
      </c>
      <c r="Q162" s="59">
        <f>(((Q157)/($F$1*Q130*(Q118+Q126)))^0.25 + Q156) - 273.15</f>
        <v>48.08955442</v>
      </c>
      <c r="R162" s="52" t="s">
        <v>117</v>
      </c>
      <c r="S162" s="59">
        <f>(((S157)/($F$1*S130*(S118+S126)))^0.25 + S156) - 273.15</f>
        <v>35.44848523</v>
      </c>
    </row>
    <row r="163" ht="15.75" customHeight="1">
      <c r="B163" s="59"/>
      <c r="C163" s="70" t="s">
        <v>118</v>
      </c>
      <c r="D163" s="69">
        <f>(((D158)/($F$1*D130*(D118+D126)))^0.25 + D156) - 273.15</f>
        <v>24.47376535</v>
      </c>
      <c r="E163" s="68" t="s">
        <v>118</v>
      </c>
      <c r="F163" s="69">
        <f>(((F158)/($F$1*F130*(F118+F126)))^0.25 + F156) - 273.15</f>
        <v>11.1330309</v>
      </c>
      <c r="G163" s="68" t="s">
        <v>118</v>
      </c>
      <c r="H163" s="69">
        <f>(((H158)/($F$1*H130*(H118+H126)))^0.25 + H156) - 273.15</f>
        <v>0.4414183008</v>
      </c>
      <c r="K163" s="5"/>
      <c r="M163" s="59"/>
      <c r="N163" s="70" t="s">
        <v>118</v>
      </c>
      <c r="O163" s="69">
        <f>(((O158)/($F$1*O130*(O118+O126)))^0.25 + O156) - 273.15</f>
        <v>49.44190465</v>
      </c>
      <c r="P163" s="68" t="s">
        <v>118</v>
      </c>
      <c r="Q163" s="69">
        <f>(((Q158)/($F$1*Q130*(Q118+Q126)))^0.25 + Q156) - 273.15</f>
        <v>11.1330309</v>
      </c>
      <c r="R163" s="68" t="s">
        <v>118</v>
      </c>
      <c r="S163" s="69">
        <f>(((S158)/($F$1*S130*(S118+S126)))^0.25 + S156) - 273.15</f>
        <v>0.4414183008</v>
      </c>
    </row>
    <row r="164" ht="15.75" customHeight="1">
      <c r="K164" s="5"/>
    </row>
    <row r="165" ht="15.75" customHeight="1">
      <c r="K165" s="5"/>
    </row>
    <row r="166" ht="15.75" customHeight="1">
      <c r="K166" s="5"/>
    </row>
    <row r="167" ht="15.75" customHeight="1">
      <c r="A167" s="48" t="s">
        <v>133</v>
      </c>
      <c r="B167" s="49"/>
      <c r="C167" s="48" t="s">
        <v>134</v>
      </c>
      <c r="D167" s="49"/>
      <c r="E167" s="48" t="s">
        <v>135</v>
      </c>
      <c r="F167" s="49"/>
      <c r="G167" s="50" t="s">
        <v>136</v>
      </c>
      <c r="H167" s="51"/>
      <c r="I167" s="48" t="s">
        <v>137</v>
      </c>
      <c r="J167" s="49"/>
      <c r="K167" s="5"/>
      <c r="L167" s="48" t="s">
        <v>133</v>
      </c>
      <c r="M167" s="49"/>
      <c r="N167" s="48" t="s">
        <v>134</v>
      </c>
      <c r="O167" s="49"/>
      <c r="P167" s="48" t="s">
        <v>135</v>
      </c>
      <c r="Q167" s="49"/>
      <c r="R167" s="50" t="s">
        <v>136</v>
      </c>
      <c r="S167" s="51"/>
      <c r="T167" s="48" t="s">
        <v>138</v>
      </c>
      <c r="U167" s="49"/>
    </row>
    <row r="168" ht="15.0" customHeight="1">
      <c r="A168" s="52" t="s">
        <v>72</v>
      </c>
      <c r="B168" s="62">
        <f t="shared" ref="B168:B169" si="23">B63</f>
        <v>0.61</v>
      </c>
      <c r="C168" s="52" t="s">
        <v>72</v>
      </c>
      <c r="D168" s="62">
        <f t="shared" ref="D168:D169" si="24">D221</f>
        <v>0.61</v>
      </c>
      <c r="E168" s="52" t="s">
        <v>72</v>
      </c>
      <c r="F168" s="62">
        <f t="shared" ref="F168:F169" si="25">F221</f>
        <v>0.09</v>
      </c>
      <c r="G168" s="71" t="s">
        <v>73</v>
      </c>
      <c r="H168" s="56"/>
      <c r="I168" s="52" t="s">
        <v>72</v>
      </c>
      <c r="J168" s="62">
        <f t="shared" ref="J168:J169" si="26">J221</f>
        <v>0.61</v>
      </c>
      <c r="K168" s="5"/>
      <c r="L168" s="52" t="s">
        <v>72</v>
      </c>
      <c r="M168" s="62">
        <f t="shared" ref="M168:M169" si="27">M63</f>
        <v>0.61</v>
      </c>
      <c r="N168" s="52" t="s">
        <v>72</v>
      </c>
      <c r="O168" s="62">
        <f t="shared" ref="O168:O169" si="28">O221</f>
        <v>0.61</v>
      </c>
      <c r="P168" s="52" t="s">
        <v>72</v>
      </c>
      <c r="Q168" s="62">
        <f t="shared" ref="Q168:Q169" si="29">Q221</f>
        <v>0.09</v>
      </c>
      <c r="R168" s="71" t="s">
        <v>73</v>
      </c>
      <c r="S168" s="56"/>
      <c r="T168" s="52" t="s">
        <v>72</v>
      </c>
      <c r="U168" s="62">
        <f t="shared" ref="U168:U169" si="30">U221</f>
        <v>0.61</v>
      </c>
    </row>
    <row r="169" ht="15.75" customHeight="1">
      <c r="A169" s="52" t="s">
        <v>74</v>
      </c>
      <c r="B169" s="62">
        <f t="shared" si="23"/>
        <v>0.25</v>
      </c>
      <c r="C169" s="52" t="s">
        <v>74</v>
      </c>
      <c r="D169" s="62">
        <f t="shared" si="24"/>
        <v>0.25</v>
      </c>
      <c r="E169" s="52" t="s">
        <v>74</v>
      </c>
      <c r="F169" s="62">
        <f t="shared" si="25"/>
        <v>0.45</v>
      </c>
      <c r="G169" s="57"/>
      <c r="H169" s="58"/>
      <c r="I169" s="52" t="s">
        <v>74</v>
      </c>
      <c r="J169" s="62">
        <f t="shared" si="26"/>
        <v>0.25</v>
      </c>
      <c r="K169" s="5"/>
      <c r="L169" s="52" t="s">
        <v>74</v>
      </c>
      <c r="M169" s="62">
        <f t="shared" si="27"/>
        <v>0.25</v>
      </c>
      <c r="N169" s="52" t="s">
        <v>74</v>
      </c>
      <c r="O169" s="62">
        <f t="shared" si="28"/>
        <v>0.25</v>
      </c>
      <c r="P169" s="52" t="s">
        <v>74</v>
      </c>
      <c r="Q169" s="62">
        <f t="shared" si="29"/>
        <v>0.45</v>
      </c>
      <c r="R169" s="57"/>
      <c r="S169" s="58"/>
      <c r="T169" s="52" t="s">
        <v>74</v>
      </c>
      <c r="U169" s="62">
        <f t="shared" si="30"/>
        <v>0.25</v>
      </c>
    </row>
    <row r="170" ht="15.75" customHeight="1">
      <c r="A170" s="52" t="s">
        <v>75</v>
      </c>
      <c r="B170" s="59">
        <f> 2*1.5 * 1.03</f>
        <v>3.09</v>
      </c>
      <c r="C170" s="52" t="s">
        <v>75</v>
      </c>
      <c r="D170" s="59">
        <f> 2*1.5 * 1.3</f>
        <v>3.9</v>
      </c>
      <c r="E170" s="52" t="s">
        <v>75</v>
      </c>
      <c r="F170" s="59">
        <v>3.3600000000000003</v>
      </c>
      <c r="G170" s="52"/>
      <c r="H170" s="59"/>
      <c r="I170" s="52" t="s">
        <v>75</v>
      </c>
      <c r="J170" s="59">
        <v>3.7268</v>
      </c>
      <c r="K170" s="5"/>
      <c r="L170" s="52" t="s">
        <v>75</v>
      </c>
      <c r="M170" s="59">
        <f> 2*1.5 * 1.03</f>
        <v>3.09</v>
      </c>
      <c r="N170" s="52" t="s">
        <v>75</v>
      </c>
      <c r="O170" s="59">
        <f> 2*1.5 * 1.3</f>
        <v>3.9</v>
      </c>
      <c r="P170" s="52" t="s">
        <v>75</v>
      </c>
      <c r="Q170" s="59">
        <v>3.3600000000000003</v>
      </c>
      <c r="R170" s="52"/>
      <c r="S170" s="59"/>
      <c r="T170" s="52" t="s">
        <v>75</v>
      </c>
      <c r="U170" s="59">
        <v>3.7268</v>
      </c>
    </row>
    <row r="171" ht="15.75" customHeight="1">
      <c r="A171" s="52" t="s">
        <v>76</v>
      </c>
      <c r="B171" s="59">
        <f> 2*PI()*1.5*1.03 + PI()*1.5^2</f>
        <v>16.77610477</v>
      </c>
      <c r="C171" s="52" t="s">
        <v>76</v>
      </c>
      <c r="D171" s="59">
        <f> 2*PI()*1.5*1.3 + PI()*1.5^2</f>
        <v>19.32079482</v>
      </c>
      <c r="E171" s="52" t="s">
        <v>76</v>
      </c>
      <c r="F171" s="59">
        <v>10.555751316061706</v>
      </c>
      <c r="G171" s="52"/>
      <c r="H171" s="59"/>
      <c r="I171" s="52" t="s">
        <v>76</v>
      </c>
      <c r="J171" s="59">
        <v>15.9346</v>
      </c>
      <c r="K171" s="5"/>
      <c r="L171" s="52" t="s">
        <v>76</v>
      </c>
      <c r="M171" s="59">
        <f> 2*PI()*1.5*1.03 + PI()*1.5^2</f>
        <v>16.77610477</v>
      </c>
      <c r="N171" s="52" t="s">
        <v>76</v>
      </c>
      <c r="O171" s="59">
        <f> 2*PI()*1.5*1.3 + PI()*1.5^2</f>
        <v>19.32079482</v>
      </c>
      <c r="P171" s="52" t="s">
        <v>76</v>
      </c>
      <c r="Q171" s="59">
        <v>10.555751316061706</v>
      </c>
      <c r="R171" s="52"/>
      <c r="S171" s="59"/>
      <c r="T171" s="52" t="s">
        <v>76</v>
      </c>
      <c r="U171" s="59">
        <v>15.9346</v>
      </c>
    </row>
    <row r="172" ht="15.75" customHeight="1">
      <c r="A172" s="52" t="s">
        <v>77</v>
      </c>
      <c r="B172" s="62">
        <f t="shared" ref="B172:B179" si="31">B67</f>
        <v>0.85</v>
      </c>
      <c r="C172" s="52" t="s">
        <v>77</v>
      </c>
      <c r="D172" s="62">
        <f t="shared" ref="D172:D177" si="32">D225</f>
        <v>0.85</v>
      </c>
      <c r="E172" s="52" t="s">
        <v>77</v>
      </c>
      <c r="F172" s="62">
        <f t="shared" ref="F172:F177" si="33">F225</f>
        <v>0.85</v>
      </c>
      <c r="G172" s="52"/>
      <c r="H172" s="59"/>
      <c r="I172" s="52" t="s">
        <v>77</v>
      </c>
      <c r="J172" s="62">
        <f t="shared" ref="J172:J177" si="34">J225</f>
        <v>0.85</v>
      </c>
      <c r="K172" s="5"/>
      <c r="L172" s="52" t="s">
        <v>77</v>
      </c>
      <c r="M172" s="62">
        <f t="shared" ref="M172:M179" si="35">M67</f>
        <v>0.85</v>
      </c>
      <c r="N172" s="52" t="s">
        <v>77</v>
      </c>
      <c r="O172" s="62">
        <f t="shared" ref="O172:O177" si="36">O225</f>
        <v>0.85</v>
      </c>
      <c r="P172" s="52" t="s">
        <v>77</v>
      </c>
      <c r="Q172" s="62">
        <f t="shared" ref="Q172:Q177" si="37">Q225</f>
        <v>0.85</v>
      </c>
      <c r="R172" s="52"/>
      <c r="S172" s="59"/>
      <c r="T172" s="52" t="s">
        <v>77</v>
      </c>
      <c r="U172" s="62">
        <f t="shared" ref="U172:U177" si="38">U225</f>
        <v>0.85</v>
      </c>
    </row>
    <row r="173" ht="15.75" customHeight="1">
      <c r="A173" s="52" t="s">
        <v>78</v>
      </c>
      <c r="B173" s="62">
        <f t="shared" si="31"/>
        <v>0.9</v>
      </c>
      <c r="C173" s="52" t="s">
        <v>78</v>
      </c>
      <c r="D173" s="62">
        <f t="shared" si="32"/>
        <v>0.9</v>
      </c>
      <c r="E173" s="52" t="s">
        <v>78</v>
      </c>
      <c r="F173" s="62">
        <f t="shared" si="33"/>
        <v>0.9</v>
      </c>
      <c r="G173" s="52"/>
      <c r="H173" s="59"/>
      <c r="I173" s="52" t="s">
        <v>78</v>
      </c>
      <c r="J173" s="62">
        <f t="shared" si="34"/>
        <v>0.9</v>
      </c>
      <c r="K173" s="5"/>
      <c r="L173" s="52" t="s">
        <v>78</v>
      </c>
      <c r="M173" s="62">
        <f t="shared" si="35"/>
        <v>0.9</v>
      </c>
      <c r="N173" s="52" t="s">
        <v>78</v>
      </c>
      <c r="O173" s="62">
        <f t="shared" si="36"/>
        <v>0.9</v>
      </c>
      <c r="P173" s="52" t="s">
        <v>78</v>
      </c>
      <c r="Q173" s="62">
        <f t="shared" si="37"/>
        <v>0.9</v>
      </c>
      <c r="R173" s="52"/>
      <c r="S173" s="59"/>
      <c r="T173" s="52" t="s">
        <v>78</v>
      </c>
      <c r="U173" s="62">
        <f t="shared" si="38"/>
        <v>0.9</v>
      </c>
    </row>
    <row r="174" ht="15.75" customHeight="1">
      <c r="A174" s="52" t="s">
        <v>79</v>
      </c>
      <c r="B174" s="62">
        <f t="shared" si="31"/>
        <v>2</v>
      </c>
      <c r="C174" s="52" t="s">
        <v>79</v>
      </c>
      <c r="D174" s="62">
        <f t="shared" si="32"/>
        <v>2</v>
      </c>
      <c r="E174" s="52" t="s">
        <v>79</v>
      </c>
      <c r="F174" s="62">
        <f t="shared" si="33"/>
        <v>2</v>
      </c>
      <c r="G174" s="52"/>
      <c r="H174" s="59"/>
      <c r="I174" s="52" t="s">
        <v>79</v>
      </c>
      <c r="J174" s="62">
        <f t="shared" si="34"/>
        <v>2</v>
      </c>
      <c r="K174" s="5"/>
      <c r="L174" s="52" t="s">
        <v>79</v>
      </c>
      <c r="M174" s="62">
        <f t="shared" si="35"/>
        <v>2</v>
      </c>
      <c r="N174" s="52" t="s">
        <v>79</v>
      </c>
      <c r="O174" s="62">
        <f t="shared" si="36"/>
        <v>2</v>
      </c>
      <c r="P174" s="52" t="s">
        <v>79</v>
      </c>
      <c r="Q174" s="62">
        <f t="shared" si="37"/>
        <v>2</v>
      </c>
      <c r="R174" s="52"/>
      <c r="S174" s="59"/>
      <c r="T174" s="52" t="s">
        <v>79</v>
      </c>
      <c r="U174" s="62">
        <f t="shared" si="38"/>
        <v>2</v>
      </c>
    </row>
    <row r="175" ht="15.75" customHeight="1">
      <c r="A175" s="52" t="s">
        <v>80</v>
      </c>
      <c r="B175" s="62">
        <f t="shared" si="31"/>
        <v>2</v>
      </c>
      <c r="C175" s="52" t="s">
        <v>80</v>
      </c>
      <c r="D175" s="62">
        <f t="shared" si="32"/>
        <v>2</v>
      </c>
      <c r="E175" s="52" t="s">
        <v>80</v>
      </c>
      <c r="F175" s="62">
        <f t="shared" si="33"/>
        <v>2</v>
      </c>
      <c r="G175" s="52"/>
      <c r="H175" s="59"/>
      <c r="I175" s="52" t="s">
        <v>80</v>
      </c>
      <c r="J175" s="62">
        <f t="shared" si="34"/>
        <v>2</v>
      </c>
      <c r="K175" s="5"/>
      <c r="L175" s="52" t="s">
        <v>80</v>
      </c>
      <c r="M175" s="62">
        <f t="shared" si="35"/>
        <v>2</v>
      </c>
      <c r="N175" s="52" t="s">
        <v>80</v>
      </c>
      <c r="O175" s="62">
        <f t="shared" si="36"/>
        <v>2</v>
      </c>
      <c r="P175" s="52" t="s">
        <v>80</v>
      </c>
      <c r="Q175" s="62">
        <f t="shared" si="37"/>
        <v>2</v>
      </c>
      <c r="R175" s="52"/>
      <c r="S175" s="59"/>
      <c r="T175" s="52" t="s">
        <v>80</v>
      </c>
      <c r="U175" s="62">
        <f t="shared" si="38"/>
        <v>2</v>
      </c>
    </row>
    <row r="176" ht="15.75" customHeight="1">
      <c r="A176" s="52" t="s">
        <v>81</v>
      </c>
      <c r="B176" s="62">
        <f t="shared" si="31"/>
        <v>0.0254</v>
      </c>
      <c r="C176" s="52" t="s">
        <v>81</v>
      </c>
      <c r="D176" s="62">
        <f t="shared" si="32"/>
        <v>0.0254</v>
      </c>
      <c r="E176" s="52" t="s">
        <v>81</v>
      </c>
      <c r="F176" s="62">
        <f t="shared" si="33"/>
        <v>0.0254</v>
      </c>
      <c r="G176" s="52"/>
      <c r="H176" s="59"/>
      <c r="I176" s="52" t="s">
        <v>81</v>
      </c>
      <c r="J176" s="62">
        <f t="shared" si="34"/>
        <v>0.0254</v>
      </c>
      <c r="K176" s="5"/>
      <c r="L176" s="52" t="s">
        <v>81</v>
      </c>
      <c r="M176" s="62">
        <f t="shared" si="35"/>
        <v>0.0254</v>
      </c>
      <c r="N176" s="52" t="s">
        <v>81</v>
      </c>
      <c r="O176" s="62">
        <f t="shared" si="36"/>
        <v>0.0254</v>
      </c>
      <c r="P176" s="52" t="s">
        <v>81</v>
      </c>
      <c r="Q176" s="62">
        <f t="shared" si="37"/>
        <v>0.0254</v>
      </c>
      <c r="R176" s="52"/>
      <c r="S176" s="59"/>
      <c r="T176" s="52" t="s">
        <v>81</v>
      </c>
      <c r="U176" s="62">
        <f t="shared" si="38"/>
        <v>0.0254</v>
      </c>
    </row>
    <row r="177" ht="15.75" customHeight="1">
      <c r="A177" s="52" t="s">
        <v>82</v>
      </c>
      <c r="B177" s="62">
        <f t="shared" si="31"/>
        <v>0</v>
      </c>
      <c r="C177" s="52" t="s">
        <v>82</v>
      </c>
      <c r="D177" s="62">
        <f t="shared" si="32"/>
        <v>0</v>
      </c>
      <c r="E177" s="52" t="s">
        <v>82</v>
      </c>
      <c r="F177" s="62">
        <f t="shared" si="33"/>
        <v>0</v>
      </c>
      <c r="G177" s="52"/>
      <c r="H177" s="59"/>
      <c r="I177" s="52" t="s">
        <v>82</v>
      </c>
      <c r="J177" s="62">
        <f t="shared" si="34"/>
        <v>0</v>
      </c>
      <c r="K177" s="5"/>
      <c r="L177" s="52" t="s">
        <v>82</v>
      </c>
      <c r="M177" s="62">
        <f t="shared" si="35"/>
        <v>0</v>
      </c>
      <c r="N177" s="52" t="s">
        <v>82</v>
      </c>
      <c r="O177" s="62">
        <f t="shared" si="36"/>
        <v>0</v>
      </c>
      <c r="P177" s="52" t="s">
        <v>82</v>
      </c>
      <c r="Q177" s="62">
        <f t="shared" si="37"/>
        <v>0</v>
      </c>
      <c r="R177" s="52"/>
      <c r="S177" s="59"/>
      <c r="T177" s="52" t="s">
        <v>82</v>
      </c>
      <c r="U177" s="62">
        <f t="shared" si="38"/>
        <v>0</v>
      </c>
    </row>
    <row r="178" ht="15.75" customHeight="1">
      <c r="A178" s="52" t="s">
        <v>83</v>
      </c>
      <c r="B178" s="59">
        <f t="shared" si="31"/>
        <v>0</v>
      </c>
      <c r="C178" s="52" t="s">
        <v>83</v>
      </c>
      <c r="D178" s="59">
        <f>IF(D177 = 0, 0, D174*D175*2)</f>
        <v>0</v>
      </c>
      <c r="E178" s="52" t="s">
        <v>83</v>
      </c>
      <c r="F178" s="59">
        <f>IF(F177 = 0, 0, F174*F175*2)</f>
        <v>0</v>
      </c>
      <c r="G178" s="52"/>
      <c r="H178" s="59"/>
      <c r="I178" s="52" t="s">
        <v>83</v>
      </c>
      <c r="J178" s="59">
        <f>IF(J177 = 0, 0, J174*J175*2)</f>
        <v>0</v>
      </c>
      <c r="K178" s="5"/>
      <c r="L178" s="52" t="s">
        <v>83</v>
      </c>
      <c r="M178" s="59">
        <f t="shared" si="35"/>
        <v>0</v>
      </c>
      <c r="N178" s="52" t="s">
        <v>83</v>
      </c>
      <c r="O178" s="59">
        <f>IF(O177 = 0, 0, O174*O175*2)</f>
        <v>0</v>
      </c>
      <c r="P178" s="52" t="s">
        <v>83</v>
      </c>
      <c r="Q178" s="59">
        <f>IF(Q177 = 0, 0, Q174*Q175*2)</f>
        <v>0</v>
      </c>
      <c r="R178" s="52"/>
      <c r="S178" s="59"/>
      <c r="T178" s="52" t="s">
        <v>83</v>
      </c>
      <c r="U178" s="59">
        <f>IF(U177 = 0, 0, U174*U175*2)</f>
        <v>0</v>
      </c>
    </row>
    <row r="179" ht="15.75" customHeight="1">
      <c r="A179" s="52" t="s">
        <v>84</v>
      </c>
      <c r="B179" s="59">
        <f t="shared" si="31"/>
        <v>0</v>
      </c>
      <c r="C179" s="52" t="s">
        <v>84</v>
      </c>
      <c r="D179" s="59">
        <f>(D174*D175*2 + D174*D176 + 2*D175*D176)*D177</f>
        <v>0</v>
      </c>
      <c r="E179" s="52" t="s">
        <v>84</v>
      </c>
      <c r="F179" s="59">
        <f>(F174*F175*2 + F174*F176 + 2*F175*F176)*F177</f>
        <v>0</v>
      </c>
      <c r="G179" s="52"/>
      <c r="H179" s="59"/>
      <c r="I179" s="52" t="s">
        <v>84</v>
      </c>
      <c r="J179" s="59">
        <f>(J174*J175*2 + J174*J176 + 2*J175*J176)*J177</f>
        <v>0</v>
      </c>
      <c r="K179" s="5"/>
      <c r="L179" s="52" t="s">
        <v>84</v>
      </c>
      <c r="M179" s="59">
        <f t="shared" si="35"/>
        <v>0</v>
      </c>
      <c r="N179" s="52" t="s">
        <v>84</v>
      </c>
      <c r="O179" s="59">
        <f>(O174*O175*2 + O174*O176 + 2*O175*O176)*O177</f>
        <v>0</v>
      </c>
      <c r="P179" s="52" t="s">
        <v>84</v>
      </c>
      <c r="Q179" s="59">
        <f>(Q174*Q175*2 + Q174*Q176 + 2*Q175*Q176)*Q177</f>
        <v>0</v>
      </c>
      <c r="R179" s="52"/>
      <c r="S179" s="59"/>
      <c r="T179" s="52" t="s">
        <v>84</v>
      </c>
      <c r="U179" s="59">
        <f>(U174*U175*2 + U174*U176 + 2*U175*U176)*U177</f>
        <v>0</v>
      </c>
    </row>
    <row r="180" ht="15.75" customHeight="1">
      <c r="A180" s="52" t="s">
        <v>85</v>
      </c>
      <c r="B180" s="59">
        <f>B168*(B170/(B170+B178)) + B172*(B178/(B170+B178))</f>
        <v>0.61</v>
      </c>
      <c r="C180" s="52" t="s">
        <v>85</v>
      </c>
      <c r="D180" s="59">
        <f>D168*(D170/(D170+D178)) + D172*(D178/(D170+D178))</f>
        <v>0.61</v>
      </c>
      <c r="E180" s="52" t="s">
        <v>85</v>
      </c>
      <c r="F180" s="59">
        <f>F168*(F170/(F170+F178)) + F172*(F178/(F170+F178))</f>
        <v>0.09</v>
      </c>
      <c r="G180" s="52"/>
      <c r="H180" s="59"/>
      <c r="I180" s="52" t="s">
        <v>85</v>
      </c>
      <c r="J180" s="59">
        <f>J168*(J170/(J170+J178)) + J172*(J178/(J170+J178))</f>
        <v>0.61</v>
      </c>
      <c r="K180" s="5"/>
      <c r="L180" s="52" t="s">
        <v>85</v>
      </c>
      <c r="M180" s="59">
        <f>M168*(M170/(M170+M178)) + M172*(M178/(M170+M178))</f>
        <v>0.61</v>
      </c>
      <c r="N180" s="52" t="s">
        <v>85</v>
      </c>
      <c r="O180" s="59">
        <f>O168*(O170/(O170+O178)) + O172*(O178/(O170+O178))</f>
        <v>0.61</v>
      </c>
      <c r="P180" s="52" t="s">
        <v>85</v>
      </c>
      <c r="Q180" s="59">
        <f>Q168*(Q170/(Q170+Q178)) + Q172*(Q178/(Q170+Q178))</f>
        <v>0.09</v>
      </c>
      <c r="R180" s="52"/>
      <c r="S180" s="59"/>
      <c r="T180" s="52" t="s">
        <v>85</v>
      </c>
      <c r="U180" s="59">
        <f>U168*(U170/(U170+U178)) + U172*(U178/(U170+U178))</f>
        <v>0.61</v>
      </c>
    </row>
    <row r="181" ht="15.75" customHeight="1">
      <c r="A181" s="52" t="s">
        <v>86</v>
      </c>
      <c r="B181" s="59">
        <f>B169*(B170/(B170+B178)) + B173*(B178/(B170+B178))</f>
        <v>0.25</v>
      </c>
      <c r="C181" s="52" t="s">
        <v>86</v>
      </c>
      <c r="D181" s="59">
        <f>D169*(D170/(D170+D178)) + D173*(D178/(D170+D178))</f>
        <v>0.25</v>
      </c>
      <c r="E181" s="52" t="s">
        <v>86</v>
      </c>
      <c r="F181" s="59">
        <f>F169*(F170/(F170+F178)) + F173*(F178/(F170+F178))</f>
        <v>0.45</v>
      </c>
      <c r="G181" s="52"/>
      <c r="H181" s="59"/>
      <c r="I181" s="52" t="s">
        <v>86</v>
      </c>
      <c r="J181" s="59">
        <f>J169*(J170/(J170+J178)) + J173*(J178/(J170+J178))</f>
        <v>0.25</v>
      </c>
      <c r="K181" s="5"/>
      <c r="L181" s="52" t="s">
        <v>86</v>
      </c>
      <c r="M181" s="59">
        <f>M169*(M170/(M170+M178)) + M173*(M178/(M170+M178))</f>
        <v>0.25</v>
      </c>
      <c r="N181" s="52" t="s">
        <v>86</v>
      </c>
      <c r="O181" s="59">
        <f>O169*(O170/(O170+O178)) + O173*(O178/(O170+O178))</f>
        <v>0.25</v>
      </c>
      <c r="P181" s="52" t="s">
        <v>86</v>
      </c>
      <c r="Q181" s="59">
        <f>Q169*(Q170/(Q170+Q178)) + Q173*(Q178/(Q170+Q178))</f>
        <v>0.45</v>
      </c>
      <c r="R181" s="52"/>
      <c r="S181" s="59"/>
      <c r="T181" s="52" t="s">
        <v>86</v>
      </c>
      <c r="U181" s="59">
        <f>U169*(U170/(U170+U178)) + U173*(U178/(U170+U178))</f>
        <v>0.25</v>
      </c>
    </row>
    <row r="182" ht="15.75" customHeight="1">
      <c r="A182" s="52" t="s">
        <v>87</v>
      </c>
      <c r="B182" s="59">
        <f>B168*(B171/(B171+B179)) + B172*(B179/(B171+B179))</f>
        <v>0.61</v>
      </c>
      <c r="C182" s="52" t="s">
        <v>87</v>
      </c>
      <c r="D182" s="59">
        <f>D168*(D171/(D171+D179)) + D172*(D179/(D171+D179))</f>
        <v>0.61</v>
      </c>
      <c r="E182" s="52" t="s">
        <v>87</v>
      </c>
      <c r="F182" s="59">
        <f>F168*(F171/(F171+F179)) + F172*(F179/(F171+F179))</f>
        <v>0.09</v>
      </c>
      <c r="G182" s="52"/>
      <c r="H182" s="59"/>
      <c r="I182" s="52" t="s">
        <v>87</v>
      </c>
      <c r="J182" s="59">
        <f>J168*(J171/(J171+J179)) + J172*(J179/(J171+J179))</f>
        <v>0.61</v>
      </c>
      <c r="K182" s="5"/>
      <c r="L182" s="52" t="s">
        <v>87</v>
      </c>
      <c r="M182" s="59">
        <f>M168*(M171/(M171+M179)) + M172*(M179/(M171+M179))</f>
        <v>0.61</v>
      </c>
      <c r="N182" s="52" t="s">
        <v>87</v>
      </c>
      <c r="O182" s="59">
        <f>O168*(O171/(O171+O179)) + O172*(O179/(O171+O179))</f>
        <v>0.61</v>
      </c>
      <c r="P182" s="52" t="s">
        <v>87</v>
      </c>
      <c r="Q182" s="59">
        <f>Q168*(Q171/(Q171+Q179)) + Q172*(Q179/(Q171+Q179))</f>
        <v>0.09</v>
      </c>
      <c r="R182" s="52"/>
      <c r="S182" s="59"/>
      <c r="T182" s="52" t="s">
        <v>87</v>
      </c>
      <c r="U182" s="59">
        <f>U168*(U171/(U171+U179)) + U172*(U179/(U171+U179))</f>
        <v>0.61</v>
      </c>
    </row>
    <row r="183" ht="15.75" customHeight="1">
      <c r="A183" s="52" t="s">
        <v>88</v>
      </c>
      <c r="B183" s="59">
        <f>B169*(B171/(B171+B179)) + B173*(B179/(B171+B179))</f>
        <v>0.25</v>
      </c>
      <c r="C183" s="52" t="s">
        <v>88</v>
      </c>
      <c r="D183" s="59">
        <f>D169*(D171/(D171+D179)) + D173*(D179/(D171+D179))</f>
        <v>0.25</v>
      </c>
      <c r="E183" s="52" t="s">
        <v>88</v>
      </c>
      <c r="F183" s="59">
        <f>F169*(F171/(F171+F179)) + F173*(F179/(F171+F179))</f>
        <v>0.45</v>
      </c>
      <c r="G183" s="52"/>
      <c r="H183" s="59"/>
      <c r="I183" s="52" t="s">
        <v>88</v>
      </c>
      <c r="J183" s="59">
        <f>J169*(J171/(J171+J179)) + J173*(J179/(J171+J179))</f>
        <v>0.25</v>
      </c>
      <c r="K183" s="5"/>
      <c r="L183" s="52" t="s">
        <v>88</v>
      </c>
      <c r="M183" s="59">
        <f>M169*(M171/(M171+M179)) + M173*(M179/(M171+M179))</f>
        <v>0.25</v>
      </c>
      <c r="N183" s="52" t="s">
        <v>88</v>
      </c>
      <c r="O183" s="59">
        <f>O169*(O171/(O171+O179)) + O173*(O179/(O171+O179))</f>
        <v>0.25</v>
      </c>
      <c r="P183" s="52" t="s">
        <v>88</v>
      </c>
      <c r="Q183" s="59">
        <f>Q169*(Q171/(Q171+Q179)) + Q173*(Q179/(Q171+Q179))</f>
        <v>0.45</v>
      </c>
      <c r="R183" s="52"/>
      <c r="S183" s="59"/>
      <c r="T183" s="52" t="s">
        <v>88</v>
      </c>
      <c r="U183" s="59">
        <f>U169*(U171/(U171+U179)) + U173*(U179/(U171+U179))</f>
        <v>0.25</v>
      </c>
    </row>
    <row r="184" ht="15.75" customHeight="1">
      <c r="A184" s="60" t="s">
        <v>89</v>
      </c>
      <c r="B184" s="74">
        <f>1371/((1+9.912)/2 * 0.5)^2</f>
        <v>184.2250669</v>
      </c>
      <c r="C184" s="60" t="s">
        <v>89</v>
      </c>
      <c r="D184" s="74">
        <f>1371/((1+9.912)/2 * 0.5)^2</f>
        <v>184.2250669</v>
      </c>
      <c r="E184" s="60" t="s">
        <v>89</v>
      </c>
      <c r="F184" s="74">
        <f>1371/((1+9.912)/2 * 0.5)^2</f>
        <v>184.2250669</v>
      </c>
      <c r="G184" s="52"/>
      <c r="H184" s="74"/>
      <c r="I184" s="60" t="s">
        <v>89</v>
      </c>
      <c r="J184" s="74">
        <f>1371/((1+9.912)/2 * 0.5)^2</f>
        <v>184.2250669</v>
      </c>
      <c r="K184" s="5"/>
      <c r="L184" s="60" t="s">
        <v>89</v>
      </c>
      <c r="M184" s="74">
        <f>1371/((1+9.912)/2 * 0.5)^2</f>
        <v>184.2250669</v>
      </c>
      <c r="N184" s="60" t="s">
        <v>89</v>
      </c>
      <c r="O184" s="74">
        <f>1371/((1+9.912)/2 * 0.5)^2</f>
        <v>184.2250669</v>
      </c>
      <c r="P184" s="60" t="s">
        <v>89</v>
      </c>
      <c r="Q184" s="74">
        <f>1371/((1+9.912)/2 * 0.5)^2</f>
        <v>184.2250669</v>
      </c>
      <c r="R184" s="52"/>
      <c r="S184" s="74"/>
      <c r="T184" s="60" t="s">
        <v>89</v>
      </c>
      <c r="U184" s="74">
        <f>1371/((1+9.912)/2 * 0.5)^2</f>
        <v>184.2250669</v>
      </c>
    </row>
    <row r="185" ht="15.75" customHeight="1">
      <c r="A185" s="52" t="s">
        <v>90</v>
      </c>
      <c r="B185" s="59">
        <f>B170+B178</f>
        <v>3.09</v>
      </c>
      <c r="C185" s="52" t="s">
        <v>90</v>
      </c>
      <c r="D185" s="59">
        <f>D170+D178</f>
        <v>3.9</v>
      </c>
      <c r="E185" s="52" t="s">
        <v>90</v>
      </c>
      <c r="F185" s="59">
        <f>F170+F178</f>
        <v>3.36</v>
      </c>
      <c r="G185" s="52"/>
      <c r="H185" s="59"/>
      <c r="I185" s="52" t="s">
        <v>90</v>
      </c>
      <c r="J185" s="59">
        <f>J170+J178</f>
        <v>3.7268</v>
      </c>
      <c r="K185" s="5"/>
      <c r="L185" s="52" t="s">
        <v>90</v>
      </c>
      <c r="M185" s="59">
        <f>M170+M178</f>
        <v>3.09</v>
      </c>
      <c r="N185" s="52" t="s">
        <v>90</v>
      </c>
      <c r="O185" s="59">
        <f>O170+O178</f>
        <v>3.9</v>
      </c>
      <c r="P185" s="52" t="s">
        <v>90</v>
      </c>
      <c r="Q185" s="59">
        <f>Q170+Q178</f>
        <v>3.36</v>
      </c>
      <c r="R185" s="52"/>
      <c r="S185" s="59"/>
      <c r="T185" s="52" t="s">
        <v>90</v>
      </c>
      <c r="U185" s="59">
        <f>U170+U178</f>
        <v>3.7268</v>
      </c>
    </row>
    <row r="186" ht="15.75" customHeight="1">
      <c r="A186" s="52" t="s">
        <v>91</v>
      </c>
      <c r="B186" s="59">
        <f>B180*B184*B185</f>
        <v>347.2458285</v>
      </c>
      <c r="C186" s="52" t="s">
        <v>91</v>
      </c>
      <c r="D186" s="59">
        <f>D180*D184*D185</f>
        <v>438.2714341</v>
      </c>
      <c r="E186" s="52" t="s">
        <v>91</v>
      </c>
      <c r="F186" s="59">
        <f>F180*F184*F185</f>
        <v>55.70966022</v>
      </c>
      <c r="G186" s="52"/>
      <c r="H186" s="59"/>
      <c r="I186" s="52" t="s">
        <v>91</v>
      </c>
      <c r="J186" s="59">
        <f>J180*J184*J185</f>
        <v>418.8076873</v>
      </c>
      <c r="K186" s="5"/>
      <c r="L186" s="52" t="s">
        <v>91</v>
      </c>
      <c r="M186" s="59">
        <f>M180*M184*M185</f>
        <v>347.2458285</v>
      </c>
      <c r="N186" s="52" t="s">
        <v>91</v>
      </c>
      <c r="O186" s="59">
        <f>O180*O184*O185</f>
        <v>438.2714341</v>
      </c>
      <c r="P186" s="52" t="s">
        <v>91</v>
      </c>
      <c r="Q186" s="59">
        <f>Q180*Q184*Q185</f>
        <v>55.70966022</v>
      </c>
      <c r="R186" s="52"/>
      <c r="S186" s="59"/>
      <c r="T186" s="52" t="s">
        <v>91</v>
      </c>
      <c r="U186" s="59">
        <f>U180*U184*U185</f>
        <v>418.8076873</v>
      </c>
    </row>
    <row r="187" ht="15.75" customHeight="1">
      <c r="A187" s="60" t="s">
        <v>89</v>
      </c>
      <c r="B187" s="62">
        <f>B184</f>
        <v>184.2250669</v>
      </c>
      <c r="C187" s="60" t="s">
        <v>89</v>
      </c>
      <c r="D187" s="62">
        <f>D184</f>
        <v>184.2250669</v>
      </c>
      <c r="E187" s="60" t="s">
        <v>89</v>
      </c>
      <c r="F187" s="62">
        <f>F184</f>
        <v>184.2250669</v>
      </c>
      <c r="G187" s="52"/>
      <c r="H187" s="59"/>
      <c r="I187" s="60" t="s">
        <v>89</v>
      </c>
      <c r="J187" s="62">
        <f>J184</f>
        <v>184.2250669</v>
      </c>
      <c r="K187" s="5"/>
      <c r="L187" s="60" t="s">
        <v>89</v>
      </c>
      <c r="M187" s="62">
        <f>M184</f>
        <v>184.2250669</v>
      </c>
      <c r="N187" s="60" t="s">
        <v>89</v>
      </c>
      <c r="O187" s="62">
        <f>O184</f>
        <v>184.2250669</v>
      </c>
      <c r="P187" s="60" t="s">
        <v>89</v>
      </c>
      <c r="Q187" s="62">
        <f>Q184</f>
        <v>184.2250669</v>
      </c>
      <c r="R187" s="52"/>
      <c r="S187" s="59"/>
      <c r="T187" s="60" t="s">
        <v>89</v>
      </c>
      <c r="U187" s="62">
        <f>U184</f>
        <v>184.2250669</v>
      </c>
    </row>
    <row r="188" ht="15.75" customHeight="1">
      <c r="A188" s="52" t="s">
        <v>92</v>
      </c>
      <c r="B188" s="74">
        <v>0.26</v>
      </c>
      <c r="C188" s="52" t="s">
        <v>92</v>
      </c>
      <c r="D188" s="74">
        <v>0.26</v>
      </c>
      <c r="E188" s="52" t="s">
        <v>92</v>
      </c>
      <c r="F188" s="74">
        <v>0.26</v>
      </c>
      <c r="G188" s="52"/>
      <c r="H188" s="74"/>
      <c r="I188" s="52" t="s">
        <v>92</v>
      </c>
      <c r="J188" s="74">
        <v>0.26</v>
      </c>
      <c r="K188" s="5"/>
      <c r="L188" s="52" t="s">
        <v>92</v>
      </c>
      <c r="M188" s="74">
        <v>0.26</v>
      </c>
      <c r="N188" s="52" t="s">
        <v>92</v>
      </c>
      <c r="O188" s="74">
        <v>0.26</v>
      </c>
      <c r="P188" s="52" t="s">
        <v>92</v>
      </c>
      <c r="Q188" s="74">
        <v>0.26</v>
      </c>
      <c r="R188" s="52"/>
      <c r="S188" s="74"/>
      <c r="T188" s="52" t="s">
        <v>92</v>
      </c>
      <c r="U188" s="74">
        <v>0.26</v>
      </c>
    </row>
    <row r="189" ht="15.75" customHeight="1">
      <c r="A189" s="52" t="s">
        <v>93</v>
      </c>
      <c r="B189" s="74">
        <v>0.16</v>
      </c>
      <c r="C189" s="52" t="s">
        <v>93</v>
      </c>
      <c r="D189" s="74">
        <v>0.16</v>
      </c>
      <c r="E189" s="52" t="s">
        <v>93</v>
      </c>
      <c r="F189" s="74">
        <v>0.16</v>
      </c>
      <c r="G189" s="52"/>
      <c r="H189" s="74"/>
      <c r="I189" s="52" t="s">
        <v>93</v>
      </c>
      <c r="J189" s="74">
        <v>0.16</v>
      </c>
      <c r="K189" s="5"/>
      <c r="L189" s="52" t="s">
        <v>93</v>
      </c>
      <c r="M189" s="74">
        <v>0.16</v>
      </c>
      <c r="N189" s="52" t="s">
        <v>93</v>
      </c>
      <c r="O189" s="74">
        <v>0.16</v>
      </c>
      <c r="P189" s="52" t="s">
        <v>93</v>
      </c>
      <c r="Q189" s="74">
        <v>0.16</v>
      </c>
      <c r="R189" s="52"/>
      <c r="S189" s="74"/>
      <c r="T189" s="52" t="s">
        <v>93</v>
      </c>
      <c r="U189" s="74">
        <v>0.16</v>
      </c>
    </row>
    <row r="190" ht="15.75" customHeight="1">
      <c r="A190" s="52" t="s">
        <v>94</v>
      </c>
      <c r="B190" s="74">
        <v>6371000.0</v>
      </c>
      <c r="C190" s="52" t="s">
        <v>94</v>
      </c>
      <c r="D190" s="74">
        <v>6371000.0</v>
      </c>
      <c r="E190" s="52" t="s">
        <v>94</v>
      </c>
      <c r="F190" s="74">
        <v>6371000.0</v>
      </c>
      <c r="G190" s="52"/>
      <c r="H190" s="59"/>
      <c r="I190" s="52" t="s">
        <v>94</v>
      </c>
      <c r="J190" s="74">
        <v>6371000.0</v>
      </c>
      <c r="K190" s="5"/>
      <c r="L190" s="52" t="s">
        <v>94</v>
      </c>
      <c r="M190" s="74">
        <v>6371000.0</v>
      </c>
      <c r="N190" s="52" t="s">
        <v>94</v>
      </c>
      <c r="O190" s="74">
        <v>6371000.0</v>
      </c>
      <c r="P190" s="52" t="s">
        <v>94</v>
      </c>
      <c r="Q190" s="74">
        <v>6371000.0</v>
      </c>
      <c r="R190" s="52"/>
      <c r="S190" s="59"/>
      <c r="T190" s="52" t="s">
        <v>94</v>
      </c>
      <c r="U190" s="74">
        <v>6371000.0</v>
      </c>
    </row>
    <row r="191" ht="15.75" customHeight="1">
      <c r="A191" s="52" t="s">
        <v>95</v>
      </c>
      <c r="B191" s="59">
        <v>1.0</v>
      </c>
      <c r="C191" s="52" t="s">
        <v>95</v>
      </c>
      <c r="D191" s="59">
        <v>1.0</v>
      </c>
      <c r="E191" s="52" t="s">
        <v>95</v>
      </c>
      <c r="F191" s="59">
        <v>1.0</v>
      </c>
      <c r="G191" s="52"/>
      <c r="H191" s="59"/>
      <c r="I191" s="52" t="s">
        <v>95</v>
      </c>
      <c r="J191" s="59">
        <v>1.0</v>
      </c>
      <c r="K191" s="5"/>
      <c r="L191" s="52" t="s">
        <v>95</v>
      </c>
      <c r="M191" s="59">
        <v>1.0</v>
      </c>
      <c r="N191" s="52" t="s">
        <v>95</v>
      </c>
      <c r="O191" s="59">
        <v>1.0</v>
      </c>
      <c r="P191" s="52" t="s">
        <v>95</v>
      </c>
      <c r="Q191" s="59">
        <v>1.0</v>
      </c>
      <c r="R191" s="52"/>
      <c r="S191" s="59"/>
      <c r="T191" s="52" t="s">
        <v>95</v>
      </c>
      <c r="U191" s="59">
        <v>1.0</v>
      </c>
    </row>
    <row r="192" ht="15.75" customHeight="1">
      <c r="A192" s="52" t="s">
        <v>96</v>
      </c>
      <c r="B192" s="59">
        <f>0.657+0.54*(B190)/(B190+B191)-0.196*((B190)/(B190+B191))^2</f>
        <v>1.000999977</v>
      </c>
      <c r="C192" s="52" t="s">
        <v>96</v>
      </c>
      <c r="D192" s="59">
        <f>0.657+0.54*(D190)/(D190+D191)-0.196*((D190)/(D190+D191))^2</f>
        <v>1.000999977</v>
      </c>
      <c r="E192" s="52" t="s">
        <v>96</v>
      </c>
      <c r="F192" s="59">
        <f>0.657+0.54*(F190)/(F190+F191)-0.196*((F190)/(F190+F191))^2</f>
        <v>1.000999977</v>
      </c>
      <c r="G192" s="52"/>
      <c r="H192" s="59"/>
      <c r="I192" s="52" t="s">
        <v>96</v>
      </c>
      <c r="J192" s="59">
        <f>0.657+0.54*(J190)/(J190+J191)-0.196*((J190)/(J190+J191))^2</f>
        <v>1.000999977</v>
      </c>
      <c r="K192" s="5"/>
      <c r="L192" s="52" t="s">
        <v>96</v>
      </c>
      <c r="M192" s="59">
        <f>0.657+0.54*(M190)/(M190+M191)-0.196*((M190)/(M190+M191))^2</f>
        <v>1.000999977</v>
      </c>
      <c r="N192" s="52" t="s">
        <v>96</v>
      </c>
      <c r="O192" s="59">
        <f>0.657+0.54*(O190)/(O190+O191)-0.196*((O190)/(O190+O191))^2</f>
        <v>1.000999977</v>
      </c>
      <c r="P192" s="52" t="s">
        <v>96</v>
      </c>
      <c r="Q192" s="59">
        <f>0.657+0.54*(Q190)/(Q190+Q191)-0.196*((Q190)/(Q190+Q191))^2</f>
        <v>1.000999977</v>
      </c>
      <c r="R192" s="52"/>
      <c r="S192" s="59"/>
      <c r="T192" s="52" t="s">
        <v>96</v>
      </c>
      <c r="U192" s="59">
        <f>0.657+0.54*(U190)/(U190+U191)-0.196*((U190)/(U190+U191))^2</f>
        <v>1.000999977</v>
      </c>
    </row>
    <row r="193" ht="15.75" customHeight="1">
      <c r="A193" s="52" t="s">
        <v>97</v>
      </c>
      <c r="B193" s="62">
        <f>B246</f>
        <v>0.9963137846</v>
      </c>
      <c r="C193" s="52" t="s">
        <v>97</v>
      </c>
      <c r="D193" s="62">
        <f>D246</f>
        <v>0.9963137846</v>
      </c>
      <c r="E193" s="52" t="s">
        <v>97</v>
      </c>
      <c r="F193" s="62">
        <f>F246</f>
        <v>0.9963137846</v>
      </c>
      <c r="G193" s="52"/>
      <c r="H193" s="59"/>
      <c r="I193" s="52" t="s">
        <v>97</v>
      </c>
      <c r="J193" s="62">
        <f>J246</f>
        <v>0.9963137846</v>
      </c>
      <c r="K193" s="5"/>
      <c r="L193" s="52" t="s">
        <v>97</v>
      </c>
      <c r="M193" s="62">
        <f>M246</f>
        <v>0.9963137846</v>
      </c>
      <c r="N193" s="52" t="s">
        <v>97</v>
      </c>
      <c r="O193" s="62">
        <f>O246</f>
        <v>0.9963137846</v>
      </c>
      <c r="P193" s="52" t="s">
        <v>97</v>
      </c>
      <c r="Q193" s="62">
        <f>Q246</f>
        <v>0.9963137846</v>
      </c>
      <c r="R193" s="52"/>
      <c r="S193" s="59"/>
      <c r="T193" s="52" t="s">
        <v>97</v>
      </c>
      <c r="U193" s="62">
        <f>U246</f>
        <v>0.9963137846</v>
      </c>
    </row>
    <row r="194" ht="15.75" customHeight="1">
      <c r="A194" s="52" t="s">
        <v>98</v>
      </c>
      <c r="B194" s="59">
        <f>(3*B193/4/PI())^(1/3)</f>
        <v>0.6195873039</v>
      </c>
      <c r="C194" s="52" t="s">
        <v>98</v>
      </c>
      <c r="D194" s="59">
        <f>(3*D193/4/PI())^(1/3)</f>
        <v>0.6195873039</v>
      </c>
      <c r="E194" s="52" t="s">
        <v>98</v>
      </c>
      <c r="F194" s="59">
        <f>(3*F193/4/PI())^(1/3)</f>
        <v>0.6195873039</v>
      </c>
      <c r="G194" s="52"/>
      <c r="H194" s="59"/>
      <c r="I194" s="52" t="s">
        <v>98</v>
      </c>
      <c r="J194" s="59">
        <f>(3*J193/4/PI())^(1/3)</f>
        <v>0.6195873039</v>
      </c>
      <c r="K194" s="5"/>
      <c r="L194" s="52" t="s">
        <v>98</v>
      </c>
      <c r="M194" s="59">
        <f>(3*M193/4/PI())^(1/3)</f>
        <v>0.6195873039</v>
      </c>
      <c r="N194" s="52" t="s">
        <v>98</v>
      </c>
      <c r="O194" s="59">
        <f>(3*O193/4/PI())^(1/3)</f>
        <v>0.6195873039</v>
      </c>
      <c r="P194" s="52" t="s">
        <v>98</v>
      </c>
      <c r="Q194" s="59">
        <f>(3*Q193/4/PI())^(1/3)</f>
        <v>0.6195873039</v>
      </c>
      <c r="R194" s="52"/>
      <c r="S194" s="59"/>
      <c r="T194" s="52" t="s">
        <v>98</v>
      </c>
      <c r="U194" s="59">
        <f>(3*U193/4/PI())^(1/3)</f>
        <v>0.6195873039</v>
      </c>
    </row>
    <row r="195" ht="15.75" customHeight="1">
      <c r="A195" s="52" t="s">
        <v>99</v>
      </c>
      <c r="B195" s="59">
        <v>0.0</v>
      </c>
      <c r="C195" s="52" t="s">
        <v>99</v>
      </c>
      <c r="D195" s="59">
        <v>0.0</v>
      </c>
      <c r="E195" s="52" t="s">
        <v>99</v>
      </c>
      <c r="F195" s="59">
        <v>0.0</v>
      </c>
      <c r="G195" s="52"/>
      <c r="H195" s="59"/>
      <c r="I195" s="52" t="s">
        <v>99</v>
      </c>
      <c r="J195" s="59">
        <v>0.0</v>
      </c>
      <c r="K195" s="5"/>
      <c r="L195" s="52" t="s">
        <v>99</v>
      </c>
      <c r="M195" s="59">
        <v>0.0</v>
      </c>
      <c r="N195" s="52" t="s">
        <v>99</v>
      </c>
      <c r="O195" s="59">
        <v>0.0</v>
      </c>
      <c r="P195" s="52" t="s">
        <v>99</v>
      </c>
      <c r="Q195" s="59">
        <v>0.0</v>
      </c>
      <c r="R195" s="52"/>
      <c r="S195" s="59"/>
      <c r="T195" s="52" t="s">
        <v>99</v>
      </c>
      <c r="U195" s="59">
        <v>0.0</v>
      </c>
    </row>
    <row r="196" ht="15.75" customHeight="1">
      <c r="A196" s="52" t="s">
        <v>100</v>
      </c>
      <c r="B196" s="62">
        <f>B185</f>
        <v>3.09</v>
      </c>
      <c r="C196" s="52" t="s">
        <v>100</v>
      </c>
      <c r="D196" s="62">
        <f>D185</f>
        <v>3.9</v>
      </c>
      <c r="E196" s="52" t="s">
        <v>100</v>
      </c>
      <c r="F196" s="62">
        <f>F185</f>
        <v>3.36</v>
      </c>
      <c r="G196" s="52"/>
      <c r="H196" s="59"/>
      <c r="I196" s="52" t="s">
        <v>100</v>
      </c>
      <c r="J196" s="62">
        <f>J185</f>
        <v>3.7268</v>
      </c>
      <c r="K196" s="5"/>
      <c r="L196" s="52" t="s">
        <v>100</v>
      </c>
      <c r="M196" s="62">
        <f>M185</f>
        <v>3.09</v>
      </c>
      <c r="N196" s="52" t="s">
        <v>100</v>
      </c>
      <c r="O196" s="62">
        <f>O185</f>
        <v>3.9</v>
      </c>
      <c r="P196" s="52" t="s">
        <v>100</v>
      </c>
      <c r="Q196" s="62">
        <f>Q185</f>
        <v>3.36</v>
      </c>
      <c r="R196" s="52"/>
      <c r="S196" s="59"/>
      <c r="T196" s="52" t="s">
        <v>100</v>
      </c>
      <c r="U196" s="62">
        <f>U185</f>
        <v>3.7268</v>
      </c>
    </row>
    <row r="197" ht="15.75" customHeight="1">
      <c r="A197" s="52" t="s">
        <v>101</v>
      </c>
      <c r="B197" s="59">
        <f>B187*B188*B195*B196*B180*B192</f>
        <v>0</v>
      </c>
      <c r="C197" s="52" t="s">
        <v>101</v>
      </c>
      <c r="D197" s="59">
        <f>D187*D188*D195*D196*D180*D192</f>
        <v>0</v>
      </c>
      <c r="E197" s="52" t="s">
        <v>101</v>
      </c>
      <c r="F197" s="59">
        <f>F187*F188*F195*F196*F180*F192</f>
        <v>0</v>
      </c>
      <c r="G197" s="52">
        <f>703+309+417</f>
        <v>1429</v>
      </c>
      <c r="H197" s="59"/>
      <c r="I197" s="52" t="s">
        <v>101</v>
      </c>
      <c r="J197" s="59">
        <f>J187*J188*J195*J196*J180*J192</f>
        <v>0</v>
      </c>
      <c r="K197" s="5"/>
      <c r="L197" s="52" t="s">
        <v>101</v>
      </c>
      <c r="M197" s="59">
        <f>M187*M188*M195*M196*M180*M192</f>
        <v>0</v>
      </c>
      <c r="N197" s="52" t="s">
        <v>101</v>
      </c>
      <c r="O197" s="59">
        <f>O187*O188*O195*O196*O180*O192</f>
        <v>0</v>
      </c>
      <c r="P197" s="52" t="s">
        <v>101</v>
      </c>
      <c r="Q197" s="59">
        <f>Q187*Q188*Q195*Q196*Q180*Q192</f>
        <v>0</v>
      </c>
      <c r="R197" s="52"/>
      <c r="S197" s="59"/>
      <c r="T197" s="52" t="s">
        <v>101</v>
      </c>
      <c r="U197" s="59">
        <f>U187*U188*U195*U196*U180*U192</f>
        <v>0</v>
      </c>
    </row>
    <row r="198" ht="15.75" customHeight="1">
      <c r="A198" s="52" t="s">
        <v>102</v>
      </c>
      <c r="B198" s="59">
        <f>B187*B189*B195*B196*B180*B192</f>
        <v>0</v>
      </c>
      <c r="C198" s="52" t="s">
        <v>102</v>
      </c>
      <c r="D198" s="59">
        <f>D187*D189*D195*D196*D180*D192</f>
        <v>0</v>
      </c>
      <c r="E198" s="52" t="s">
        <v>102</v>
      </c>
      <c r="F198" s="59">
        <f>F187*F189*F195*F196*F180*F192</f>
        <v>0</v>
      </c>
      <c r="G198" s="52"/>
      <c r="H198" s="59"/>
      <c r="I198" s="52" t="s">
        <v>102</v>
      </c>
      <c r="J198" s="59">
        <f>J187*J189*J195*J196*J180*J192</f>
        <v>0</v>
      </c>
      <c r="K198" s="5"/>
      <c r="L198" s="52" t="s">
        <v>102</v>
      </c>
      <c r="M198" s="59">
        <f>M187*M189*M195*M196*M180*M192</f>
        <v>0</v>
      </c>
      <c r="N198" s="52" t="s">
        <v>102</v>
      </c>
      <c r="O198" s="59">
        <f>O187*O189*O195*O196*O180*O192</f>
        <v>0</v>
      </c>
      <c r="P198" s="52" t="s">
        <v>102</v>
      </c>
      <c r="Q198" s="59">
        <f>Q187*Q189*Q195*Q196*Q180*Q192</f>
        <v>0</v>
      </c>
      <c r="R198" s="52"/>
      <c r="S198" s="59"/>
      <c r="T198" s="52" t="s">
        <v>102</v>
      </c>
      <c r="U198" s="59">
        <f>U187*U189*U195*U196*U180*U192</f>
        <v>0</v>
      </c>
    </row>
    <row r="199" ht="15.75" customHeight="1">
      <c r="A199" s="60" t="s">
        <v>103</v>
      </c>
      <c r="B199" s="64">
        <v>0.0</v>
      </c>
      <c r="C199" s="60" t="s">
        <v>103</v>
      </c>
      <c r="D199" s="64">
        <v>500.0</v>
      </c>
      <c r="E199" s="60" t="s">
        <v>103</v>
      </c>
      <c r="F199" s="65">
        <f>757.24</f>
        <v>757.24</v>
      </c>
      <c r="G199" s="52"/>
      <c r="H199" s="66"/>
      <c r="I199" s="60" t="s">
        <v>103</v>
      </c>
      <c r="J199" s="64">
        <v>57.6</v>
      </c>
      <c r="K199" s="5"/>
      <c r="L199" s="60" t="s">
        <v>103</v>
      </c>
      <c r="M199" s="64">
        <v>0.0</v>
      </c>
      <c r="N199" s="60" t="s">
        <v>103</v>
      </c>
      <c r="O199" s="64">
        <v>500.0</v>
      </c>
      <c r="P199" s="60" t="s">
        <v>103</v>
      </c>
      <c r="Q199" s="65">
        <f>757.24</f>
        <v>757.24</v>
      </c>
      <c r="R199" s="52"/>
      <c r="S199" s="66"/>
      <c r="T199" s="60" t="s">
        <v>103</v>
      </c>
      <c r="U199" s="64">
        <v>57.6</v>
      </c>
    </row>
    <row r="200" ht="15.75" customHeight="1">
      <c r="A200" s="52" t="s">
        <v>104</v>
      </c>
      <c r="B200" s="53">
        <v>0.0</v>
      </c>
      <c r="C200" s="52" t="s">
        <v>104</v>
      </c>
      <c r="D200" s="53">
        <v>500.0</v>
      </c>
      <c r="E200" s="52" t="s">
        <v>104</v>
      </c>
      <c r="F200" s="54">
        <f>F199/2</f>
        <v>378.62</v>
      </c>
      <c r="G200" s="52"/>
      <c r="H200" s="59"/>
      <c r="I200" s="52" t="s">
        <v>104</v>
      </c>
      <c r="J200" s="53">
        <f>J199/2</f>
        <v>28.8</v>
      </c>
      <c r="K200" s="5"/>
      <c r="L200" s="52" t="s">
        <v>104</v>
      </c>
      <c r="M200" s="53">
        <v>0.0</v>
      </c>
      <c r="N200" s="52" t="s">
        <v>104</v>
      </c>
      <c r="O200" s="53">
        <v>500.0</v>
      </c>
      <c r="P200" s="52" t="s">
        <v>104</v>
      </c>
      <c r="Q200" s="54">
        <f>Q199/2</f>
        <v>378.62</v>
      </c>
      <c r="R200" s="52"/>
      <c r="S200" s="59"/>
      <c r="T200" s="52" t="s">
        <v>104</v>
      </c>
      <c r="U200" s="53">
        <f>U199/2</f>
        <v>28.8</v>
      </c>
    </row>
    <row r="201" ht="15.75" customHeight="1">
      <c r="A201" s="60" t="s">
        <v>105</v>
      </c>
      <c r="B201" s="74">
        <v>0.7</v>
      </c>
      <c r="C201" s="60" t="s">
        <v>105</v>
      </c>
      <c r="D201" s="74">
        <v>0.7</v>
      </c>
      <c r="E201" s="60" t="s">
        <v>105</v>
      </c>
      <c r="F201" s="74">
        <v>0.7</v>
      </c>
      <c r="G201" s="52"/>
      <c r="H201" s="74"/>
      <c r="I201" s="60" t="s">
        <v>105</v>
      </c>
      <c r="J201" s="74">
        <v>0.7</v>
      </c>
      <c r="K201" s="5"/>
      <c r="L201" s="60" t="s">
        <v>105</v>
      </c>
      <c r="M201" s="74">
        <v>0.7</v>
      </c>
      <c r="N201" s="60" t="s">
        <v>105</v>
      </c>
      <c r="O201" s="74">
        <v>0.7</v>
      </c>
      <c r="P201" s="60" t="s">
        <v>105</v>
      </c>
      <c r="Q201" s="74">
        <v>0.7</v>
      </c>
      <c r="R201" s="52"/>
      <c r="S201" s="74"/>
      <c r="T201" s="60" t="s">
        <v>105</v>
      </c>
      <c r="U201" s="74">
        <v>0.7</v>
      </c>
    </row>
    <row r="202" ht="15.75" customHeight="1">
      <c r="A202" s="52" t="s">
        <v>106</v>
      </c>
      <c r="B202" s="74">
        <v>0.35</v>
      </c>
      <c r="C202" s="52" t="s">
        <v>106</v>
      </c>
      <c r="D202" s="74">
        <v>0.35</v>
      </c>
      <c r="E202" s="52" t="s">
        <v>106</v>
      </c>
      <c r="F202" s="74">
        <v>0.35</v>
      </c>
      <c r="G202" s="52"/>
      <c r="H202" s="74"/>
      <c r="I202" s="52" t="s">
        <v>106</v>
      </c>
      <c r="J202" s="74">
        <v>0.35</v>
      </c>
      <c r="K202" s="5"/>
      <c r="L202" s="52" t="s">
        <v>106</v>
      </c>
      <c r="M202" s="74">
        <v>0.35</v>
      </c>
      <c r="N202" s="52" t="s">
        <v>106</v>
      </c>
      <c r="O202" s="74">
        <v>0.35</v>
      </c>
      <c r="P202" s="52" t="s">
        <v>106</v>
      </c>
      <c r="Q202" s="74">
        <v>0.35</v>
      </c>
      <c r="R202" s="52"/>
      <c r="S202" s="74"/>
      <c r="T202" s="52" t="s">
        <v>106</v>
      </c>
      <c r="U202" s="74">
        <v>0.35</v>
      </c>
    </row>
    <row r="203" ht="15.75" customHeight="1">
      <c r="A203" s="52" t="s">
        <v>99</v>
      </c>
      <c r="B203" s="62">
        <f>B195</f>
        <v>0</v>
      </c>
      <c r="C203" s="52" t="s">
        <v>99</v>
      </c>
      <c r="D203" s="62">
        <f>D195</f>
        <v>0</v>
      </c>
      <c r="E203" s="52" t="s">
        <v>99</v>
      </c>
      <c r="F203" s="62">
        <f>F195</f>
        <v>0</v>
      </c>
      <c r="G203" s="52"/>
      <c r="H203" s="59"/>
      <c r="I203" s="52" t="s">
        <v>99</v>
      </c>
      <c r="J203" s="62">
        <f>J195</f>
        <v>0</v>
      </c>
      <c r="K203" s="5"/>
      <c r="L203" s="52" t="s">
        <v>99</v>
      </c>
      <c r="M203" s="62">
        <f>M195</f>
        <v>0</v>
      </c>
      <c r="N203" s="52" t="s">
        <v>99</v>
      </c>
      <c r="O203" s="62">
        <f>O195</f>
        <v>0</v>
      </c>
      <c r="P203" s="52" t="s">
        <v>99</v>
      </c>
      <c r="Q203" s="62">
        <f>Q195</f>
        <v>0</v>
      </c>
      <c r="R203" s="52"/>
      <c r="S203" s="59"/>
      <c r="T203" s="52" t="s">
        <v>99</v>
      </c>
      <c r="U203" s="62">
        <f>U195</f>
        <v>0</v>
      </c>
    </row>
    <row r="204" ht="15.75" customHeight="1">
      <c r="A204" s="52" t="s">
        <v>100</v>
      </c>
      <c r="B204" s="62">
        <f>B185</f>
        <v>3.09</v>
      </c>
      <c r="C204" s="52" t="s">
        <v>100</v>
      </c>
      <c r="D204" s="62">
        <f>D185</f>
        <v>3.9</v>
      </c>
      <c r="E204" s="52" t="s">
        <v>100</v>
      </c>
      <c r="F204" s="62">
        <f>F185</f>
        <v>3.36</v>
      </c>
      <c r="G204" s="52"/>
      <c r="H204" s="59"/>
      <c r="I204" s="52" t="s">
        <v>100</v>
      </c>
      <c r="J204" s="62">
        <f>J185</f>
        <v>3.7268</v>
      </c>
      <c r="K204" s="5"/>
      <c r="L204" s="52" t="s">
        <v>100</v>
      </c>
      <c r="M204" s="62">
        <f>M185</f>
        <v>3.09</v>
      </c>
      <c r="N204" s="52" t="s">
        <v>100</v>
      </c>
      <c r="O204" s="62">
        <f>O185</f>
        <v>3.9</v>
      </c>
      <c r="P204" s="52" t="s">
        <v>100</v>
      </c>
      <c r="Q204" s="62">
        <f>Q185</f>
        <v>3.36</v>
      </c>
      <c r="R204" s="52"/>
      <c r="S204" s="59"/>
      <c r="T204" s="52" t="s">
        <v>100</v>
      </c>
      <c r="U204" s="62">
        <f>U185</f>
        <v>3.7268</v>
      </c>
    </row>
    <row r="205" ht="15.75" customHeight="1">
      <c r="A205" s="52" t="s">
        <v>107</v>
      </c>
      <c r="B205" s="59">
        <f>B201*B203*B204*B180</f>
        <v>0</v>
      </c>
      <c r="C205" s="52" t="s">
        <v>107</v>
      </c>
      <c r="D205" s="59">
        <f>D201*D203*D204*D180</f>
        <v>0</v>
      </c>
      <c r="E205" s="52" t="s">
        <v>107</v>
      </c>
      <c r="F205" s="59">
        <f>F201*F203*F204*F180</f>
        <v>0</v>
      </c>
      <c r="G205" s="52"/>
      <c r="H205" s="59"/>
      <c r="I205" s="52" t="s">
        <v>107</v>
      </c>
      <c r="J205" s="59">
        <f>J201*J203*J204*J180</f>
        <v>0</v>
      </c>
      <c r="K205" s="5"/>
      <c r="L205" s="52" t="s">
        <v>107</v>
      </c>
      <c r="M205" s="59">
        <f>M201*M203*M204*M180</f>
        <v>0</v>
      </c>
      <c r="N205" s="52" t="s">
        <v>107</v>
      </c>
      <c r="O205" s="59">
        <f>O201*O203*O204*O180</f>
        <v>0</v>
      </c>
      <c r="P205" s="52" t="s">
        <v>107</v>
      </c>
      <c r="Q205" s="59">
        <f>Q201*Q203*Q204*Q180</f>
        <v>0</v>
      </c>
      <c r="R205" s="52"/>
      <c r="S205" s="59"/>
      <c r="T205" s="52" t="s">
        <v>107</v>
      </c>
      <c r="U205" s="59">
        <f>U201*U203*U204*U180</f>
        <v>0</v>
      </c>
    </row>
    <row r="206" ht="15.75" customHeight="1">
      <c r="A206" s="52" t="s">
        <v>108</v>
      </c>
      <c r="B206" s="59">
        <f>B202*B203*B204*B180</f>
        <v>0</v>
      </c>
      <c r="C206" s="52" t="s">
        <v>108</v>
      </c>
      <c r="D206" s="59">
        <f>D202*D203*D204*D180</f>
        <v>0</v>
      </c>
      <c r="E206" s="52" t="s">
        <v>108</v>
      </c>
      <c r="F206" s="59">
        <f>F202*F203*F204*F180</f>
        <v>0</v>
      </c>
      <c r="G206" s="52"/>
      <c r="H206" s="59"/>
      <c r="I206" s="52" t="s">
        <v>108</v>
      </c>
      <c r="J206" s="59">
        <f>J202*J203*J204*J180</f>
        <v>0</v>
      </c>
      <c r="K206" s="5"/>
      <c r="L206" s="52" t="s">
        <v>108</v>
      </c>
      <c r="M206" s="59">
        <f>M202*M203*M204*M180</f>
        <v>0</v>
      </c>
      <c r="N206" s="52" t="s">
        <v>108</v>
      </c>
      <c r="O206" s="59">
        <f>O202*O203*O204*O180</f>
        <v>0</v>
      </c>
      <c r="P206" s="52" t="s">
        <v>108</v>
      </c>
      <c r="Q206" s="59">
        <f>Q202*Q203*Q204*Q180</f>
        <v>0</v>
      </c>
      <c r="R206" s="52"/>
      <c r="S206" s="59"/>
      <c r="T206" s="52" t="s">
        <v>108</v>
      </c>
      <c r="U206" s="59">
        <f>U202*U203*U204*U180</f>
        <v>0</v>
      </c>
    </row>
    <row r="207" ht="15.75" customHeight="1">
      <c r="A207" s="60" t="s">
        <v>109</v>
      </c>
      <c r="B207" s="53">
        <v>-40.0</v>
      </c>
      <c r="C207" s="60" t="s">
        <v>109</v>
      </c>
      <c r="D207" s="53">
        <v>-40.0</v>
      </c>
      <c r="E207" s="60" t="s">
        <v>109</v>
      </c>
      <c r="F207" s="53">
        <v>-40.0</v>
      </c>
      <c r="G207" s="52"/>
      <c r="H207" s="59"/>
      <c r="I207" s="60" t="s">
        <v>109</v>
      </c>
      <c r="J207" s="53">
        <v>-40.0</v>
      </c>
      <c r="K207" s="5"/>
      <c r="L207" s="60" t="s">
        <v>109</v>
      </c>
      <c r="M207" s="53">
        <v>-40.0</v>
      </c>
      <c r="N207" s="60" t="s">
        <v>109</v>
      </c>
      <c r="O207" s="53">
        <v>-40.0</v>
      </c>
      <c r="P207" s="60" t="s">
        <v>109</v>
      </c>
      <c r="Q207" s="53">
        <v>-40.0</v>
      </c>
      <c r="R207" s="52"/>
      <c r="S207" s="59"/>
      <c r="T207" s="60" t="s">
        <v>109</v>
      </c>
      <c r="U207" s="53">
        <v>-40.0</v>
      </c>
    </row>
    <row r="208" ht="15.75" customHeight="1">
      <c r="A208" s="52" t="s">
        <v>110</v>
      </c>
      <c r="B208" s="59">
        <f>B207+273.15</f>
        <v>233.15</v>
      </c>
      <c r="C208" s="52" t="s">
        <v>110</v>
      </c>
      <c r="D208" s="59">
        <f>D207+273.15</f>
        <v>233.15</v>
      </c>
      <c r="E208" s="52" t="s">
        <v>110</v>
      </c>
      <c r="F208" s="59">
        <f>F207+273.15</f>
        <v>233.15</v>
      </c>
      <c r="G208" s="52"/>
      <c r="H208" s="59"/>
      <c r="I208" s="52" t="s">
        <v>110</v>
      </c>
      <c r="J208" s="59">
        <f>J207+273.15</f>
        <v>233.15</v>
      </c>
      <c r="K208" s="5"/>
      <c r="L208" s="52" t="s">
        <v>110</v>
      </c>
      <c r="M208" s="59">
        <f>M207+273.15</f>
        <v>233.15</v>
      </c>
      <c r="N208" s="52" t="s">
        <v>110</v>
      </c>
      <c r="O208" s="59">
        <f>O207+273.15</f>
        <v>233.15</v>
      </c>
      <c r="P208" s="52" t="s">
        <v>110</v>
      </c>
      <c r="Q208" s="59">
        <f>Q207+273.15</f>
        <v>233.15</v>
      </c>
      <c r="R208" s="52"/>
      <c r="S208" s="59"/>
      <c r="T208" s="52" t="s">
        <v>110</v>
      </c>
      <c r="U208" s="59">
        <f>U207+273.15</f>
        <v>233.15</v>
      </c>
    </row>
    <row r="209" ht="15.75" customHeight="1">
      <c r="A209" s="52" t="s">
        <v>111</v>
      </c>
      <c r="B209" s="59">
        <v>0.0</v>
      </c>
      <c r="C209" s="52" t="s">
        <v>111</v>
      </c>
      <c r="D209" s="59">
        <v>0.0</v>
      </c>
      <c r="E209" s="52" t="s">
        <v>111</v>
      </c>
      <c r="F209" s="59">
        <v>0.0</v>
      </c>
      <c r="G209" s="52"/>
      <c r="H209" s="59"/>
      <c r="I209" s="52" t="s">
        <v>111</v>
      </c>
      <c r="J209" s="59">
        <v>0.0</v>
      </c>
      <c r="K209" s="5"/>
      <c r="L209" s="52" t="s">
        <v>111</v>
      </c>
      <c r="M209" s="59">
        <v>0.0</v>
      </c>
      <c r="N209" s="52" t="s">
        <v>111</v>
      </c>
      <c r="O209" s="59">
        <v>0.0</v>
      </c>
      <c r="P209" s="52" t="s">
        <v>111</v>
      </c>
      <c r="Q209" s="59">
        <v>0.0</v>
      </c>
      <c r="R209" s="52"/>
      <c r="S209" s="59"/>
      <c r="T209" s="52" t="s">
        <v>111</v>
      </c>
      <c r="U209" s="59">
        <v>0.0</v>
      </c>
    </row>
    <row r="210" ht="15.75" customHeight="1">
      <c r="A210" s="52" t="s">
        <v>112</v>
      </c>
      <c r="B210" s="66">
        <f>B186+B197+B199+B205</f>
        <v>347.2458285</v>
      </c>
      <c r="C210" s="52" t="s">
        <v>112</v>
      </c>
      <c r="D210" s="66">
        <f>D186+D197+D199+D205</f>
        <v>938.2714341</v>
      </c>
      <c r="E210" s="52" t="s">
        <v>112</v>
      </c>
      <c r="F210" s="66">
        <f>F186+F197+F199+F205</f>
        <v>812.9496602</v>
      </c>
      <c r="G210" s="52"/>
      <c r="H210" s="66"/>
      <c r="I210" s="52" t="s">
        <v>112</v>
      </c>
      <c r="J210" s="66">
        <f>J186+J197+J199+J205</f>
        <v>476.4076873</v>
      </c>
      <c r="K210" s="5"/>
      <c r="L210" s="52" t="s">
        <v>112</v>
      </c>
      <c r="M210" s="66">
        <f>M186+M197+M199+M205</f>
        <v>347.2458285</v>
      </c>
      <c r="N210" s="52" t="s">
        <v>112</v>
      </c>
      <c r="O210" s="66">
        <f>O186+O197+O199+O205</f>
        <v>938.2714341</v>
      </c>
      <c r="P210" s="52" t="s">
        <v>112</v>
      </c>
      <c r="Q210" s="66">
        <f>Q186+Q197+Q199+Q205</f>
        <v>812.9496602</v>
      </c>
      <c r="R210" s="52"/>
      <c r="S210" s="66"/>
      <c r="T210" s="52" t="s">
        <v>112</v>
      </c>
      <c r="U210" s="66">
        <f>U186+U197+U199+U205</f>
        <v>476.4076873</v>
      </c>
    </row>
    <row r="211" ht="15.75" customHeight="1">
      <c r="A211" s="52" t="s">
        <v>113</v>
      </c>
      <c r="B211" s="66">
        <f>B198+B200+B206</f>
        <v>0</v>
      </c>
      <c r="C211" s="52" t="s">
        <v>113</v>
      </c>
      <c r="D211" s="66">
        <f>D198+D200+D206</f>
        <v>500</v>
      </c>
      <c r="E211" s="52" t="s">
        <v>113</v>
      </c>
      <c r="F211" s="66">
        <f>F198+F200+F206</f>
        <v>378.62</v>
      </c>
      <c r="G211" s="52"/>
      <c r="H211" s="66"/>
      <c r="I211" s="52" t="s">
        <v>113</v>
      </c>
      <c r="J211" s="66">
        <f>J198+J200+J206</f>
        <v>28.8</v>
      </c>
      <c r="K211" s="5"/>
      <c r="L211" s="52" t="s">
        <v>113</v>
      </c>
      <c r="M211" s="66">
        <f>M198+M200+M206</f>
        <v>0</v>
      </c>
      <c r="N211" s="52" t="s">
        <v>113</v>
      </c>
      <c r="O211" s="66">
        <f>O198+O200+O206</f>
        <v>500</v>
      </c>
      <c r="P211" s="52" t="s">
        <v>113</v>
      </c>
      <c r="Q211" s="66">
        <f>Q198+Q200+Q206</f>
        <v>378.62</v>
      </c>
      <c r="R211" s="52"/>
      <c r="S211" s="66"/>
      <c r="T211" s="52" t="s">
        <v>113</v>
      </c>
      <c r="U211" s="66">
        <f>U198+U200+U206</f>
        <v>28.8</v>
      </c>
    </row>
    <row r="212" ht="15.75" customHeight="1">
      <c r="A212" s="52" t="s">
        <v>114</v>
      </c>
      <c r="B212" s="59">
        <f>$F$1*B183*(B179+B171)*(B208-B209)^4</f>
        <v>702.6772233</v>
      </c>
      <c r="C212" s="52" t="s">
        <v>114</v>
      </c>
      <c r="D212" s="59">
        <f>$F$1*D183*(D179+D171)*(D208-D209)^4</f>
        <v>809.2630942</v>
      </c>
      <c r="E212" s="52" t="s">
        <v>114</v>
      </c>
      <c r="F212" s="59">
        <f>$F$1*F183*(F179+F171)*(F208-F209)^4</f>
        <v>795.8411697</v>
      </c>
      <c r="G212" s="52"/>
      <c r="H212" s="59"/>
      <c r="I212" s="52" t="s">
        <v>114</v>
      </c>
      <c r="J212" s="59">
        <f>$F$1*J183*(J179+J171)*(J208-J209)^4</f>
        <v>667.4302906</v>
      </c>
      <c r="K212" s="5"/>
      <c r="L212" s="52" t="s">
        <v>114</v>
      </c>
      <c r="M212" s="59">
        <f>$F$1*M183*(M179+M171)*(M208-M209)^4</f>
        <v>702.6772233</v>
      </c>
      <c r="N212" s="52" t="s">
        <v>114</v>
      </c>
      <c r="O212" s="59">
        <f>$F$1*O183*(O179+O171)*(O208-O209)^4</f>
        <v>809.2630942</v>
      </c>
      <c r="P212" s="52" t="s">
        <v>114</v>
      </c>
      <c r="Q212" s="59">
        <f>$F$1*Q183*(Q179+Q171)*(Q208-Q209)^4</f>
        <v>795.8411697</v>
      </c>
      <c r="R212" s="52"/>
      <c r="S212" s="59"/>
      <c r="T212" s="52" t="s">
        <v>114</v>
      </c>
      <c r="U212" s="59">
        <f>$F$1*U183*(U179+U171)*(U208-U209)^4</f>
        <v>667.4302906</v>
      </c>
    </row>
    <row r="213" ht="15.75" customHeight="1">
      <c r="A213" s="52" t="s">
        <v>115</v>
      </c>
      <c r="B213" s="66">
        <f>B212-B211</f>
        <v>702.6772233</v>
      </c>
      <c r="C213" s="52" t="s">
        <v>115</v>
      </c>
      <c r="D213" s="66">
        <f>D212-D211</f>
        <v>309.2630942</v>
      </c>
      <c r="E213" s="52" t="s">
        <v>115</v>
      </c>
      <c r="F213" s="66">
        <f>F212-F211</f>
        <v>417.2211697</v>
      </c>
      <c r="G213" s="52"/>
      <c r="H213" s="66"/>
      <c r="I213" s="52" t="s">
        <v>115</v>
      </c>
      <c r="J213" s="66">
        <f>J212-J211</f>
        <v>638.6302906</v>
      </c>
      <c r="K213" s="5"/>
      <c r="L213" s="52" t="s">
        <v>115</v>
      </c>
      <c r="M213" s="66">
        <f>M212-M211</f>
        <v>702.6772233</v>
      </c>
      <c r="N213" s="52" t="s">
        <v>115</v>
      </c>
      <c r="O213" s="66">
        <f>O212-O211</f>
        <v>309.2630942</v>
      </c>
      <c r="P213" s="52" t="s">
        <v>115</v>
      </c>
      <c r="Q213" s="66">
        <f>Q212-Q211</f>
        <v>417.2211697</v>
      </c>
      <c r="R213" s="52"/>
      <c r="S213" s="66"/>
      <c r="T213" s="52" t="s">
        <v>115</v>
      </c>
      <c r="U213" s="66">
        <f>U212-U211</f>
        <v>638.6302906</v>
      </c>
    </row>
    <row r="214" ht="15.75" customHeight="1">
      <c r="A214" s="52" t="s">
        <v>116</v>
      </c>
      <c r="B214" s="66">
        <f>B212-B210</f>
        <v>355.4313947</v>
      </c>
      <c r="C214" s="52" t="s">
        <v>116</v>
      </c>
      <c r="D214" s="66">
        <f>D212-D210</f>
        <v>-129.0083399</v>
      </c>
      <c r="E214" s="52" t="s">
        <v>116</v>
      </c>
      <c r="F214" s="66">
        <f>F212-F210</f>
        <v>-17.1084905</v>
      </c>
      <c r="G214" s="52"/>
      <c r="H214" s="66"/>
      <c r="I214" s="52" t="s">
        <v>116</v>
      </c>
      <c r="J214" s="66">
        <f>J212-J210</f>
        <v>191.0226033</v>
      </c>
      <c r="K214" s="5"/>
      <c r="L214" s="52" t="s">
        <v>116</v>
      </c>
      <c r="M214" s="66">
        <f>M212-M210</f>
        <v>355.4313947</v>
      </c>
      <c r="N214" s="52" t="s">
        <v>116</v>
      </c>
      <c r="O214" s="66">
        <f>O212-O210</f>
        <v>-129.0083399</v>
      </c>
      <c r="P214" s="52" t="s">
        <v>116</v>
      </c>
      <c r="Q214" s="66">
        <f>Q212-Q210</f>
        <v>-17.1084905</v>
      </c>
      <c r="R214" s="52"/>
      <c r="S214" s="66"/>
      <c r="T214" s="52" t="s">
        <v>116</v>
      </c>
      <c r="U214" s="66">
        <f>U212-U210</f>
        <v>191.0226033</v>
      </c>
    </row>
    <row r="215" ht="15.75" customHeight="1">
      <c r="A215" s="52" t="s">
        <v>117</v>
      </c>
      <c r="B215" s="59">
        <f>(((B210)/($F$1*B183*(B171+B179)))^0.25 + B209) - 273.15</f>
        <v>-77.66847879</v>
      </c>
      <c r="C215" s="52" t="s">
        <v>117</v>
      </c>
      <c r="D215" s="59">
        <f>(((D210)/($F$1*D183*(D171+D179)))^0.25 + D209) - 273.15</f>
        <v>-31.21700067</v>
      </c>
      <c r="E215" s="52" t="s">
        <v>117</v>
      </c>
      <c r="F215" s="59">
        <f>(((F210)/($F$1*F183*(F171+F179)))^0.25 + F209) - 273.15</f>
        <v>-38.75694863</v>
      </c>
      <c r="G215" s="52"/>
      <c r="H215" s="59"/>
      <c r="I215" s="52" t="s">
        <v>117</v>
      </c>
      <c r="J215" s="59">
        <f>(((J210)/($F$1*J183*(J171+J179)))^0.25 + J209) - 273.15</f>
        <v>-58.84681197</v>
      </c>
      <c r="K215" s="5"/>
      <c r="L215" s="52" t="s">
        <v>117</v>
      </c>
      <c r="M215" s="59">
        <f>(((M210)/($F$1*M183*(M171+M179)))^0.25 + M209) - 273.15</f>
        <v>-77.66847879</v>
      </c>
      <c r="N215" s="52" t="s">
        <v>117</v>
      </c>
      <c r="O215" s="59">
        <f>(((O210)/($F$1*O183*(O171+O179)))^0.25 + O209) - 273.15</f>
        <v>-31.21700067</v>
      </c>
      <c r="P215" s="52" t="s">
        <v>117</v>
      </c>
      <c r="Q215" s="59">
        <f>(((Q210)/($F$1*Q183*(Q171+Q179)))^0.25 + Q209) - 273.15</f>
        <v>-38.75694863</v>
      </c>
      <c r="R215" s="52"/>
      <c r="S215" s="59"/>
      <c r="T215" s="52" t="s">
        <v>117</v>
      </c>
      <c r="U215" s="59">
        <f>(((U210)/($F$1*U183*(U171+U179)))^0.25 + U209) - 273.15</f>
        <v>-58.84681197</v>
      </c>
    </row>
    <row r="216" ht="15.75" customHeight="1">
      <c r="A216" s="68" t="s">
        <v>118</v>
      </c>
      <c r="B216" s="69">
        <f>(((B211)/($F$1*B183*(B171+B179)))^0.25 + B209) - 273.15</f>
        <v>-273.15</v>
      </c>
      <c r="C216" s="68" t="s">
        <v>118</v>
      </c>
      <c r="D216" s="69">
        <f>(((D211)/($F$1*D183*(D171+D179)))^0.25 + D209) - 273.15</f>
        <v>-66.44285574</v>
      </c>
      <c r="E216" s="68" t="s">
        <v>118</v>
      </c>
      <c r="F216" s="69">
        <f>(((F211)/($F$1*F183*(F171+F179)))^0.25 + F209) - 273.15</f>
        <v>-79.51685154</v>
      </c>
      <c r="G216" s="52"/>
      <c r="H216" s="59"/>
      <c r="I216" s="68" t="s">
        <v>118</v>
      </c>
      <c r="J216" s="69">
        <f>(((J211)/($F$1*J183*(J171+J179)))^0.25 + J209) - 273.15</f>
        <v>-166.8870022</v>
      </c>
      <c r="K216" s="5"/>
      <c r="L216" s="68" t="s">
        <v>118</v>
      </c>
      <c r="M216" s="69">
        <f>(((M211)/($F$1*M183*(M171+M179)))^0.25 + M209) - 273.15</f>
        <v>-273.15</v>
      </c>
      <c r="N216" s="68" t="s">
        <v>118</v>
      </c>
      <c r="O216" s="69">
        <f>(((O211)/($F$1*O183*(O171+O179)))^0.25 + O209) - 273.15</f>
        <v>-66.44285574</v>
      </c>
      <c r="P216" s="68" t="s">
        <v>118</v>
      </c>
      <c r="Q216" s="69">
        <f>(((Q211)/($F$1*Q183*(Q171+Q179)))^0.25 + Q209) - 273.15</f>
        <v>-79.51685154</v>
      </c>
      <c r="R216" s="52"/>
      <c r="S216" s="59"/>
      <c r="T216" s="68" t="s">
        <v>118</v>
      </c>
      <c r="U216" s="69">
        <f>(((U211)/($F$1*U183*(U171+U179)))^0.25 + U209) - 273.15</f>
        <v>-166.8870022</v>
      </c>
    </row>
    <row r="217" ht="15.75" customHeight="1">
      <c r="K217" s="5"/>
    </row>
    <row r="218" ht="15.75" customHeight="1">
      <c r="K218" s="5"/>
    </row>
    <row r="219" ht="15.75" customHeight="1">
      <c r="K219" s="5"/>
    </row>
    <row r="220" ht="15.75" customHeight="1">
      <c r="A220" s="48" t="s">
        <v>139</v>
      </c>
      <c r="B220" s="49"/>
      <c r="C220" s="48" t="s">
        <v>140</v>
      </c>
      <c r="D220" s="49"/>
      <c r="E220" s="48" t="s">
        <v>141</v>
      </c>
      <c r="F220" s="49"/>
      <c r="G220" s="50" t="s">
        <v>142</v>
      </c>
      <c r="H220" s="51"/>
      <c r="I220" s="48" t="s">
        <v>143</v>
      </c>
      <c r="J220" s="78"/>
      <c r="K220" s="5"/>
      <c r="L220" s="48" t="s">
        <v>139</v>
      </c>
      <c r="M220" s="49"/>
      <c r="N220" s="48" t="s">
        <v>140</v>
      </c>
      <c r="O220" s="49"/>
      <c r="P220" s="48" t="s">
        <v>141</v>
      </c>
      <c r="Q220" s="49"/>
      <c r="R220" s="50" t="s">
        <v>142</v>
      </c>
      <c r="S220" s="51"/>
      <c r="T220" s="48" t="s">
        <v>144</v>
      </c>
      <c r="U220" s="49"/>
    </row>
    <row r="221" ht="15.0" customHeight="1">
      <c r="A221" s="52" t="s">
        <v>72</v>
      </c>
      <c r="B221" s="62">
        <f t="shared" ref="B221:B222" si="39">B168</f>
        <v>0.61</v>
      </c>
      <c r="C221" s="52" t="s">
        <v>72</v>
      </c>
      <c r="D221" s="62">
        <f t="shared" ref="D221:D222" si="40">D11</f>
        <v>0.61</v>
      </c>
      <c r="E221" s="52" t="s">
        <v>72</v>
      </c>
      <c r="F221" s="62">
        <f t="shared" ref="F221:F222" si="41">F11</f>
        <v>0.09</v>
      </c>
      <c r="G221" s="71" t="s">
        <v>73</v>
      </c>
      <c r="H221" s="56"/>
      <c r="I221" s="52" t="s">
        <v>72</v>
      </c>
      <c r="J221" s="63">
        <f t="shared" ref="J221:J222" si="42">J11</f>
        <v>0.61</v>
      </c>
      <c r="K221" s="5"/>
      <c r="L221" s="52" t="s">
        <v>72</v>
      </c>
      <c r="M221" s="62">
        <f t="shared" ref="M221:M222" si="43">M168</f>
        <v>0.61</v>
      </c>
      <c r="N221" s="52" t="s">
        <v>72</v>
      </c>
      <c r="O221" s="62">
        <f t="shared" ref="O221:O222" si="44">O11</f>
        <v>0.61</v>
      </c>
      <c r="P221" s="52" t="s">
        <v>72</v>
      </c>
      <c r="Q221" s="62">
        <f t="shared" ref="Q221:Q222" si="45">Q11</f>
        <v>0.09</v>
      </c>
      <c r="R221" s="71" t="s">
        <v>73</v>
      </c>
      <c r="S221" s="56"/>
      <c r="T221" s="52" t="s">
        <v>72</v>
      </c>
      <c r="U221" s="62">
        <f t="shared" ref="U221:U222" si="46">U11</f>
        <v>0.61</v>
      </c>
    </row>
    <row r="222" ht="15.75" customHeight="1">
      <c r="A222" s="52" t="s">
        <v>74</v>
      </c>
      <c r="B222" s="62">
        <f t="shared" si="39"/>
        <v>0.25</v>
      </c>
      <c r="C222" s="52" t="s">
        <v>74</v>
      </c>
      <c r="D222" s="62">
        <f t="shared" si="40"/>
        <v>0.25</v>
      </c>
      <c r="E222" s="52" t="s">
        <v>74</v>
      </c>
      <c r="F222" s="62">
        <f t="shared" si="41"/>
        <v>0.45</v>
      </c>
      <c r="G222" s="57"/>
      <c r="H222" s="58"/>
      <c r="I222" s="52" t="s">
        <v>74</v>
      </c>
      <c r="J222" s="63">
        <f t="shared" si="42"/>
        <v>0.25</v>
      </c>
      <c r="K222" s="5"/>
      <c r="L222" s="52" t="s">
        <v>74</v>
      </c>
      <c r="M222" s="62">
        <f t="shared" si="43"/>
        <v>0.25</v>
      </c>
      <c r="N222" s="52" t="s">
        <v>74</v>
      </c>
      <c r="O222" s="62">
        <f t="shared" si="44"/>
        <v>0.25</v>
      </c>
      <c r="P222" s="52" t="s">
        <v>74</v>
      </c>
      <c r="Q222" s="62">
        <f t="shared" si="45"/>
        <v>0.45</v>
      </c>
      <c r="R222" s="57"/>
      <c r="S222" s="58"/>
      <c r="T222" s="52" t="s">
        <v>74</v>
      </c>
      <c r="U222" s="62">
        <f t="shared" si="46"/>
        <v>0.25</v>
      </c>
    </row>
    <row r="223" ht="15.75" customHeight="1">
      <c r="A223" s="52" t="s">
        <v>75</v>
      </c>
      <c r="B223" s="59">
        <f> 2*1.5 * 1.03</f>
        <v>3.09</v>
      </c>
      <c r="C223" s="52" t="s">
        <v>75</v>
      </c>
      <c r="D223" s="59">
        <f> 2*1.5 * 1.3</f>
        <v>3.9</v>
      </c>
      <c r="E223" s="52" t="s">
        <v>75</v>
      </c>
      <c r="F223" s="59">
        <v>3.3600000000000003</v>
      </c>
      <c r="G223" s="52"/>
      <c r="H223" s="59"/>
      <c r="I223" s="1" t="s">
        <v>75</v>
      </c>
      <c r="J223" s="59">
        <v>3.7268</v>
      </c>
      <c r="K223" s="5"/>
      <c r="L223" s="52" t="s">
        <v>75</v>
      </c>
      <c r="M223" s="59">
        <f> 2*1.5 * 1.03</f>
        <v>3.09</v>
      </c>
      <c r="N223" s="52" t="s">
        <v>75</v>
      </c>
      <c r="O223" s="59">
        <f> 2*1.5 * 1.3</f>
        <v>3.9</v>
      </c>
      <c r="P223" s="52" t="s">
        <v>75</v>
      </c>
      <c r="Q223" s="59">
        <v>3.3600000000000003</v>
      </c>
      <c r="R223" s="52"/>
      <c r="S223" s="59"/>
      <c r="T223" s="52" t="s">
        <v>75</v>
      </c>
      <c r="U223" s="59">
        <v>3.7268</v>
      </c>
    </row>
    <row r="224" ht="15.75" customHeight="1">
      <c r="A224" s="52" t="s">
        <v>76</v>
      </c>
      <c r="B224" s="59">
        <f> 2*PI()*1.5*1.03 + PI()*1.5^2</f>
        <v>16.77610477</v>
      </c>
      <c r="C224" s="52" t="s">
        <v>76</v>
      </c>
      <c r="D224" s="59">
        <f> 2*PI()*1.5*1.3 + PI()*1.5^2</f>
        <v>19.32079482</v>
      </c>
      <c r="E224" s="52" t="s">
        <v>76</v>
      </c>
      <c r="F224" s="59">
        <v>10.555751316061706</v>
      </c>
      <c r="G224" s="52"/>
      <c r="H224" s="59"/>
      <c r="I224" s="1" t="s">
        <v>76</v>
      </c>
      <c r="J224" s="59">
        <v>15.9346</v>
      </c>
      <c r="K224" s="5"/>
      <c r="L224" s="52" t="s">
        <v>76</v>
      </c>
      <c r="M224" s="59">
        <f> 2*PI()*1.5*1.03 + PI()*1.5^2</f>
        <v>16.77610477</v>
      </c>
      <c r="N224" s="52" t="s">
        <v>76</v>
      </c>
      <c r="O224" s="59">
        <f> 2*PI()*1.5*1.3</f>
        <v>12.25221135</v>
      </c>
      <c r="P224" s="52" t="s">
        <v>76</v>
      </c>
      <c r="Q224" s="59">
        <v>10.555751316061706</v>
      </c>
      <c r="R224" s="52"/>
      <c r="S224" s="59"/>
      <c r="T224" s="52" t="s">
        <v>76</v>
      </c>
      <c r="U224" s="59">
        <v>15.9346</v>
      </c>
    </row>
    <row r="225" ht="15.75" customHeight="1">
      <c r="A225" s="52" t="s">
        <v>77</v>
      </c>
      <c r="B225" s="62">
        <f t="shared" ref="B225:B230" si="47">B15</f>
        <v>0.85</v>
      </c>
      <c r="C225" s="52" t="s">
        <v>77</v>
      </c>
      <c r="D225" s="62">
        <f t="shared" ref="D225:D230" si="48">D15</f>
        <v>0.85</v>
      </c>
      <c r="E225" s="52" t="s">
        <v>77</v>
      </c>
      <c r="F225" s="63">
        <f t="shared" ref="F225:F230" si="49">F15</f>
        <v>0.85</v>
      </c>
      <c r="G225" s="52"/>
      <c r="H225" s="59"/>
      <c r="I225" s="1" t="s">
        <v>77</v>
      </c>
      <c r="J225" s="63">
        <f t="shared" ref="J225:J230" si="50">J15</f>
        <v>0.85</v>
      </c>
      <c r="K225" s="5"/>
      <c r="L225" s="52" t="s">
        <v>77</v>
      </c>
      <c r="M225" s="62">
        <f t="shared" ref="M225:M230" si="51">M15</f>
        <v>0.85</v>
      </c>
      <c r="N225" s="52" t="s">
        <v>77</v>
      </c>
      <c r="O225" s="62">
        <f t="shared" ref="O225:O230" si="52">O15</f>
        <v>0.85</v>
      </c>
      <c r="P225" s="52" t="s">
        <v>77</v>
      </c>
      <c r="Q225" s="63">
        <f t="shared" ref="Q225:Q230" si="53">Q15</f>
        <v>0.85</v>
      </c>
      <c r="R225" s="52"/>
      <c r="S225" s="59"/>
      <c r="T225" s="52" t="s">
        <v>77</v>
      </c>
      <c r="U225" s="62">
        <f t="shared" ref="U225:U230" si="54">U15</f>
        <v>0.85</v>
      </c>
    </row>
    <row r="226" ht="15.75" customHeight="1">
      <c r="A226" s="52" t="s">
        <v>78</v>
      </c>
      <c r="B226" s="62">
        <f t="shared" si="47"/>
        <v>0.9</v>
      </c>
      <c r="C226" s="52" t="s">
        <v>78</v>
      </c>
      <c r="D226" s="62">
        <f t="shared" si="48"/>
        <v>0.9</v>
      </c>
      <c r="E226" s="52" t="s">
        <v>78</v>
      </c>
      <c r="F226" s="63">
        <f t="shared" si="49"/>
        <v>0.9</v>
      </c>
      <c r="G226" s="52"/>
      <c r="H226" s="59"/>
      <c r="I226" s="1" t="s">
        <v>78</v>
      </c>
      <c r="J226" s="63">
        <f t="shared" si="50"/>
        <v>0.9</v>
      </c>
      <c r="K226" s="5"/>
      <c r="L226" s="52" t="s">
        <v>78</v>
      </c>
      <c r="M226" s="62">
        <f t="shared" si="51"/>
        <v>0.9</v>
      </c>
      <c r="N226" s="52" t="s">
        <v>78</v>
      </c>
      <c r="O226" s="62">
        <f t="shared" si="52"/>
        <v>0.9</v>
      </c>
      <c r="P226" s="52" t="s">
        <v>78</v>
      </c>
      <c r="Q226" s="63">
        <f t="shared" si="53"/>
        <v>0.9</v>
      </c>
      <c r="R226" s="52"/>
      <c r="S226" s="59"/>
      <c r="T226" s="52" t="s">
        <v>78</v>
      </c>
      <c r="U226" s="62">
        <f t="shared" si="54"/>
        <v>0.9</v>
      </c>
    </row>
    <row r="227" ht="15.75" customHeight="1">
      <c r="A227" s="52" t="s">
        <v>79</v>
      </c>
      <c r="B227" s="62">
        <f t="shared" si="47"/>
        <v>2</v>
      </c>
      <c r="C227" s="52" t="s">
        <v>79</v>
      </c>
      <c r="D227" s="62">
        <f t="shared" si="48"/>
        <v>2</v>
      </c>
      <c r="E227" s="52" t="s">
        <v>79</v>
      </c>
      <c r="F227" s="63">
        <f t="shared" si="49"/>
        <v>2</v>
      </c>
      <c r="G227" s="52"/>
      <c r="H227" s="59"/>
      <c r="I227" s="1" t="s">
        <v>79</v>
      </c>
      <c r="J227" s="63">
        <f t="shared" si="50"/>
        <v>2</v>
      </c>
      <c r="K227" s="5"/>
      <c r="L227" s="52" t="s">
        <v>79</v>
      </c>
      <c r="M227" s="62">
        <f t="shared" si="51"/>
        <v>2</v>
      </c>
      <c r="N227" s="52" t="s">
        <v>79</v>
      </c>
      <c r="O227" s="62">
        <f t="shared" si="52"/>
        <v>2</v>
      </c>
      <c r="P227" s="52" t="s">
        <v>79</v>
      </c>
      <c r="Q227" s="63">
        <f t="shared" si="53"/>
        <v>2</v>
      </c>
      <c r="R227" s="52"/>
      <c r="S227" s="59"/>
      <c r="T227" s="52" t="s">
        <v>79</v>
      </c>
      <c r="U227" s="62">
        <f t="shared" si="54"/>
        <v>2</v>
      </c>
    </row>
    <row r="228" ht="15.75" customHeight="1">
      <c r="A228" s="52" t="s">
        <v>80</v>
      </c>
      <c r="B228" s="62">
        <f t="shared" si="47"/>
        <v>2</v>
      </c>
      <c r="C228" s="52" t="s">
        <v>80</v>
      </c>
      <c r="D228" s="62">
        <f t="shared" si="48"/>
        <v>2</v>
      </c>
      <c r="E228" s="52" t="s">
        <v>80</v>
      </c>
      <c r="F228" s="63">
        <f t="shared" si="49"/>
        <v>2</v>
      </c>
      <c r="G228" s="52"/>
      <c r="H228" s="59"/>
      <c r="I228" s="1" t="s">
        <v>80</v>
      </c>
      <c r="J228" s="63">
        <f t="shared" si="50"/>
        <v>2</v>
      </c>
      <c r="K228" s="5"/>
      <c r="L228" s="52" t="s">
        <v>80</v>
      </c>
      <c r="M228" s="62">
        <f t="shared" si="51"/>
        <v>2</v>
      </c>
      <c r="N228" s="52" t="s">
        <v>80</v>
      </c>
      <c r="O228" s="62">
        <f t="shared" si="52"/>
        <v>2</v>
      </c>
      <c r="P228" s="52" t="s">
        <v>80</v>
      </c>
      <c r="Q228" s="63">
        <f t="shared" si="53"/>
        <v>2</v>
      </c>
      <c r="R228" s="52"/>
      <c r="S228" s="59"/>
      <c r="T228" s="52" t="s">
        <v>80</v>
      </c>
      <c r="U228" s="62">
        <f t="shared" si="54"/>
        <v>2</v>
      </c>
    </row>
    <row r="229" ht="15.75" customHeight="1">
      <c r="A229" s="52" t="s">
        <v>81</v>
      </c>
      <c r="B229" s="62">
        <f t="shared" si="47"/>
        <v>0.0254</v>
      </c>
      <c r="C229" s="52" t="s">
        <v>81</v>
      </c>
      <c r="D229" s="62">
        <f t="shared" si="48"/>
        <v>0.0254</v>
      </c>
      <c r="E229" s="52" t="s">
        <v>81</v>
      </c>
      <c r="F229" s="63">
        <f t="shared" si="49"/>
        <v>0.0254</v>
      </c>
      <c r="G229" s="52"/>
      <c r="H229" s="59"/>
      <c r="I229" s="1" t="s">
        <v>81</v>
      </c>
      <c r="J229" s="63">
        <f t="shared" si="50"/>
        <v>0.0254</v>
      </c>
      <c r="K229" s="5"/>
      <c r="L229" s="52" t="s">
        <v>81</v>
      </c>
      <c r="M229" s="62">
        <f t="shared" si="51"/>
        <v>0.0254</v>
      </c>
      <c r="N229" s="52" t="s">
        <v>81</v>
      </c>
      <c r="O229" s="62">
        <f t="shared" si="52"/>
        <v>0.0254</v>
      </c>
      <c r="P229" s="52" t="s">
        <v>81</v>
      </c>
      <c r="Q229" s="63">
        <f t="shared" si="53"/>
        <v>0.0254</v>
      </c>
      <c r="R229" s="52"/>
      <c r="S229" s="59"/>
      <c r="T229" s="52" t="s">
        <v>81</v>
      </c>
      <c r="U229" s="62">
        <f t="shared" si="54"/>
        <v>0.0254</v>
      </c>
    </row>
    <row r="230" ht="15.75" customHeight="1">
      <c r="A230" s="52" t="s">
        <v>82</v>
      </c>
      <c r="B230" s="62">
        <f t="shared" si="47"/>
        <v>0</v>
      </c>
      <c r="C230" s="52" t="s">
        <v>82</v>
      </c>
      <c r="D230" s="62">
        <f t="shared" si="48"/>
        <v>0</v>
      </c>
      <c r="E230" s="52" t="s">
        <v>82</v>
      </c>
      <c r="F230" s="63">
        <f t="shared" si="49"/>
        <v>0</v>
      </c>
      <c r="G230" s="52"/>
      <c r="H230" s="59"/>
      <c r="I230" s="1" t="s">
        <v>82</v>
      </c>
      <c r="J230" s="63">
        <f t="shared" si="50"/>
        <v>0</v>
      </c>
      <c r="K230" s="5"/>
      <c r="L230" s="52" t="s">
        <v>82</v>
      </c>
      <c r="M230" s="62">
        <f t="shared" si="51"/>
        <v>0</v>
      </c>
      <c r="N230" s="52" t="s">
        <v>82</v>
      </c>
      <c r="O230" s="62">
        <f t="shared" si="52"/>
        <v>0</v>
      </c>
      <c r="P230" s="52" t="s">
        <v>82</v>
      </c>
      <c r="Q230" s="63">
        <f t="shared" si="53"/>
        <v>0</v>
      </c>
      <c r="R230" s="52"/>
      <c r="S230" s="59"/>
      <c r="T230" s="52" t="s">
        <v>82</v>
      </c>
      <c r="U230" s="62">
        <f t="shared" si="54"/>
        <v>0</v>
      </c>
    </row>
    <row r="231" ht="15.75" customHeight="1">
      <c r="A231" s="52" t="s">
        <v>83</v>
      </c>
      <c r="B231" s="59">
        <f>IF(B230 = 0, 0, B227*B228*2)</f>
        <v>0</v>
      </c>
      <c r="C231" s="52" t="s">
        <v>83</v>
      </c>
      <c r="D231" s="59">
        <f>IF(D230 = 0, 0, D227*D228*2)</f>
        <v>0</v>
      </c>
      <c r="E231" s="52" t="s">
        <v>83</v>
      </c>
      <c r="F231" s="1">
        <f>IF(F230 = 0, 0, F227*F228*2)</f>
        <v>0</v>
      </c>
      <c r="G231" s="52"/>
      <c r="H231" s="59"/>
      <c r="I231" s="1" t="s">
        <v>83</v>
      </c>
      <c r="J231" s="1">
        <f>IF(J230 = 0, 0, J227*J228*2)</f>
        <v>0</v>
      </c>
      <c r="K231" s="5"/>
      <c r="L231" s="52" t="s">
        <v>83</v>
      </c>
      <c r="M231" s="59">
        <f>IF(M230 = 0, 0, M227*M228*2)</f>
        <v>0</v>
      </c>
      <c r="N231" s="52" t="s">
        <v>83</v>
      </c>
      <c r="O231" s="59">
        <f>IF(O230 = 0, 0, O227*O228*2)</f>
        <v>0</v>
      </c>
      <c r="P231" s="52" t="s">
        <v>83</v>
      </c>
      <c r="Q231" s="1">
        <f>IF(Q230 = 0, 0, Q227*Q228*2)</f>
        <v>0</v>
      </c>
      <c r="R231" s="52"/>
      <c r="S231" s="59"/>
      <c r="T231" s="52" t="s">
        <v>83</v>
      </c>
      <c r="U231" s="59">
        <f>IF(U230 = 0, 0, U227*U228*2)</f>
        <v>0</v>
      </c>
    </row>
    <row r="232" ht="15.75" customHeight="1">
      <c r="A232" s="52" t="s">
        <v>84</v>
      </c>
      <c r="B232" s="59">
        <f>(B227*B228*2 + B227*B229 + 2*B228*B229)*B230</f>
        <v>0</v>
      </c>
      <c r="C232" s="52" t="s">
        <v>84</v>
      </c>
      <c r="D232" s="59">
        <f>(D227*D228*2 + D227*D229 + 2*D228*D229)*D230</f>
        <v>0</v>
      </c>
      <c r="E232" s="52" t="s">
        <v>84</v>
      </c>
      <c r="F232" s="1">
        <f>(F227*F228*2 + F227*F229 + 2*F228*F229)*F230</f>
        <v>0</v>
      </c>
      <c r="G232" s="52"/>
      <c r="H232" s="59"/>
      <c r="I232" s="1" t="s">
        <v>84</v>
      </c>
      <c r="J232" s="1">
        <f>(J227*J228*2 + J227*J229 + 2*J228*J229)*J230</f>
        <v>0</v>
      </c>
      <c r="K232" s="5"/>
      <c r="L232" s="52" t="s">
        <v>84</v>
      </c>
      <c r="M232" s="59">
        <f>(M227*M228*2 + M227*M229 + 2*M228*M229)*M230</f>
        <v>0</v>
      </c>
      <c r="N232" s="52" t="s">
        <v>84</v>
      </c>
      <c r="O232" s="59">
        <f>(O227*O228*2 + O227*O229 + 2*O228*O229)*O230</f>
        <v>0</v>
      </c>
      <c r="P232" s="52" t="s">
        <v>84</v>
      </c>
      <c r="Q232" s="1">
        <f>(Q227*Q228*2 + Q227*Q229 + 2*Q228*Q229)*Q230</f>
        <v>0</v>
      </c>
      <c r="R232" s="52"/>
      <c r="S232" s="59"/>
      <c r="T232" s="52" t="s">
        <v>84</v>
      </c>
      <c r="U232" s="59">
        <f>(U227*U228*2 + U227*U229 + 2*U228*U229)*U230</f>
        <v>0</v>
      </c>
    </row>
    <row r="233" ht="15.75" customHeight="1">
      <c r="A233" s="52" t="s">
        <v>85</v>
      </c>
      <c r="B233" s="59">
        <f>B221*(B223/(B223+B231)) + B225*(B231/(B223+B231))</f>
        <v>0.61</v>
      </c>
      <c r="C233" s="52" t="s">
        <v>85</v>
      </c>
      <c r="D233" s="59">
        <f>D221*(D223/(D223+D231)) + D225*(D231/(D223+D231))</f>
        <v>0.61</v>
      </c>
      <c r="E233" s="52" t="s">
        <v>85</v>
      </c>
      <c r="F233" s="1">
        <f>F221*(F223/(F223+F231)) + F225*(F231/(F223+F231))</f>
        <v>0.09</v>
      </c>
      <c r="G233" s="52"/>
      <c r="H233" s="59"/>
      <c r="I233" s="1" t="s">
        <v>85</v>
      </c>
      <c r="J233" s="1">
        <f>J221*(J223/(J223+J231)) + J225*(J231/(J223+J231))</f>
        <v>0.61</v>
      </c>
      <c r="K233" s="5"/>
      <c r="L233" s="52" t="s">
        <v>85</v>
      </c>
      <c r="M233" s="59">
        <f>M221*(M223/(M223+M231)) + M225*(M231/(M223+M231))</f>
        <v>0.61</v>
      </c>
      <c r="N233" s="52" t="s">
        <v>85</v>
      </c>
      <c r="O233" s="59">
        <f>O221*(O223/(O223+O231)) + O225*(O231/(O223+O231))</f>
        <v>0.61</v>
      </c>
      <c r="P233" s="52" t="s">
        <v>85</v>
      </c>
      <c r="Q233" s="1">
        <f>Q221*(Q223/(Q223+Q231)) + Q225*(Q231/(Q223+Q231))</f>
        <v>0.09</v>
      </c>
      <c r="R233" s="52"/>
      <c r="S233" s="59"/>
      <c r="T233" s="52" t="s">
        <v>85</v>
      </c>
      <c r="U233" s="59">
        <f>U221*(U223/(U223+U231)) + U225*(U231/(U223+U231))</f>
        <v>0.61</v>
      </c>
    </row>
    <row r="234" ht="15.75" customHeight="1">
      <c r="A234" s="52" t="s">
        <v>86</v>
      </c>
      <c r="B234" s="59">
        <f>B222*(B223/(B223+B231)) + B226*(B231/(B223+B231))</f>
        <v>0.25</v>
      </c>
      <c r="C234" s="52" t="s">
        <v>86</v>
      </c>
      <c r="D234" s="59">
        <f>D222*(D223/(D223+D231)) + D226*(D231/(D223+D231))</f>
        <v>0.25</v>
      </c>
      <c r="E234" s="52" t="s">
        <v>86</v>
      </c>
      <c r="F234" s="1">
        <f>F222*(F223/(F223+F231)) + F226*(F231/(F223+F231))</f>
        <v>0.45</v>
      </c>
      <c r="G234" s="52"/>
      <c r="H234" s="59"/>
      <c r="I234" s="1" t="s">
        <v>86</v>
      </c>
      <c r="J234" s="1">
        <f>J222*(J223/(J223+J231)) + J226*(J231/(J223+J231))</f>
        <v>0.25</v>
      </c>
      <c r="K234" s="5"/>
      <c r="L234" s="52" t="s">
        <v>86</v>
      </c>
      <c r="M234" s="59">
        <f>M222*(M223/(M223+M231)) + M226*(M231/(M223+M231))</f>
        <v>0.25</v>
      </c>
      <c r="N234" s="52" t="s">
        <v>86</v>
      </c>
      <c r="O234" s="59">
        <f>O222*(O223/(O223+O231)) + O226*(O231/(O223+O231))</f>
        <v>0.25</v>
      </c>
      <c r="P234" s="52" t="s">
        <v>86</v>
      </c>
      <c r="Q234" s="1">
        <f>Q222*(Q223/(Q223+Q231)) + Q226*(Q231/(Q223+Q231))</f>
        <v>0.45</v>
      </c>
      <c r="R234" s="52"/>
      <c r="S234" s="59"/>
      <c r="T234" s="52" t="s">
        <v>86</v>
      </c>
      <c r="U234" s="59">
        <f>U222*(U223/(U223+U231)) + U226*(U231/(U223+U231))</f>
        <v>0.25</v>
      </c>
    </row>
    <row r="235" ht="15.75" customHeight="1">
      <c r="A235" s="52" t="s">
        <v>87</v>
      </c>
      <c r="B235" s="59">
        <f>B221*(B224/(B224+B232)) + B225*(B232/(B224+B232))</f>
        <v>0.61</v>
      </c>
      <c r="C235" s="52" t="s">
        <v>87</v>
      </c>
      <c r="D235" s="59">
        <f>D221*(D224/(D224+D232)) + D225*(D232/(D224+D232))</f>
        <v>0.61</v>
      </c>
      <c r="E235" s="52" t="s">
        <v>87</v>
      </c>
      <c r="F235" s="1">
        <f>F221*(F224/(F224+F232)) + F225*(F232/(F224+F232))</f>
        <v>0.09</v>
      </c>
      <c r="G235" s="52"/>
      <c r="H235" s="59"/>
      <c r="I235" s="1" t="s">
        <v>87</v>
      </c>
      <c r="J235" s="1">
        <f>J221*(J224/(J224+J232)) + J225*(J232/(J224+J232))</f>
        <v>0.61</v>
      </c>
      <c r="K235" s="5"/>
      <c r="L235" s="52" t="s">
        <v>87</v>
      </c>
      <c r="M235" s="59">
        <f>M221*(M224/(M224+M232)) + M225*(M232/(M224+M232))</f>
        <v>0.61</v>
      </c>
      <c r="N235" s="52" t="s">
        <v>87</v>
      </c>
      <c r="O235" s="59">
        <f>O221*(O224/(O224+O232)) + O225*(O232/(O224+O232))</f>
        <v>0.61</v>
      </c>
      <c r="P235" s="52" t="s">
        <v>87</v>
      </c>
      <c r="Q235" s="1">
        <f>Q221*(Q224/(Q224+Q232)) + Q225*(Q232/(Q224+Q232))</f>
        <v>0.09</v>
      </c>
      <c r="R235" s="52"/>
      <c r="S235" s="59"/>
      <c r="T235" s="52" t="s">
        <v>87</v>
      </c>
      <c r="U235" s="59">
        <f>U221*(U224/(U224+U232)) + U225*(U232/(U224+U232))</f>
        <v>0.61</v>
      </c>
    </row>
    <row r="236" ht="15.75" customHeight="1">
      <c r="A236" s="52" t="s">
        <v>88</v>
      </c>
      <c r="B236" s="59">
        <f>B222*(B224/(B224+B232)) + B226*(B232/(B224+B232))</f>
        <v>0.25</v>
      </c>
      <c r="C236" s="52" t="s">
        <v>88</v>
      </c>
      <c r="D236" s="59">
        <f>D222*(D224/(D224+D232)) + D226*(D232/(D224+D232))</f>
        <v>0.25</v>
      </c>
      <c r="E236" s="52" t="s">
        <v>88</v>
      </c>
      <c r="F236" s="1">
        <f>F222*(F224/(F224+F232)) + F226*(F232/(F224+F232))</f>
        <v>0.45</v>
      </c>
      <c r="G236" s="52"/>
      <c r="H236" s="59"/>
      <c r="I236" s="1" t="s">
        <v>88</v>
      </c>
      <c r="J236" s="1">
        <f>J222*(J224/(J224+J232)) + J226*(J232/(J224+J232))</f>
        <v>0.25</v>
      </c>
      <c r="K236" s="5"/>
      <c r="L236" s="52" t="s">
        <v>88</v>
      </c>
      <c r="M236" s="59">
        <f>M222*(M224/(M224+M232)) + M226*(M232/(M224+M232))</f>
        <v>0.25</v>
      </c>
      <c r="N236" s="52" t="s">
        <v>88</v>
      </c>
      <c r="O236" s="59">
        <f>O222*(O224/(O224+O232)) + O226*(O232/(O224+O232))</f>
        <v>0.25</v>
      </c>
      <c r="P236" s="52" t="s">
        <v>88</v>
      </c>
      <c r="Q236" s="1">
        <f>Q222*(Q224/(Q224+Q232)) + Q226*(Q232/(Q224+Q232))</f>
        <v>0.45</v>
      </c>
      <c r="R236" s="52"/>
      <c r="S236" s="59"/>
      <c r="T236" s="52" t="s">
        <v>88</v>
      </c>
      <c r="U236" s="59">
        <f>U222*(U224/(U224+U232)) + U226*(U232/(U224+U232))</f>
        <v>0.25</v>
      </c>
    </row>
    <row r="237" ht="15.75" customHeight="1">
      <c r="A237" s="60" t="s">
        <v>89</v>
      </c>
      <c r="B237" s="74">
        <f>1371/((1+9.912)/2 * 1.5)^2</f>
        <v>20.46945187</v>
      </c>
      <c r="C237" s="60" t="s">
        <v>89</v>
      </c>
      <c r="D237" s="74">
        <f>1371/((1+9.912)/2 * 1.5)^2</f>
        <v>20.46945187</v>
      </c>
      <c r="E237" s="60" t="s">
        <v>89</v>
      </c>
      <c r="F237" s="75">
        <f>1371/((1+9.912)/2 * 1.5)^2</f>
        <v>20.46945187</v>
      </c>
      <c r="G237" s="52"/>
      <c r="H237" s="74"/>
      <c r="I237" s="61" t="s">
        <v>89</v>
      </c>
      <c r="J237" s="75">
        <f>1371/((1+9.912)/2 * 1.5)^2</f>
        <v>20.46945187</v>
      </c>
      <c r="K237" s="5"/>
      <c r="L237" s="60" t="s">
        <v>89</v>
      </c>
      <c r="M237" s="74">
        <f>1371/((1+9.912)/2 * 1.5)^2</f>
        <v>20.46945187</v>
      </c>
      <c r="N237" s="60" t="s">
        <v>89</v>
      </c>
      <c r="O237" s="74">
        <f>1371/((1+9.912)/2 * 1.5)^2</f>
        <v>20.46945187</v>
      </c>
      <c r="P237" s="60" t="s">
        <v>89</v>
      </c>
      <c r="Q237" s="75">
        <f>1371/((1+9.912)/2 * 1.5)^2</f>
        <v>20.46945187</v>
      </c>
      <c r="R237" s="52"/>
      <c r="S237" s="74"/>
      <c r="T237" s="60" t="s">
        <v>89</v>
      </c>
      <c r="U237" s="74">
        <f>1371/((1+9.912)/2 * 1.5)^2</f>
        <v>20.46945187</v>
      </c>
    </row>
    <row r="238" ht="15.75" customHeight="1">
      <c r="A238" s="52" t="s">
        <v>90</v>
      </c>
      <c r="B238" s="59">
        <f>B223+B231</f>
        <v>3.09</v>
      </c>
      <c r="C238" s="52" t="s">
        <v>90</v>
      </c>
      <c r="D238" s="59">
        <f>D223+D231</f>
        <v>3.9</v>
      </c>
      <c r="E238" s="52" t="s">
        <v>90</v>
      </c>
      <c r="F238" s="1">
        <f>F223+F231</f>
        <v>3.36</v>
      </c>
      <c r="G238" s="52"/>
      <c r="H238" s="59"/>
      <c r="I238" s="1" t="s">
        <v>90</v>
      </c>
      <c r="J238" s="1">
        <f>J223+J231</f>
        <v>3.7268</v>
      </c>
      <c r="K238" s="5"/>
      <c r="L238" s="52" t="s">
        <v>90</v>
      </c>
      <c r="M238" s="59">
        <f>M223+M231</f>
        <v>3.09</v>
      </c>
      <c r="N238" s="52" t="s">
        <v>90</v>
      </c>
      <c r="O238" s="59">
        <f>O223+O231</f>
        <v>3.9</v>
      </c>
      <c r="P238" s="52" t="s">
        <v>90</v>
      </c>
      <c r="Q238" s="1">
        <f>Q223+Q231</f>
        <v>3.36</v>
      </c>
      <c r="R238" s="52"/>
      <c r="S238" s="59"/>
      <c r="T238" s="52" t="s">
        <v>90</v>
      </c>
      <c r="U238" s="59">
        <f>U223+U231</f>
        <v>3.7268</v>
      </c>
    </row>
    <row r="239" ht="15.75" customHeight="1">
      <c r="A239" s="52" t="s">
        <v>91</v>
      </c>
      <c r="B239" s="59">
        <f>B233*B237*B238</f>
        <v>38.58286984</v>
      </c>
      <c r="C239" s="52" t="s">
        <v>91</v>
      </c>
      <c r="D239" s="59">
        <f>D233*D237*D238</f>
        <v>48.69682601</v>
      </c>
      <c r="E239" s="52" t="s">
        <v>91</v>
      </c>
      <c r="F239" s="1">
        <f>F233*F237*F238</f>
        <v>6.189962247</v>
      </c>
      <c r="G239" s="52"/>
      <c r="H239" s="59"/>
      <c r="I239" s="1" t="s">
        <v>91</v>
      </c>
      <c r="J239" s="1">
        <f>J233*J237*J238</f>
        <v>46.53418748</v>
      </c>
      <c r="K239" s="5"/>
      <c r="L239" s="52" t="s">
        <v>91</v>
      </c>
      <c r="M239" s="59">
        <f>M233*M237*M238</f>
        <v>38.58286984</v>
      </c>
      <c r="N239" s="52" t="s">
        <v>91</v>
      </c>
      <c r="O239" s="59">
        <f>O233*O237*O238</f>
        <v>48.69682601</v>
      </c>
      <c r="P239" s="52" t="s">
        <v>91</v>
      </c>
      <c r="Q239" s="1">
        <f>Q233*Q237*Q238</f>
        <v>6.189962247</v>
      </c>
      <c r="R239" s="52"/>
      <c r="S239" s="59"/>
      <c r="T239" s="52" t="s">
        <v>91</v>
      </c>
      <c r="U239" s="59">
        <f>U233*U237*U238</f>
        <v>46.53418748</v>
      </c>
    </row>
    <row r="240" ht="15.75" customHeight="1">
      <c r="A240" s="60" t="s">
        <v>89</v>
      </c>
      <c r="B240" s="62">
        <f>B237</f>
        <v>20.46945187</v>
      </c>
      <c r="C240" s="60" t="s">
        <v>89</v>
      </c>
      <c r="D240" s="62">
        <f>D237</f>
        <v>20.46945187</v>
      </c>
      <c r="E240" s="60" t="s">
        <v>89</v>
      </c>
      <c r="F240" s="63">
        <f>F237</f>
        <v>20.46945187</v>
      </c>
      <c r="G240" s="52"/>
      <c r="H240" s="59"/>
      <c r="I240" s="61" t="s">
        <v>89</v>
      </c>
      <c r="J240" s="63">
        <f>J237</f>
        <v>20.46945187</v>
      </c>
      <c r="K240" s="5"/>
      <c r="L240" s="60" t="s">
        <v>89</v>
      </c>
      <c r="M240" s="62">
        <f>M237</f>
        <v>20.46945187</v>
      </c>
      <c r="N240" s="60" t="s">
        <v>89</v>
      </c>
      <c r="O240" s="62">
        <f>O237</f>
        <v>20.46945187</v>
      </c>
      <c r="P240" s="60" t="s">
        <v>89</v>
      </c>
      <c r="Q240" s="63">
        <f>Q237</f>
        <v>20.46945187</v>
      </c>
      <c r="R240" s="52"/>
      <c r="S240" s="59"/>
      <c r="T240" s="60" t="s">
        <v>89</v>
      </c>
      <c r="U240" s="62">
        <f>U237</f>
        <v>20.46945187</v>
      </c>
    </row>
    <row r="241" ht="15.75" customHeight="1">
      <c r="A241" s="52" t="s">
        <v>92</v>
      </c>
      <c r="B241" s="74">
        <v>0.26</v>
      </c>
      <c r="C241" s="52" t="s">
        <v>92</v>
      </c>
      <c r="D241" s="74">
        <v>0.26</v>
      </c>
      <c r="E241" s="52" t="s">
        <v>92</v>
      </c>
      <c r="F241" s="75">
        <v>0.26</v>
      </c>
      <c r="G241" s="52"/>
      <c r="H241" s="74"/>
      <c r="I241" s="1" t="s">
        <v>92</v>
      </c>
      <c r="J241" s="75">
        <v>0.26</v>
      </c>
      <c r="K241" s="5"/>
      <c r="L241" s="52" t="s">
        <v>92</v>
      </c>
      <c r="M241" s="74">
        <v>0.26</v>
      </c>
      <c r="N241" s="52" t="s">
        <v>92</v>
      </c>
      <c r="O241" s="74">
        <v>0.26</v>
      </c>
      <c r="P241" s="52" t="s">
        <v>92</v>
      </c>
      <c r="Q241" s="75">
        <v>0.26</v>
      </c>
      <c r="R241" s="52"/>
      <c r="S241" s="74"/>
      <c r="T241" s="52" t="s">
        <v>92</v>
      </c>
      <c r="U241" s="74">
        <v>0.26</v>
      </c>
    </row>
    <row r="242" ht="15.75" customHeight="1">
      <c r="A242" s="52" t="s">
        <v>93</v>
      </c>
      <c r="B242" s="74">
        <v>0.16</v>
      </c>
      <c r="C242" s="52" t="s">
        <v>93</v>
      </c>
      <c r="D242" s="74">
        <v>0.16</v>
      </c>
      <c r="E242" s="52" t="s">
        <v>93</v>
      </c>
      <c r="F242" s="75">
        <v>0.16</v>
      </c>
      <c r="G242" s="52"/>
      <c r="H242" s="74"/>
      <c r="I242" s="1" t="s">
        <v>93</v>
      </c>
      <c r="J242" s="75">
        <v>0.16</v>
      </c>
      <c r="K242" s="5"/>
      <c r="L242" s="52" t="s">
        <v>93</v>
      </c>
      <c r="M242" s="74">
        <v>0.16</v>
      </c>
      <c r="N242" s="52" t="s">
        <v>93</v>
      </c>
      <c r="O242" s="74">
        <v>0.16</v>
      </c>
      <c r="P242" s="52" t="s">
        <v>93</v>
      </c>
      <c r="Q242" s="75">
        <v>0.16</v>
      </c>
      <c r="R242" s="52"/>
      <c r="S242" s="74"/>
      <c r="T242" s="52" t="s">
        <v>93</v>
      </c>
      <c r="U242" s="74">
        <v>0.16</v>
      </c>
    </row>
    <row r="243" ht="15.75" customHeight="1">
      <c r="A243" s="52" t="s">
        <v>94</v>
      </c>
      <c r="B243" s="59">
        <f>2576*10^3</f>
        <v>2576000</v>
      </c>
      <c r="C243" s="52" t="s">
        <v>94</v>
      </c>
      <c r="D243" s="59">
        <f>2576*10^3</f>
        <v>2576000</v>
      </c>
      <c r="E243" s="52" t="s">
        <v>94</v>
      </c>
      <c r="F243" s="1">
        <f>2576*10^3</f>
        <v>2576000</v>
      </c>
      <c r="G243" s="52"/>
      <c r="H243" s="59"/>
      <c r="I243" s="1" t="s">
        <v>94</v>
      </c>
      <c r="J243" s="1">
        <f>2576*10^3</f>
        <v>2576000</v>
      </c>
      <c r="K243" s="5"/>
      <c r="L243" s="52" t="s">
        <v>94</v>
      </c>
      <c r="M243" s="59">
        <f>2576*10^3</f>
        <v>2576000</v>
      </c>
      <c r="N243" s="52" t="s">
        <v>94</v>
      </c>
      <c r="O243" s="59">
        <f>2576*10^3</f>
        <v>2576000</v>
      </c>
      <c r="P243" s="52" t="s">
        <v>94</v>
      </c>
      <c r="Q243" s="1">
        <f>2576*10^3</f>
        <v>2576000</v>
      </c>
      <c r="R243" s="52"/>
      <c r="S243" s="59"/>
      <c r="T243" s="52" t="s">
        <v>94</v>
      </c>
      <c r="U243" s="59">
        <f>2576*10^3</f>
        <v>2576000</v>
      </c>
    </row>
    <row r="244" ht="15.75" customHeight="1">
      <c r="A244" s="52" t="s">
        <v>95</v>
      </c>
      <c r="B244" s="59">
        <v>1.0</v>
      </c>
      <c r="C244" s="52" t="s">
        <v>95</v>
      </c>
      <c r="D244" s="59">
        <v>1.0</v>
      </c>
      <c r="E244" s="52" t="s">
        <v>95</v>
      </c>
      <c r="F244" s="1">
        <v>1.0</v>
      </c>
      <c r="G244" s="52"/>
      <c r="H244" s="59"/>
      <c r="I244" s="1" t="s">
        <v>95</v>
      </c>
      <c r="J244" s="1">
        <v>1.0</v>
      </c>
      <c r="K244" s="5"/>
      <c r="L244" s="52" t="s">
        <v>95</v>
      </c>
      <c r="M244" s="59">
        <v>1.0</v>
      </c>
      <c r="N244" s="52" t="s">
        <v>95</v>
      </c>
      <c r="O244" s="59">
        <v>1.0</v>
      </c>
      <c r="P244" s="52" t="s">
        <v>95</v>
      </c>
      <c r="Q244" s="1">
        <v>1.0</v>
      </c>
      <c r="R244" s="52"/>
      <c r="S244" s="59"/>
      <c r="T244" s="52" t="s">
        <v>95</v>
      </c>
      <c r="U244" s="59">
        <v>1.0</v>
      </c>
    </row>
    <row r="245" ht="15.75" customHeight="1">
      <c r="A245" s="52" t="s">
        <v>96</v>
      </c>
      <c r="B245" s="59">
        <f>0.657+0.54*(B243)/(B243+B244)-0.196*((B243)/(B243+B244))^2</f>
        <v>1.000999943</v>
      </c>
      <c r="C245" s="52" t="s">
        <v>96</v>
      </c>
      <c r="D245" s="59">
        <f>0.657+0.54*(D243)/(D243+D244)-0.196*((D243)/(D243+D244))^2</f>
        <v>1.000999943</v>
      </c>
      <c r="E245" s="52" t="s">
        <v>96</v>
      </c>
      <c r="F245" s="1">
        <f>0.657+0.54*(F243)/(F243+F244)-0.196*((F243)/(F243+F244))^2</f>
        <v>1.000999943</v>
      </c>
      <c r="G245" s="52"/>
      <c r="H245" s="59"/>
      <c r="I245" s="1" t="s">
        <v>96</v>
      </c>
      <c r="J245" s="1">
        <f>0.657+0.54*(J243)/(J243+J244)-0.196*((J243)/(J243+J244))^2</f>
        <v>1.000999943</v>
      </c>
      <c r="K245" s="5"/>
      <c r="L245" s="52" t="s">
        <v>96</v>
      </c>
      <c r="M245" s="59">
        <f>0.657+0.54*(M243)/(M243+M244)-0.196*((M243)/(M243+M244))^2</f>
        <v>1.000999943</v>
      </c>
      <c r="N245" s="52" t="s">
        <v>96</v>
      </c>
      <c r="O245" s="59">
        <f>0.657+0.54*(O243)/(O243+O244)-0.196*((O243)/(O243+O244))^2</f>
        <v>1.000999943</v>
      </c>
      <c r="P245" s="52" t="s">
        <v>96</v>
      </c>
      <c r="Q245" s="1">
        <f>0.657+0.54*(Q243)/(Q243+Q244)-0.196*((Q243)/(Q243+Q244))^2</f>
        <v>1.000999943</v>
      </c>
      <c r="R245" s="52"/>
      <c r="S245" s="59"/>
      <c r="T245" s="52" t="s">
        <v>96</v>
      </c>
      <c r="U245" s="59">
        <f>0.657+0.54*(U243)/(U243+U244)-0.196*((U243)/(U243+U244))^2</f>
        <v>1.000999943</v>
      </c>
    </row>
    <row r="246" ht="15.75" customHeight="1">
      <c r="A246" s="52" t="s">
        <v>97</v>
      </c>
      <c r="B246" s="62">
        <f>B35</f>
        <v>0.9963137846</v>
      </c>
      <c r="C246" s="52" t="s">
        <v>97</v>
      </c>
      <c r="D246" s="62">
        <f>D35</f>
        <v>0.9963137846</v>
      </c>
      <c r="E246" s="52" t="s">
        <v>97</v>
      </c>
      <c r="F246" s="63">
        <f>F35</f>
        <v>0.9963137846</v>
      </c>
      <c r="G246" s="52"/>
      <c r="H246" s="59"/>
      <c r="I246" s="1" t="s">
        <v>97</v>
      </c>
      <c r="J246" s="63">
        <f>J35</f>
        <v>0.9963137846</v>
      </c>
      <c r="K246" s="5"/>
      <c r="L246" s="52" t="s">
        <v>97</v>
      </c>
      <c r="M246" s="62">
        <f>M35</f>
        <v>0.9963137846</v>
      </c>
      <c r="N246" s="52" t="s">
        <v>97</v>
      </c>
      <c r="O246" s="62">
        <f>O35</f>
        <v>0.9963137846</v>
      </c>
      <c r="P246" s="52" t="s">
        <v>97</v>
      </c>
      <c r="Q246" s="63">
        <f>Q35</f>
        <v>0.9963137846</v>
      </c>
      <c r="R246" s="52"/>
      <c r="S246" s="59"/>
      <c r="T246" s="52" t="s">
        <v>97</v>
      </c>
      <c r="U246" s="62">
        <f>U35</f>
        <v>0.9963137846</v>
      </c>
    </row>
    <row r="247" ht="15.75" customHeight="1">
      <c r="A247" s="52" t="s">
        <v>98</v>
      </c>
      <c r="B247" s="59">
        <f>(3*B246/4/PI())^(1/3)</f>
        <v>0.6195873039</v>
      </c>
      <c r="C247" s="52" t="s">
        <v>98</v>
      </c>
      <c r="D247" s="59">
        <f>(3*D246/4/PI())^(1/3)</f>
        <v>0.6195873039</v>
      </c>
      <c r="E247" s="52" t="s">
        <v>98</v>
      </c>
      <c r="F247" s="1">
        <f>(3*F246/4/PI())^(1/3)</f>
        <v>0.6195873039</v>
      </c>
      <c r="G247" s="52"/>
      <c r="H247" s="59"/>
      <c r="I247" s="1" t="s">
        <v>98</v>
      </c>
      <c r="J247" s="1">
        <f>(3*J246/4/PI())^(1/3)</f>
        <v>0.6195873039</v>
      </c>
      <c r="K247" s="5"/>
      <c r="L247" s="52" t="s">
        <v>98</v>
      </c>
      <c r="M247" s="59">
        <f>(3*M246/4/PI())^(1/3)</f>
        <v>0.6195873039</v>
      </c>
      <c r="N247" s="52" t="s">
        <v>98</v>
      </c>
      <c r="O247" s="59">
        <f>(3*O246/4/PI())^(1/3)</f>
        <v>0.6195873039</v>
      </c>
      <c r="P247" s="52" t="s">
        <v>98</v>
      </c>
      <c r="Q247" s="1">
        <f>(3*Q246/4/PI())^(1/3)</f>
        <v>0.6195873039</v>
      </c>
      <c r="R247" s="52"/>
      <c r="S247" s="59"/>
      <c r="T247" s="52" t="s">
        <v>98</v>
      </c>
      <c r="U247" s="59">
        <f>(3*U246/4/PI())^(1/3)</f>
        <v>0.6195873039</v>
      </c>
    </row>
    <row r="248" ht="15.75" customHeight="1">
      <c r="A248" s="52" t="s">
        <v>99</v>
      </c>
      <c r="B248" s="59">
        <v>0.0</v>
      </c>
      <c r="C248" s="52" t="s">
        <v>99</v>
      </c>
      <c r="D248" s="59">
        <v>0.0</v>
      </c>
      <c r="E248" s="52" t="s">
        <v>99</v>
      </c>
      <c r="F248" s="1">
        <v>0.0</v>
      </c>
      <c r="G248" s="52"/>
      <c r="H248" s="59"/>
      <c r="I248" s="1" t="s">
        <v>99</v>
      </c>
      <c r="J248" s="1">
        <v>0.0</v>
      </c>
      <c r="K248" s="5"/>
      <c r="L248" s="52" t="s">
        <v>99</v>
      </c>
      <c r="M248" s="59">
        <v>0.0</v>
      </c>
      <c r="N248" s="52" t="s">
        <v>99</v>
      </c>
      <c r="O248" s="59">
        <v>0.0</v>
      </c>
      <c r="P248" s="52" t="s">
        <v>99</v>
      </c>
      <c r="Q248" s="1">
        <v>0.0</v>
      </c>
      <c r="R248" s="52"/>
      <c r="S248" s="59"/>
      <c r="T248" s="52" t="s">
        <v>99</v>
      </c>
      <c r="U248" s="59">
        <v>0.0</v>
      </c>
    </row>
    <row r="249" ht="15.75" customHeight="1">
      <c r="A249" s="52" t="s">
        <v>100</v>
      </c>
      <c r="B249" s="62">
        <f>B238</f>
        <v>3.09</v>
      </c>
      <c r="C249" s="52" t="s">
        <v>100</v>
      </c>
      <c r="D249" s="62">
        <f>D238</f>
        <v>3.9</v>
      </c>
      <c r="E249" s="52" t="s">
        <v>100</v>
      </c>
      <c r="F249" s="63">
        <f>F238</f>
        <v>3.36</v>
      </c>
      <c r="G249" s="52"/>
      <c r="H249" s="59"/>
      <c r="I249" s="1" t="s">
        <v>100</v>
      </c>
      <c r="J249" s="63">
        <f>J238</f>
        <v>3.7268</v>
      </c>
      <c r="K249" s="5"/>
      <c r="L249" s="52" t="s">
        <v>100</v>
      </c>
      <c r="M249" s="62">
        <f>M238</f>
        <v>3.09</v>
      </c>
      <c r="N249" s="52" t="s">
        <v>100</v>
      </c>
      <c r="O249" s="62">
        <f>O238</f>
        <v>3.9</v>
      </c>
      <c r="P249" s="52" t="s">
        <v>100</v>
      </c>
      <c r="Q249" s="63">
        <f>Q238</f>
        <v>3.36</v>
      </c>
      <c r="R249" s="52"/>
      <c r="S249" s="59"/>
      <c r="T249" s="52" t="s">
        <v>100</v>
      </c>
      <c r="U249" s="62">
        <f>U238</f>
        <v>3.7268</v>
      </c>
    </row>
    <row r="250" ht="15.75" customHeight="1">
      <c r="A250" s="52" t="s">
        <v>101</v>
      </c>
      <c r="B250" s="59">
        <f>B240*B241*B248*B249*B233*B245</f>
        <v>0</v>
      </c>
      <c r="C250" s="52" t="s">
        <v>101</v>
      </c>
      <c r="D250" s="59">
        <f>D240*D241*D248*D249*D233*D245</f>
        <v>0</v>
      </c>
      <c r="E250" s="52" t="s">
        <v>101</v>
      </c>
      <c r="F250" s="1">
        <f>F240*F241*F248*F249*F233*F245</f>
        <v>0</v>
      </c>
      <c r="G250" s="52"/>
      <c r="H250" s="59"/>
      <c r="I250" s="1" t="s">
        <v>101</v>
      </c>
      <c r="J250" s="1">
        <f>J240*J241*J248*J249*J233*J245</f>
        <v>0</v>
      </c>
      <c r="K250" s="5"/>
      <c r="L250" s="52" t="s">
        <v>101</v>
      </c>
      <c r="M250" s="59">
        <f>M240*M241*M248*M249*M233*M245</f>
        <v>0</v>
      </c>
      <c r="N250" s="52" t="s">
        <v>101</v>
      </c>
      <c r="O250" s="59">
        <f>O240*O241*O248*O249*O233*O245</f>
        <v>0</v>
      </c>
      <c r="P250" s="52" t="s">
        <v>101</v>
      </c>
      <c r="Q250" s="1">
        <f>Q240*Q241*Q248*Q249*Q233*Q245</f>
        <v>0</v>
      </c>
      <c r="R250" s="52"/>
      <c r="S250" s="59"/>
      <c r="T250" s="52" t="s">
        <v>101</v>
      </c>
      <c r="U250" s="59">
        <f>U240*U241*U248*U249*U233*U245</f>
        <v>0</v>
      </c>
    </row>
    <row r="251" ht="15.75" customHeight="1">
      <c r="A251" s="52" t="s">
        <v>102</v>
      </c>
      <c r="B251" s="59">
        <f>B240*B242*B248*B249*B233*B245</f>
        <v>0</v>
      </c>
      <c r="C251" s="52" t="s">
        <v>102</v>
      </c>
      <c r="D251" s="59">
        <f>D240*D242*D248*D249*D233*D245</f>
        <v>0</v>
      </c>
      <c r="E251" s="52" t="s">
        <v>102</v>
      </c>
      <c r="F251" s="1">
        <f>F240*F242*F248*F249*F233*F245</f>
        <v>0</v>
      </c>
      <c r="G251" s="52"/>
      <c r="H251" s="59"/>
      <c r="I251" s="1" t="s">
        <v>102</v>
      </c>
      <c r="J251" s="1">
        <f>J240*J242*J248*J249*J233*J245</f>
        <v>0</v>
      </c>
      <c r="K251" s="5"/>
      <c r="L251" s="52" t="s">
        <v>102</v>
      </c>
      <c r="M251" s="59">
        <f>M240*M242*M248*M249*M233*M245</f>
        <v>0</v>
      </c>
      <c r="N251" s="52" t="s">
        <v>102</v>
      </c>
      <c r="O251" s="59">
        <f>O240*O242*O248*O249*O233*O245</f>
        <v>0</v>
      </c>
      <c r="P251" s="52" t="s">
        <v>102</v>
      </c>
      <c r="Q251" s="1">
        <f>Q240*Q242*Q248*Q249*Q233*Q245</f>
        <v>0</v>
      </c>
      <c r="R251" s="52"/>
      <c r="S251" s="59"/>
      <c r="T251" s="52" t="s">
        <v>102</v>
      </c>
      <c r="U251" s="59">
        <f>U240*U242*U248*U249*U233*U245</f>
        <v>0</v>
      </c>
    </row>
    <row r="252" ht="15.75" customHeight="1">
      <c r="A252" s="60" t="s">
        <v>103</v>
      </c>
      <c r="B252" s="64">
        <v>0.0</v>
      </c>
      <c r="C252" s="60" t="s">
        <v>103</v>
      </c>
      <c r="D252" s="64">
        <v>500.0</v>
      </c>
      <c r="E252" s="60" t="s">
        <v>103</v>
      </c>
      <c r="F252" s="65">
        <f>757.24</f>
        <v>757.24</v>
      </c>
      <c r="G252" s="52"/>
      <c r="H252" s="66"/>
      <c r="I252" s="61" t="s">
        <v>103</v>
      </c>
      <c r="J252" s="64">
        <v>57.6</v>
      </c>
      <c r="K252" s="5"/>
      <c r="L252" s="60" t="s">
        <v>103</v>
      </c>
      <c r="M252" s="64">
        <v>0.0</v>
      </c>
      <c r="N252" s="60" t="s">
        <v>103</v>
      </c>
      <c r="O252" s="64">
        <v>500.0</v>
      </c>
      <c r="P252" s="60" t="s">
        <v>103</v>
      </c>
      <c r="Q252" s="65">
        <f>757.24</f>
        <v>757.24</v>
      </c>
      <c r="R252" s="52"/>
      <c r="S252" s="66"/>
      <c r="T252" s="60" t="s">
        <v>103</v>
      </c>
      <c r="U252" s="64">
        <v>57.6</v>
      </c>
    </row>
    <row r="253" ht="15.75" customHeight="1">
      <c r="A253" s="52" t="s">
        <v>104</v>
      </c>
      <c r="B253" s="53">
        <v>0.0</v>
      </c>
      <c r="C253" s="52" t="s">
        <v>104</v>
      </c>
      <c r="D253" s="53">
        <v>500.0</v>
      </c>
      <c r="E253" s="52" t="s">
        <v>104</v>
      </c>
      <c r="F253" s="54">
        <f>F252/2</f>
        <v>378.62</v>
      </c>
      <c r="G253" s="52"/>
      <c r="H253" s="59"/>
      <c r="I253" s="1" t="s">
        <v>104</v>
      </c>
      <c r="J253" s="53">
        <f>J252/2</f>
        <v>28.8</v>
      </c>
      <c r="K253" s="5"/>
      <c r="L253" s="52" t="s">
        <v>104</v>
      </c>
      <c r="M253" s="53">
        <v>0.0</v>
      </c>
      <c r="N253" s="52" t="s">
        <v>104</v>
      </c>
      <c r="O253" s="53">
        <v>500.0</v>
      </c>
      <c r="P253" s="52" t="s">
        <v>104</v>
      </c>
      <c r="Q253" s="54">
        <f>Q252/2</f>
        <v>378.62</v>
      </c>
      <c r="R253" s="52"/>
      <c r="S253" s="59"/>
      <c r="T253" s="52" t="s">
        <v>104</v>
      </c>
      <c r="U253" s="53">
        <f>U252/2</f>
        <v>28.8</v>
      </c>
    </row>
    <row r="254" ht="15.75" customHeight="1">
      <c r="A254" s="60" t="s">
        <v>105</v>
      </c>
      <c r="B254" s="74">
        <v>0.7</v>
      </c>
      <c r="C254" s="60" t="s">
        <v>105</v>
      </c>
      <c r="D254" s="74">
        <v>0.7</v>
      </c>
      <c r="E254" s="60" t="s">
        <v>105</v>
      </c>
      <c r="F254" s="75">
        <v>0.7</v>
      </c>
      <c r="G254" s="52"/>
      <c r="H254" s="74"/>
      <c r="I254" s="61" t="s">
        <v>105</v>
      </c>
      <c r="J254" s="75">
        <v>0.7</v>
      </c>
      <c r="K254" s="5"/>
      <c r="L254" s="60" t="s">
        <v>105</v>
      </c>
      <c r="M254" s="74">
        <v>0.7</v>
      </c>
      <c r="N254" s="60" t="s">
        <v>105</v>
      </c>
      <c r="O254" s="74">
        <v>0.7</v>
      </c>
      <c r="P254" s="60" t="s">
        <v>105</v>
      </c>
      <c r="Q254" s="75">
        <v>0.7</v>
      </c>
      <c r="R254" s="52"/>
      <c r="S254" s="74"/>
      <c r="T254" s="60" t="s">
        <v>105</v>
      </c>
      <c r="U254" s="74">
        <v>0.7</v>
      </c>
    </row>
    <row r="255" ht="15.75" customHeight="1">
      <c r="A255" s="52" t="s">
        <v>106</v>
      </c>
      <c r="B255" s="74">
        <v>0.35</v>
      </c>
      <c r="C255" s="52" t="s">
        <v>106</v>
      </c>
      <c r="D255" s="74">
        <v>0.35</v>
      </c>
      <c r="E255" s="52" t="s">
        <v>106</v>
      </c>
      <c r="F255" s="75">
        <v>0.35</v>
      </c>
      <c r="G255" s="52"/>
      <c r="H255" s="74"/>
      <c r="I255" s="1" t="s">
        <v>106</v>
      </c>
      <c r="J255" s="75">
        <v>0.35</v>
      </c>
      <c r="K255" s="5"/>
      <c r="L255" s="52" t="s">
        <v>106</v>
      </c>
      <c r="M255" s="74">
        <v>0.35</v>
      </c>
      <c r="N255" s="52" t="s">
        <v>106</v>
      </c>
      <c r="O255" s="74">
        <v>0.35</v>
      </c>
      <c r="P255" s="52" t="s">
        <v>106</v>
      </c>
      <c r="Q255" s="75">
        <v>0.35</v>
      </c>
      <c r="R255" s="52"/>
      <c r="S255" s="74"/>
      <c r="T255" s="52" t="s">
        <v>106</v>
      </c>
      <c r="U255" s="74">
        <v>0.35</v>
      </c>
    </row>
    <row r="256" ht="15.75" customHeight="1">
      <c r="A256" s="52" t="s">
        <v>99</v>
      </c>
      <c r="B256" s="62">
        <f>B248</f>
        <v>0</v>
      </c>
      <c r="C256" s="52" t="s">
        <v>99</v>
      </c>
      <c r="D256" s="62">
        <f>D248</f>
        <v>0</v>
      </c>
      <c r="E256" s="52" t="s">
        <v>99</v>
      </c>
      <c r="F256" s="63">
        <f>F248</f>
        <v>0</v>
      </c>
      <c r="G256" s="52"/>
      <c r="H256" s="59"/>
      <c r="I256" s="1" t="s">
        <v>99</v>
      </c>
      <c r="J256" s="63">
        <f>J248</f>
        <v>0</v>
      </c>
      <c r="K256" s="5"/>
      <c r="L256" s="52" t="s">
        <v>99</v>
      </c>
      <c r="M256" s="62">
        <f>M248</f>
        <v>0</v>
      </c>
      <c r="N256" s="52" t="s">
        <v>99</v>
      </c>
      <c r="O256" s="62">
        <f>O248</f>
        <v>0</v>
      </c>
      <c r="P256" s="52" t="s">
        <v>99</v>
      </c>
      <c r="Q256" s="63">
        <f>Q248</f>
        <v>0</v>
      </c>
      <c r="R256" s="52"/>
      <c r="S256" s="59"/>
      <c r="T256" s="52" t="s">
        <v>99</v>
      </c>
      <c r="U256" s="62">
        <f>U248</f>
        <v>0</v>
      </c>
    </row>
    <row r="257" ht="15.75" customHeight="1">
      <c r="A257" s="52" t="s">
        <v>100</v>
      </c>
      <c r="B257" s="62">
        <f>B238</f>
        <v>3.09</v>
      </c>
      <c r="C257" s="52" t="s">
        <v>100</v>
      </c>
      <c r="D257" s="62">
        <f>D238</f>
        <v>3.9</v>
      </c>
      <c r="E257" s="52" t="s">
        <v>100</v>
      </c>
      <c r="F257" s="63">
        <f>F238</f>
        <v>3.36</v>
      </c>
      <c r="G257" s="52"/>
      <c r="H257" s="59"/>
      <c r="I257" s="1" t="s">
        <v>100</v>
      </c>
      <c r="J257" s="63">
        <f>J238</f>
        <v>3.7268</v>
      </c>
      <c r="K257" s="5"/>
      <c r="L257" s="52" t="s">
        <v>100</v>
      </c>
      <c r="M257" s="62">
        <f>M238</f>
        <v>3.09</v>
      </c>
      <c r="N257" s="52" t="s">
        <v>100</v>
      </c>
      <c r="O257" s="62">
        <f>O238</f>
        <v>3.9</v>
      </c>
      <c r="P257" s="52" t="s">
        <v>100</v>
      </c>
      <c r="Q257" s="63">
        <f>Q238</f>
        <v>3.36</v>
      </c>
      <c r="R257" s="52"/>
      <c r="S257" s="59"/>
      <c r="T257" s="52" t="s">
        <v>100</v>
      </c>
      <c r="U257" s="62">
        <f>U238</f>
        <v>3.7268</v>
      </c>
    </row>
    <row r="258" ht="15.75" customHeight="1">
      <c r="A258" s="52" t="s">
        <v>107</v>
      </c>
      <c r="B258" s="59">
        <f>B254*B256*B257*B233</f>
        <v>0</v>
      </c>
      <c r="C258" s="52" t="s">
        <v>107</v>
      </c>
      <c r="D258" s="59">
        <f>D254*D256*D257*D233</f>
        <v>0</v>
      </c>
      <c r="E258" s="52" t="s">
        <v>107</v>
      </c>
      <c r="F258" s="1">
        <f>F254*F256*F257*F233</f>
        <v>0</v>
      </c>
      <c r="G258" s="52"/>
      <c r="H258" s="59"/>
      <c r="I258" s="1" t="s">
        <v>107</v>
      </c>
      <c r="J258" s="1">
        <f>J254*J256*J257*J233</f>
        <v>0</v>
      </c>
      <c r="K258" s="5"/>
      <c r="L258" s="52" t="s">
        <v>107</v>
      </c>
      <c r="M258" s="59">
        <f>M254*M256*M257*M233</f>
        <v>0</v>
      </c>
      <c r="N258" s="52" t="s">
        <v>107</v>
      </c>
      <c r="O258" s="59">
        <f>O254*O256*O257*O233</f>
        <v>0</v>
      </c>
      <c r="P258" s="52" t="s">
        <v>107</v>
      </c>
      <c r="Q258" s="1">
        <f>Q254*Q256*Q257*Q233</f>
        <v>0</v>
      </c>
      <c r="R258" s="52"/>
      <c r="S258" s="59"/>
      <c r="T258" s="52" t="s">
        <v>107</v>
      </c>
      <c r="U258" s="59">
        <f>U254*U256*U257*U233</f>
        <v>0</v>
      </c>
    </row>
    <row r="259" ht="15.75" customHeight="1">
      <c r="A259" s="52" t="s">
        <v>108</v>
      </c>
      <c r="B259" s="59">
        <f>B255*B256*B257*B233</f>
        <v>0</v>
      </c>
      <c r="C259" s="52" t="s">
        <v>108</v>
      </c>
      <c r="D259" s="59">
        <f>D255*D256*D257*D233</f>
        <v>0</v>
      </c>
      <c r="E259" s="52" t="s">
        <v>108</v>
      </c>
      <c r="F259" s="1">
        <f>F255*F256*F257*F233</f>
        <v>0</v>
      </c>
      <c r="G259" s="52"/>
      <c r="H259" s="59"/>
      <c r="I259" s="1" t="s">
        <v>108</v>
      </c>
      <c r="J259" s="1">
        <f>J255*J256*J257*J233</f>
        <v>0</v>
      </c>
      <c r="K259" s="5"/>
      <c r="L259" s="52" t="s">
        <v>108</v>
      </c>
      <c r="M259" s="59">
        <f>M255*M256*M257*M233</f>
        <v>0</v>
      </c>
      <c r="N259" s="52" t="s">
        <v>108</v>
      </c>
      <c r="O259" s="59">
        <f>O255*O256*O257*O233</f>
        <v>0</v>
      </c>
      <c r="P259" s="52" t="s">
        <v>108</v>
      </c>
      <c r="Q259" s="1">
        <f>Q255*Q256*Q257*Q233</f>
        <v>0</v>
      </c>
      <c r="R259" s="52"/>
      <c r="S259" s="59"/>
      <c r="T259" s="52" t="s">
        <v>108</v>
      </c>
      <c r="U259" s="59">
        <f>U255*U256*U257*U233</f>
        <v>0</v>
      </c>
    </row>
    <row r="260" ht="15.75" customHeight="1">
      <c r="A260" s="60" t="s">
        <v>109</v>
      </c>
      <c r="B260" s="53">
        <v>-40.0</v>
      </c>
      <c r="C260" s="60" t="s">
        <v>109</v>
      </c>
      <c r="D260" s="53">
        <v>-40.0</v>
      </c>
      <c r="E260" s="60" t="s">
        <v>109</v>
      </c>
      <c r="F260" s="54">
        <v>-40.0</v>
      </c>
      <c r="G260" s="52"/>
      <c r="H260" s="59"/>
      <c r="I260" s="61" t="s">
        <v>109</v>
      </c>
      <c r="J260" s="54">
        <v>-40.0</v>
      </c>
      <c r="K260" s="5"/>
      <c r="L260" s="60" t="s">
        <v>109</v>
      </c>
      <c r="M260" s="53">
        <v>-40.0</v>
      </c>
      <c r="N260" s="60" t="s">
        <v>109</v>
      </c>
      <c r="O260" s="53">
        <v>-40.0</v>
      </c>
      <c r="P260" s="60" t="s">
        <v>109</v>
      </c>
      <c r="Q260" s="54">
        <v>-40.0</v>
      </c>
      <c r="R260" s="52"/>
      <c r="S260" s="59"/>
      <c r="T260" s="60" t="s">
        <v>109</v>
      </c>
      <c r="U260" s="53">
        <v>-40.0</v>
      </c>
    </row>
    <row r="261" ht="15.75" customHeight="1">
      <c r="A261" s="52" t="s">
        <v>110</v>
      </c>
      <c r="B261" s="59">
        <f>B260+273.15</f>
        <v>233.15</v>
      </c>
      <c r="C261" s="52" t="s">
        <v>110</v>
      </c>
      <c r="D261" s="59">
        <f>D260+273.15</f>
        <v>233.15</v>
      </c>
      <c r="E261" s="52" t="s">
        <v>110</v>
      </c>
      <c r="F261" s="1">
        <f>F260+273.15</f>
        <v>233.15</v>
      </c>
      <c r="G261" s="52"/>
      <c r="H261" s="59"/>
      <c r="I261" s="1" t="s">
        <v>110</v>
      </c>
      <c r="J261" s="1">
        <f>J260+273.15</f>
        <v>233.15</v>
      </c>
      <c r="K261" s="5"/>
      <c r="L261" s="52" t="s">
        <v>110</v>
      </c>
      <c r="M261" s="59">
        <f>M260+273.15</f>
        <v>233.15</v>
      </c>
      <c r="N261" s="52" t="s">
        <v>110</v>
      </c>
      <c r="O261" s="59">
        <f>O260+273.15</f>
        <v>233.15</v>
      </c>
      <c r="P261" s="52" t="s">
        <v>110</v>
      </c>
      <c r="Q261" s="1">
        <f>Q260+273.15</f>
        <v>233.15</v>
      </c>
      <c r="R261" s="52"/>
      <c r="S261" s="59"/>
      <c r="T261" s="52" t="s">
        <v>110</v>
      </c>
      <c r="U261" s="59">
        <f>U260+273.15</f>
        <v>233.15</v>
      </c>
    </row>
    <row r="262" ht="15.75" customHeight="1">
      <c r="A262" s="52" t="s">
        <v>111</v>
      </c>
      <c r="B262" s="59">
        <v>0.0</v>
      </c>
      <c r="C262" s="52" t="s">
        <v>111</v>
      </c>
      <c r="D262" s="59">
        <v>0.0</v>
      </c>
      <c r="E262" s="52" t="s">
        <v>111</v>
      </c>
      <c r="F262" s="1">
        <v>0.0</v>
      </c>
      <c r="G262" s="52"/>
      <c r="H262" s="59"/>
      <c r="I262" s="1" t="s">
        <v>111</v>
      </c>
      <c r="J262" s="1">
        <v>0.0</v>
      </c>
      <c r="K262" s="5"/>
      <c r="L262" s="52" t="s">
        <v>111</v>
      </c>
      <c r="M262" s="59">
        <v>0.0</v>
      </c>
      <c r="N262" s="52" t="s">
        <v>111</v>
      </c>
      <c r="O262" s="59">
        <v>0.0</v>
      </c>
      <c r="P262" s="52" t="s">
        <v>111</v>
      </c>
      <c r="Q262" s="1">
        <v>0.0</v>
      </c>
      <c r="R262" s="52"/>
      <c r="S262" s="59"/>
      <c r="T262" s="52" t="s">
        <v>111</v>
      </c>
      <c r="U262" s="59">
        <v>0.0</v>
      </c>
    </row>
    <row r="263" ht="15.75" customHeight="1">
      <c r="A263" s="52" t="s">
        <v>112</v>
      </c>
      <c r="B263" s="66">
        <f>B239+B250+B252+B258</f>
        <v>38.58286984</v>
      </c>
      <c r="C263" s="52" t="s">
        <v>112</v>
      </c>
      <c r="D263" s="66">
        <f>D239+D250+D252+D258</f>
        <v>548.696826</v>
      </c>
      <c r="E263" s="52" t="s">
        <v>112</v>
      </c>
      <c r="F263" s="67">
        <f>F239+F250+F252+F258</f>
        <v>763.4299622</v>
      </c>
      <c r="G263" s="52"/>
      <c r="H263" s="66"/>
      <c r="I263" s="1" t="s">
        <v>112</v>
      </c>
      <c r="J263" s="67">
        <f>J239+J250+J252+J258</f>
        <v>104.1341875</v>
      </c>
      <c r="K263" s="5"/>
      <c r="L263" s="52" t="s">
        <v>112</v>
      </c>
      <c r="M263" s="66">
        <f>M239+M250+M252+M258</f>
        <v>38.58286984</v>
      </c>
      <c r="N263" s="52" t="s">
        <v>112</v>
      </c>
      <c r="O263" s="66">
        <f>O239+O250+O252+O258</f>
        <v>548.696826</v>
      </c>
      <c r="P263" s="52" t="s">
        <v>112</v>
      </c>
      <c r="Q263" s="67">
        <f>Q239+Q250+Q252+Q258</f>
        <v>763.4299622</v>
      </c>
      <c r="R263" s="52"/>
      <c r="S263" s="66"/>
      <c r="T263" s="52" t="s">
        <v>112</v>
      </c>
      <c r="U263" s="66">
        <f>U239+U250+U252+U258</f>
        <v>104.1341875</v>
      </c>
    </row>
    <row r="264" ht="15.75" customHeight="1">
      <c r="A264" s="52" t="s">
        <v>113</v>
      </c>
      <c r="B264" s="66">
        <f>B251+B253+B259</f>
        <v>0</v>
      </c>
      <c r="C264" s="52" t="s">
        <v>113</v>
      </c>
      <c r="D264" s="66">
        <f>D251+D253+D259</f>
        <v>500</v>
      </c>
      <c r="E264" s="52" t="s">
        <v>113</v>
      </c>
      <c r="F264" s="67">
        <f>F251+F253+F259</f>
        <v>378.62</v>
      </c>
      <c r="G264" s="52"/>
      <c r="H264" s="66"/>
      <c r="I264" s="1" t="s">
        <v>113</v>
      </c>
      <c r="J264" s="67">
        <f>J251+J253+J259</f>
        <v>28.8</v>
      </c>
      <c r="K264" s="5"/>
      <c r="L264" s="52" t="s">
        <v>113</v>
      </c>
      <c r="M264" s="66">
        <f>M251+M253+M259</f>
        <v>0</v>
      </c>
      <c r="N264" s="52" t="s">
        <v>113</v>
      </c>
      <c r="O264" s="66">
        <f>O251+O253+O259</f>
        <v>500</v>
      </c>
      <c r="P264" s="52" t="s">
        <v>113</v>
      </c>
      <c r="Q264" s="67">
        <f>Q251+Q253+Q259</f>
        <v>378.62</v>
      </c>
      <c r="R264" s="52"/>
      <c r="S264" s="66"/>
      <c r="T264" s="52" t="s">
        <v>113</v>
      </c>
      <c r="U264" s="66">
        <f>U251+U253+U259</f>
        <v>28.8</v>
      </c>
    </row>
    <row r="265" ht="15.75" customHeight="1">
      <c r="A265" s="52" t="s">
        <v>114</v>
      </c>
      <c r="B265" s="59">
        <f>$F$1*B236*(B232+B224)*(B261-B262)^4</f>
        <v>702.6772233</v>
      </c>
      <c r="C265" s="52" t="s">
        <v>114</v>
      </c>
      <c r="D265" s="59">
        <f>$F$1*D236*(D232+D224)*(D261-D262)^4</f>
        <v>809.2630942</v>
      </c>
      <c r="E265" s="52" t="s">
        <v>114</v>
      </c>
      <c r="F265" s="1">
        <f>$F$1*F236*(F232+F224)*(F261-F262)^4</f>
        <v>795.8411697</v>
      </c>
      <c r="G265" s="52"/>
      <c r="H265" s="59"/>
      <c r="I265" s="1" t="s">
        <v>114</v>
      </c>
      <c r="J265" s="1">
        <f>$F$1*J236*(J232+J224)*(J261-J262)^4</f>
        <v>667.4302906</v>
      </c>
      <c r="K265" s="5"/>
      <c r="L265" s="52" t="s">
        <v>114</v>
      </c>
      <c r="M265" s="59">
        <f>$F$1*M236*(M232+M224)*(M261-M262)^4</f>
        <v>702.6772233</v>
      </c>
      <c r="N265" s="52" t="s">
        <v>114</v>
      </c>
      <c r="O265" s="59">
        <f>$F$1*O236*(O232+O224)*(O261-O262)^4</f>
        <v>513.1912305</v>
      </c>
      <c r="P265" s="52" t="s">
        <v>114</v>
      </c>
      <c r="Q265" s="1">
        <f>$F$1*Q236*(Q232+Q224)*(Q261-Q262)^4</f>
        <v>795.8411697</v>
      </c>
      <c r="R265" s="52"/>
      <c r="S265" s="59"/>
      <c r="T265" s="52" t="s">
        <v>114</v>
      </c>
      <c r="U265" s="59">
        <f>$F$1*U236*(U232+U224)*(U261-U262)^4</f>
        <v>667.4302906</v>
      </c>
    </row>
    <row r="266" ht="15.75" customHeight="1">
      <c r="A266" s="52" t="s">
        <v>115</v>
      </c>
      <c r="B266" s="66">
        <f>B265-B264</f>
        <v>702.6772233</v>
      </c>
      <c r="C266" s="52" t="s">
        <v>115</v>
      </c>
      <c r="D266" s="66">
        <f>D265-D264</f>
        <v>309.2630942</v>
      </c>
      <c r="E266" s="52" t="s">
        <v>115</v>
      </c>
      <c r="F266" s="67">
        <f>F265-F264</f>
        <v>417.2211697</v>
      </c>
      <c r="G266" s="52"/>
      <c r="H266" s="66"/>
      <c r="I266" s="1" t="s">
        <v>115</v>
      </c>
      <c r="J266" s="67">
        <f>J265-J264</f>
        <v>638.6302906</v>
      </c>
      <c r="K266" s="5"/>
      <c r="L266" s="52" t="s">
        <v>115</v>
      </c>
      <c r="M266" s="66">
        <f>M265-M264</f>
        <v>702.6772233</v>
      </c>
      <c r="N266" s="52" t="s">
        <v>115</v>
      </c>
      <c r="O266" s="66">
        <f>O265-O264</f>
        <v>13.19123048</v>
      </c>
      <c r="P266" s="52" t="s">
        <v>115</v>
      </c>
      <c r="Q266" s="67">
        <f>Q265-Q264</f>
        <v>417.2211697</v>
      </c>
      <c r="R266" s="52"/>
      <c r="S266" s="66"/>
      <c r="T266" s="52" t="s">
        <v>115</v>
      </c>
      <c r="U266" s="66">
        <f>U265-U264</f>
        <v>638.6302906</v>
      </c>
    </row>
    <row r="267" ht="15.75" customHeight="1">
      <c r="A267" s="52" t="s">
        <v>116</v>
      </c>
      <c r="B267" s="66">
        <f>B265-B263</f>
        <v>664.0943534</v>
      </c>
      <c r="C267" s="52" t="s">
        <v>116</v>
      </c>
      <c r="D267" s="66">
        <f>D265-D263</f>
        <v>260.5662682</v>
      </c>
      <c r="E267" s="52" t="s">
        <v>116</v>
      </c>
      <c r="F267" s="67">
        <f>F265-F263</f>
        <v>32.41120748</v>
      </c>
      <c r="G267" s="52"/>
      <c r="H267" s="66"/>
      <c r="I267" s="1" t="s">
        <v>116</v>
      </c>
      <c r="J267" s="67">
        <f>J265-J263</f>
        <v>563.2961031</v>
      </c>
      <c r="K267" s="5"/>
      <c r="L267" s="52" t="s">
        <v>116</v>
      </c>
      <c r="M267" s="66">
        <f>M265-M263</f>
        <v>664.0943534</v>
      </c>
      <c r="N267" s="52" t="s">
        <v>116</v>
      </c>
      <c r="O267" s="66">
        <f>O265-O263</f>
        <v>-35.50559553</v>
      </c>
      <c r="P267" s="52" t="s">
        <v>116</v>
      </c>
      <c r="Q267" s="67">
        <f>Q265-Q263</f>
        <v>32.41120748</v>
      </c>
      <c r="R267" s="52"/>
      <c r="S267" s="66"/>
      <c r="T267" s="52" t="s">
        <v>116</v>
      </c>
      <c r="U267" s="66">
        <f>U265-U263</f>
        <v>563.2961031</v>
      </c>
    </row>
    <row r="268" ht="15.75" customHeight="1">
      <c r="A268" s="52" t="s">
        <v>117</v>
      </c>
      <c r="B268" s="59">
        <f>(((B263)/($F$1*B236*(B224+B232)))^0.25 + B262) - 273.15</f>
        <v>-160.2886911</v>
      </c>
      <c r="C268" s="52" t="s">
        <v>117</v>
      </c>
      <c r="D268" s="59">
        <f>(((D263)/($F$1*D236*(D224+D232)))^0.25 + D262) - 273.15</f>
        <v>-61.58389142</v>
      </c>
      <c r="E268" s="52" t="s">
        <v>117</v>
      </c>
      <c r="F268" s="1">
        <f>(((F263)/($F$1*F236*(F224+F232)))^0.25 + F262) - 273.15</f>
        <v>-42.41093977</v>
      </c>
      <c r="G268" s="52"/>
      <c r="H268" s="59"/>
      <c r="I268" s="1" t="s">
        <v>117</v>
      </c>
      <c r="J268" s="1">
        <f>(((J263)/($F$1*J236*(J224+J232)))^0.25 + J262) - 273.15</f>
        <v>-126.6180683</v>
      </c>
      <c r="L268" s="52" t="s">
        <v>117</v>
      </c>
      <c r="M268" s="59">
        <f>(((M263)/($F$1*M236*(M224+M232)))^0.25 + M262) - 273.15</f>
        <v>-160.2886911</v>
      </c>
      <c r="N268" s="52" t="s">
        <v>117</v>
      </c>
      <c r="O268" s="59">
        <f>(((O263)/($F$1*O236*(O224+O232)))^0.25 + O262) - 273.15</f>
        <v>-36.06792198</v>
      </c>
      <c r="P268" s="52" t="s">
        <v>117</v>
      </c>
      <c r="Q268" s="1">
        <f>(((Q263)/($F$1*Q236*(Q224+Q232)))^0.25 + Q262) - 273.15</f>
        <v>-42.41093977</v>
      </c>
      <c r="R268" s="52"/>
      <c r="S268" s="59"/>
      <c r="T268" s="52" t="s">
        <v>117</v>
      </c>
      <c r="U268" s="59">
        <f>(((U263)/($F$1*U236*(U224+U232)))^0.25 + U262) - 273.15</f>
        <v>-126.6180683</v>
      </c>
    </row>
    <row r="269" ht="15.75" customHeight="1">
      <c r="A269" s="68" t="s">
        <v>118</v>
      </c>
      <c r="B269" s="69">
        <f>(((B264)/($F$1*B236*(B224+B232)))^0.25 + B262) - 273.15</f>
        <v>-273.15</v>
      </c>
      <c r="C269" s="68" t="s">
        <v>118</v>
      </c>
      <c r="D269" s="69">
        <f>(((D264)/($F$1*D236*(D224+D232)))^0.25 + D262) - 273.15</f>
        <v>-66.44285574</v>
      </c>
      <c r="E269" s="68" t="s">
        <v>118</v>
      </c>
      <c r="F269" s="70">
        <f>(((F264)/($F$1*F236*(F224+F232)))^0.25 + F262) - 273.15</f>
        <v>-79.51685154</v>
      </c>
      <c r="G269" s="52"/>
      <c r="H269" s="59"/>
      <c r="I269" s="70" t="s">
        <v>118</v>
      </c>
      <c r="J269" s="70">
        <f>(((J264)/($F$1*J236*(J224+J232)))^0.25 + J262) - 273.15</f>
        <v>-166.8870022</v>
      </c>
      <c r="L269" s="68" t="s">
        <v>118</v>
      </c>
      <c r="M269" s="69">
        <f>(((M264)/($F$1*M236*(M224+M232)))^0.25 + M262) - 273.15</f>
        <v>-273.15</v>
      </c>
      <c r="N269" s="68" t="s">
        <v>118</v>
      </c>
      <c r="O269" s="69">
        <f>(((O264)/($F$1*O236*(O224+O232)))^0.25 + O262) - 273.15</f>
        <v>-41.51290259</v>
      </c>
      <c r="P269" s="68" t="s">
        <v>118</v>
      </c>
      <c r="Q269" s="70">
        <f>(((Q264)/($F$1*Q236*(Q224+Q232)))^0.25 + Q262) - 273.15</f>
        <v>-79.51685154</v>
      </c>
      <c r="R269" s="52"/>
      <c r="S269" s="59"/>
      <c r="T269" s="68" t="s">
        <v>118</v>
      </c>
      <c r="U269" s="69">
        <f>(((U264)/($F$1*U236*(U224+U232)))^0.25 + U262) - 273.15</f>
        <v>-166.8870022</v>
      </c>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A62:B62"/>
    <mergeCell ref="A114:B114"/>
    <mergeCell ref="C114:D114"/>
    <mergeCell ref="E114:F114"/>
    <mergeCell ref="G114:H114"/>
    <mergeCell ref="L114:M114"/>
    <mergeCell ref="A115:B116"/>
    <mergeCell ref="L115:M116"/>
    <mergeCell ref="I114:J114"/>
    <mergeCell ref="I115:J117"/>
    <mergeCell ref="C167:D167"/>
    <mergeCell ref="E167:F167"/>
    <mergeCell ref="G167:H167"/>
    <mergeCell ref="I167:J167"/>
    <mergeCell ref="G168:H169"/>
    <mergeCell ref="N220:O220"/>
    <mergeCell ref="P220:Q220"/>
    <mergeCell ref="R220:S220"/>
    <mergeCell ref="T220:U220"/>
    <mergeCell ref="R221:S222"/>
    <mergeCell ref="A167:B167"/>
    <mergeCell ref="A220:B220"/>
    <mergeCell ref="C220:D220"/>
    <mergeCell ref="E220:F220"/>
    <mergeCell ref="G220:H220"/>
    <mergeCell ref="I220:J220"/>
    <mergeCell ref="L220:M220"/>
    <mergeCell ref="G221:H222"/>
    <mergeCell ref="L10:M10"/>
    <mergeCell ref="N10:O10"/>
    <mergeCell ref="P10:Q10"/>
    <mergeCell ref="R10:S10"/>
    <mergeCell ref="R11:S12"/>
    <mergeCell ref="A1:A4"/>
    <mergeCell ref="L1:L4"/>
    <mergeCell ref="A9:J9"/>
    <mergeCell ref="L9:U9"/>
    <mergeCell ref="A10:B10"/>
    <mergeCell ref="C10:D10"/>
    <mergeCell ref="E10:F10"/>
    <mergeCell ref="T10:U10"/>
    <mergeCell ref="I62:J62"/>
    <mergeCell ref="L62:M62"/>
    <mergeCell ref="N62:O62"/>
    <mergeCell ref="P62:Q62"/>
    <mergeCell ref="R62:S62"/>
    <mergeCell ref="T62:U62"/>
    <mergeCell ref="R63:S64"/>
    <mergeCell ref="T63:U64"/>
    <mergeCell ref="G10:H10"/>
    <mergeCell ref="I10:J10"/>
    <mergeCell ref="G11:H12"/>
    <mergeCell ref="C62:D62"/>
    <mergeCell ref="E62:F62"/>
    <mergeCell ref="G62:H62"/>
    <mergeCell ref="G63:H64"/>
    <mergeCell ref="N114:O114"/>
    <mergeCell ref="P114:Q114"/>
    <mergeCell ref="R114:S114"/>
    <mergeCell ref="T114:U114"/>
    <mergeCell ref="T115:U117"/>
    <mergeCell ref="L167:M167"/>
    <mergeCell ref="N167:O167"/>
    <mergeCell ref="P167:Q167"/>
    <mergeCell ref="R167:S167"/>
    <mergeCell ref="T167:U167"/>
    <mergeCell ref="R168:S169"/>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4" width="10.71"/>
    <col customWidth="1" min="5" max="5" width="8.71"/>
    <col customWidth="1" min="6" max="6" width="11.86"/>
    <col customWidth="1" min="7" max="8" width="11.57"/>
    <col customWidth="1" min="9" max="31" width="8.71"/>
  </cols>
  <sheetData>
    <row r="1">
      <c r="B1" s="1" t="s">
        <v>145</v>
      </c>
      <c r="C1" s="1" t="s">
        <v>146</v>
      </c>
      <c r="D1" s="1" t="s">
        <v>147</v>
      </c>
      <c r="F1" s="1" t="s">
        <v>148</v>
      </c>
      <c r="G1" s="1" t="s">
        <v>149</v>
      </c>
      <c r="H1" s="1" t="s">
        <v>150</v>
      </c>
    </row>
    <row r="2">
      <c r="B2" s="79">
        <f>'Power Timeline (arch 1) (Beta A'!$H$9</f>
        <v>46172</v>
      </c>
      <c r="C2" s="79">
        <f>'Power Timeline (arch 1) (Beta A'!$H$10</f>
        <v>46172</v>
      </c>
      <c r="D2" s="79">
        <f>'Power Timeline (arch 1) (Beta A'!$H$11</f>
        <v>46172</v>
      </c>
      <c r="F2" s="1">
        <f>'Power Timeline (arch 1) (Beta A'!$F$9*(1/2)^(('Power Graphs'!B2-'Power Graphs'!B$2)*24/('Power Timeline (arch 1) (Beta A'!$G$9*365*24))</f>
        <v>10000</v>
      </c>
      <c r="G2" s="1">
        <f>'Power Timeline (arch 1) (Beta A'!$F$10*(1/2)^(('Power Graphs'!C2-'Power Graphs'!C$2)*24/('Power Timeline (arch 1) (Beta A'!$G$10*365*24))</f>
        <v>500</v>
      </c>
      <c r="H2" s="1">
        <f>'Power Timeline (arch 1) (Beta A'!$F$11*(1/2)^(('Power Graphs'!D2-'Power Graphs'!D$2)*24/('Power Timeline (arch 1) (Beta A'!$G$11*365*24))</f>
        <v>500</v>
      </c>
    </row>
    <row r="3">
      <c r="B3" s="79">
        <f t="shared" ref="B3:D3" si="1">B2+25</f>
        <v>46197</v>
      </c>
      <c r="C3" s="79">
        <f t="shared" si="1"/>
        <v>46197</v>
      </c>
      <c r="D3" s="79">
        <f t="shared" si="1"/>
        <v>46197</v>
      </c>
      <c r="F3" s="1">
        <f>'Power Timeline (arch 1) (Beta A'!$F$9*(1/2)^(('Power Graphs'!B3-'Power Graphs'!B$2)*24/('Power Timeline (arch 1) (Beta A'!$G$9*365*24))</f>
        <v>9999.999999</v>
      </c>
      <c r="G3" s="1">
        <f>'Power Timeline (arch 1) (Beta A'!$F$10*(1/2)^(('Power Graphs'!C3-'Power Graphs'!C$2)*24/('Power Timeline (arch 1) (Beta A'!$G$10*365*24))</f>
        <v>499.7294014</v>
      </c>
      <c r="H3" s="1">
        <f>'Power Timeline (arch 1) (Beta A'!$F$11*(1/2)^(('Power Graphs'!D3-'Power Graphs'!D$2)*24/('Power Timeline (arch 1) (Beta A'!$G$11*365*24))</f>
        <v>499.7294014</v>
      </c>
    </row>
    <row r="4">
      <c r="B4" s="79">
        <f t="shared" ref="B4:D4" si="2">B3+25</f>
        <v>46222</v>
      </c>
      <c r="C4" s="79">
        <f t="shared" si="2"/>
        <v>46222</v>
      </c>
      <c r="D4" s="79">
        <f t="shared" si="2"/>
        <v>46222</v>
      </c>
      <c r="F4" s="1">
        <f>'Power Timeline (arch 1) (Beta A'!$F$9*(1/2)^(('Power Graphs'!B4-'Power Graphs'!B$2)*24/('Power Timeline (arch 1) (Beta A'!$G$9*365*24))</f>
        <v>9999.999999</v>
      </c>
      <c r="G4" s="1">
        <f>'Power Timeline (arch 1) (Beta A'!$F$10*(1/2)^(('Power Graphs'!C4-'Power Graphs'!C$2)*24/('Power Timeline (arch 1) (Beta A'!$G$10*365*24))</f>
        <v>499.4589493</v>
      </c>
      <c r="H4" s="1">
        <f>'Power Timeline (arch 1) (Beta A'!$F$11*(1/2)^(('Power Graphs'!D4-'Power Graphs'!D$2)*24/('Power Timeline (arch 1) (Beta A'!$G$11*365*24))</f>
        <v>499.4589493</v>
      </c>
    </row>
    <row r="5">
      <c r="B5" s="79">
        <f t="shared" ref="B5:D5" si="3">B4+25</f>
        <v>46247</v>
      </c>
      <c r="C5" s="79">
        <f t="shared" si="3"/>
        <v>46247</v>
      </c>
      <c r="D5" s="79">
        <f t="shared" si="3"/>
        <v>46247</v>
      </c>
      <c r="F5" s="1">
        <f>'Power Timeline (arch 1) (Beta A'!$F$9*(1/2)^(('Power Graphs'!B5-'Power Graphs'!B$2)*24/('Power Timeline (arch 1) (Beta A'!$G$9*365*24))</f>
        <v>9999.999998</v>
      </c>
      <c r="G5" s="1">
        <f>'Power Timeline (arch 1) (Beta A'!$F$10*(1/2)^(('Power Graphs'!C5-'Power Graphs'!C$2)*24/('Power Timeline (arch 1) (Beta A'!$G$10*365*24))</f>
        <v>499.1886436</v>
      </c>
      <c r="H5" s="1">
        <f>'Power Timeline (arch 1) (Beta A'!$F$11*(1/2)^(('Power Graphs'!D5-'Power Graphs'!D$2)*24/('Power Timeline (arch 1) (Beta A'!$G$11*365*24))</f>
        <v>499.1886436</v>
      </c>
    </row>
    <row r="6">
      <c r="B6" s="79">
        <f t="shared" ref="B6:D6" si="4">B5+25</f>
        <v>46272</v>
      </c>
      <c r="C6" s="79">
        <f t="shared" si="4"/>
        <v>46272</v>
      </c>
      <c r="D6" s="79">
        <f t="shared" si="4"/>
        <v>46272</v>
      </c>
      <c r="F6" s="1">
        <f>'Power Timeline (arch 1) (Beta A'!$F$9*(1/2)^(('Power Graphs'!B6-'Power Graphs'!B$2)*24/('Power Timeline (arch 1) (Beta A'!$G$9*365*24))</f>
        <v>9999.999997</v>
      </c>
      <c r="G6" s="1">
        <f>'Power Timeline (arch 1) (Beta A'!$F$10*(1/2)^(('Power Graphs'!C6-'Power Graphs'!C$2)*24/('Power Timeline (arch 1) (Beta A'!$G$10*365*24))</f>
        <v>498.9184842</v>
      </c>
      <c r="H6" s="1">
        <f>'Power Timeline (arch 1) (Beta A'!$F$11*(1/2)^(('Power Graphs'!D6-'Power Graphs'!D$2)*24/('Power Timeline (arch 1) (Beta A'!$G$11*365*24))</f>
        <v>498.9184842</v>
      </c>
    </row>
    <row r="7">
      <c r="B7" s="79">
        <f t="shared" ref="B7:D7" si="5">B6+25</f>
        <v>46297</v>
      </c>
      <c r="C7" s="79">
        <f t="shared" si="5"/>
        <v>46297</v>
      </c>
      <c r="D7" s="79">
        <f t="shared" si="5"/>
        <v>46297</v>
      </c>
      <c r="F7" s="1">
        <f>'Power Timeline (arch 1) (Beta A'!$F$9*(1/2)^(('Power Graphs'!B7-'Power Graphs'!B$2)*24/('Power Timeline (arch 1) (Beta A'!$G$9*365*24))</f>
        <v>9999.999997</v>
      </c>
      <c r="G7" s="1">
        <f>'Power Timeline (arch 1) (Beta A'!$F$10*(1/2)^(('Power Graphs'!C7-'Power Graphs'!C$2)*24/('Power Timeline (arch 1) (Beta A'!$G$10*365*24))</f>
        <v>498.6484709</v>
      </c>
      <c r="H7" s="1">
        <f>'Power Timeline (arch 1) (Beta A'!$F$11*(1/2)^(('Power Graphs'!D7-'Power Graphs'!D$2)*24/('Power Timeline (arch 1) (Beta A'!$G$11*365*24))</f>
        <v>498.6484709</v>
      </c>
    </row>
    <row r="8">
      <c r="B8" s="79">
        <f t="shared" ref="B8:D8" si="6">B7+25</f>
        <v>46322</v>
      </c>
      <c r="C8" s="79">
        <f t="shared" si="6"/>
        <v>46322</v>
      </c>
      <c r="D8" s="79">
        <f t="shared" si="6"/>
        <v>46322</v>
      </c>
      <c r="F8" s="1">
        <f>'Power Timeline (arch 1) (Beta A'!$F$9*(1/2)^(('Power Graphs'!B8-'Power Graphs'!B$2)*24/('Power Timeline (arch 1) (Beta A'!$G$9*365*24))</f>
        <v>9999.999996</v>
      </c>
      <c r="G8" s="1">
        <f>'Power Timeline (arch 1) (Beta A'!$F$10*(1/2)^(('Power Graphs'!C8-'Power Graphs'!C$2)*24/('Power Timeline (arch 1) (Beta A'!$G$10*365*24))</f>
        <v>498.3786038</v>
      </c>
      <c r="H8" s="1">
        <f>'Power Timeline (arch 1) (Beta A'!$F$11*(1/2)^(('Power Graphs'!D8-'Power Graphs'!D$2)*24/('Power Timeline (arch 1) (Beta A'!$G$11*365*24))</f>
        <v>498.3786038</v>
      </c>
    </row>
    <row r="9">
      <c r="B9" s="79">
        <f t="shared" ref="B9:D9" si="7">B8+25</f>
        <v>46347</v>
      </c>
      <c r="C9" s="79">
        <f t="shared" si="7"/>
        <v>46347</v>
      </c>
      <c r="D9" s="79">
        <f t="shared" si="7"/>
        <v>46347</v>
      </c>
      <c r="F9" s="1">
        <f>'Power Timeline (arch 1) (Beta A'!$F$9*(1/2)^(('Power Graphs'!B9-'Power Graphs'!B$2)*24/('Power Timeline (arch 1) (Beta A'!$G$9*365*24))</f>
        <v>9999.999995</v>
      </c>
      <c r="G9" s="1">
        <f>'Power Timeline (arch 1) (Beta A'!$F$10*(1/2)^(('Power Graphs'!C9-'Power Graphs'!C$2)*24/('Power Timeline (arch 1) (Beta A'!$G$10*365*24))</f>
        <v>498.1088827</v>
      </c>
      <c r="H9" s="1">
        <f>'Power Timeline (arch 1) (Beta A'!$F$11*(1/2)^(('Power Graphs'!D9-'Power Graphs'!D$2)*24/('Power Timeline (arch 1) (Beta A'!$G$11*365*24))</f>
        <v>498.1088827</v>
      </c>
    </row>
    <row r="10">
      <c r="B10" s="79">
        <f t="shared" ref="B10:D10" si="8">B9+25</f>
        <v>46372</v>
      </c>
      <c r="C10" s="79">
        <f t="shared" si="8"/>
        <v>46372</v>
      </c>
      <c r="D10" s="79">
        <f t="shared" si="8"/>
        <v>46372</v>
      </c>
      <c r="F10" s="1">
        <f>'Power Timeline (arch 1) (Beta A'!$F$9*(1/2)^(('Power Graphs'!B10-'Power Graphs'!B$2)*24/('Power Timeline (arch 1) (Beta A'!$G$9*365*24))</f>
        <v>9999.999995</v>
      </c>
      <c r="G10" s="1">
        <f>'Power Timeline (arch 1) (Beta A'!$F$10*(1/2)^(('Power Graphs'!C10-'Power Graphs'!C$2)*24/('Power Timeline (arch 1) (Beta A'!$G$10*365*24))</f>
        <v>497.8393077</v>
      </c>
      <c r="H10" s="1">
        <f>'Power Timeline (arch 1) (Beta A'!$F$11*(1/2)^(('Power Graphs'!D10-'Power Graphs'!D$2)*24/('Power Timeline (arch 1) (Beta A'!$G$11*365*24))</f>
        <v>497.8393077</v>
      </c>
    </row>
    <row r="11">
      <c r="B11" s="79">
        <f t="shared" ref="B11:D11" si="9">B10+25</f>
        <v>46397</v>
      </c>
      <c r="C11" s="79">
        <f t="shared" si="9"/>
        <v>46397</v>
      </c>
      <c r="D11" s="79">
        <f t="shared" si="9"/>
        <v>46397</v>
      </c>
      <c r="F11" s="1">
        <f>'Power Timeline (arch 1) (Beta A'!$F$9*(1/2)^(('Power Graphs'!B11-'Power Graphs'!B$2)*24/('Power Timeline (arch 1) (Beta A'!$G$9*365*24))</f>
        <v>9999.999994</v>
      </c>
      <c r="G11" s="1">
        <f>'Power Timeline (arch 1) (Beta A'!$F$10*(1/2)^(('Power Graphs'!C11-'Power Graphs'!C$2)*24/('Power Timeline (arch 1) (Beta A'!$G$10*365*24))</f>
        <v>497.5698785</v>
      </c>
      <c r="H11" s="1">
        <f>'Power Timeline (arch 1) (Beta A'!$F$11*(1/2)^(('Power Graphs'!D11-'Power Graphs'!D$2)*24/('Power Timeline (arch 1) (Beta A'!$G$11*365*24))</f>
        <v>497.5698785</v>
      </c>
    </row>
    <row r="12">
      <c r="B12" s="79">
        <f t="shared" ref="B12:D12" si="10">B11+25</f>
        <v>46422</v>
      </c>
      <c r="C12" s="79">
        <f t="shared" si="10"/>
        <v>46422</v>
      </c>
      <c r="D12" s="79">
        <f t="shared" si="10"/>
        <v>46422</v>
      </c>
      <c r="F12" s="1">
        <f>'Power Timeline (arch 1) (Beta A'!$F$9*(1/2)^(('Power Graphs'!B12-'Power Graphs'!B$2)*24/('Power Timeline (arch 1) (Beta A'!$G$9*365*24))</f>
        <v>9999.999993</v>
      </c>
      <c r="G12" s="1">
        <f>'Power Timeline (arch 1) (Beta A'!$F$10*(1/2)^(('Power Graphs'!C12-'Power Graphs'!C$2)*24/('Power Timeline (arch 1) (Beta A'!$G$10*365*24))</f>
        <v>497.3005951</v>
      </c>
      <c r="H12" s="1">
        <f>'Power Timeline (arch 1) (Beta A'!$F$11*(1/2)^(('Power Graphs'!D12-'Power Graphs'!D$2)*24/('Power Timeline (arch 1) (Beta A'!$G$11*365*24))</f>
        <v>497.3005951</v>
      </c>
    </row>
    <row r="13">
      <c r="B13" s="79">
        <f t="shared" ref="B13:D13" si="11">B12+25</f>
        <v>46447</v>
      </c>
      <c r="C13" s="79">
        <f t="shared" si="11"/>
        <v>46447</v>
      </c>
      <c r="D13" s="79">
        <f t="shared" si="11"/>
        <v>46447</v>
      </c>
      <c r="F13" s="1">
        <f>'Power Timeline (arch 1) (Beta A'!$F$9*(1/2)^(('Power Graphs'!B13-'Power Graphs'!B$2)*24/('Power Timeline (arch 1) (Beta A'!$G$9*365*24))</f>
        <v>9999.999993</v>
      </c>
      <c r="G13" s="1">
        <f>'Power Timeline (arch 1) (Beta A'!$F$10*(1/2)^(('Power Graphs'!C13-'Power Graphs'!C$2)*24/('Power Timeline (arch 1) (Beta A'!$G$10*365*24))</f>
        <v>497.0314574</v>
      </c>
      <c r="H13" s="1">
        <f>'Power Timeline (arch 1) (Beta A'!$F$11*(1/2)^(('Power Graphs'!D13-'Power Graphs'!D$2)*24/('Power Timeline (arch 1) (Beta A'!$G$11*365*24))</f>
        <v>497.0314574</v>
      </c>
    </row>
    <row r="14">
      <c r="B14" s="79">
        <f t="shared" ref="B14:D14" si="12">B13+25</f>
        <v>46472</v>
      </c>
      <c r="C14" s="79">
        <f t="shared" si="12"/>
        <v>46472</v>
      </c>
      <c r="D14" s="79">
        <f t="shared" si="12"/>
        <v>46472</v>
      </c>
      <c r="F14" s="1">
        <f>'Power Timeline (arch 1) (Beta A'!$F$9*(1/2)^(('Power Graphs'!B14-'Power Graphs'!B$2)*24/('Power Timeline (arch 1) (Beta A'!$G$9*365*24))</f>
        <v>9999.999992</v>
      </c>
      <c r="G14" s="1">
        <f>'Power Timeline (arch 1) (Beta A'!$F$10*(1/2)^(('Power Graphs'!C14-'Power Graphs'!C$2)*24/('Power Timeline (arch 1) (Beta A'!$G$10*365*24))</f>
        <v>496.7624655</v>
      </c>
      <c r="H14" s="1">
        <f>'Power Timeline (arch 1) (Beta A'!$F$11*(1/2)^(('Power Graphs'!D14-'Power Graphs'!D$2)*24/('Power Timeline (arch 1) (Beta A'!$G$11*365*24))</f>
        <v>496.7624655</v>
      </c>
    </row>
    <row r="15">
      <c r="B15" s="79">
        <f t="shared" ref="B15:D15" si="13">B14+25</f>
        <v>46497</v>
      </c>
      <c r="C15" s="79">
        <f t="shared" si="13"/>
        <v>46497</v>
      </c>
      <c r="D15" s="79">
        <f t="shared" si="13"/>
        <v>46497</v>
      </c>
      <c r="F15" s="1">
        <f>'Power Timeline (arch 1) (Beta A'!$F$9*(1/2)^(('Power Graphs'!B15-'Power Graphs'!B$2)*24/('Power Timeline (arch 1) (Beta A'!$G$9*365*24))</f>
        <v>9999.999991</v>
      </c>
      <c r="G15" s="1">
        <f>'Power Timeline (arch 1) (Beta A'!$F$10*(1/2)^(('Power Graphs'!C15-'Power Graphs'!C$2)*24/('Power Timeline (arch 1) (Beta A'!$G$10*365*24))</f>
        <v>496.493619</v>
      </c>
      <c r="H15" s="1">
        <f>'Power Timeline (arch 1) (Beta A'!$F$11*(1/2)^(('Power Graphs'!D15-'Power Graphs'!D$2)*24/('Power Timeline (arch 1) (Beta A'!$G$11*365*24))</f>
        <v>496.493619</v>
      </c>
    </row>
    <row r="16">
      <c r="B16" s="79">
        <f t="shared" ref="B16:D16" si="14">B15+25</f>
        <v>46522</v>
      </c>
      <c r="C16" s="79">
        <f t="shared" si="14"/>
        <v>46522</v>
      </c>
      <c r="D16" s="79">
        <f t="shared" si="14"/>
        <v>46522</v>
      </c>
      <c r="F16" s="1">
        <f>'Power Timeline (arch 1) (Beta A'!$F$9*(1/2)^(('Power Graphs'!B16-'Power Graphs'!B$2)*24/('Power Timeline (arch 1) (Beta A'!$G$9*365*24))</f>
        <v>9999.999991</v>
      </c>
      <c r="G16" s="1">
        <f>'Power Timeline (arch 1) (Beta A'!$F$10*(1/2)^(('Power Graphs'!C16-'Power Graphs'!C$2)*24/('Power Timeline (arch 1) (Beta A'!$G$10*365*24))</f>
        <v>496.2249181</v>
      </c>
      <c r="H16" s="1">
        <f>'Power Timeline (arch 1) (Beta A'!$F$11*(1/2)^(('Power Graphs'!D16-'Power Graphs'!D$2)*24/('Power Timeline (arch 1) (Beta A'!$G$11*365*24))</f>
        <v>496.2249181</v>
      </c>
    </row>
    <row r="17">
      <c r="B17" s="79">
        <f t="shared" ref="B17:D17" si="15">B16+25</f>
        <v>46547</v>
      </c>
      <c r="C17" s="79">
        <f t="shared" si="15"/>
        <v>46547</v>
      </c>
      <c r="D17" s="79">
        <f t="shared" si="15"/>
        <v>46547</v>
      </c>
      <c r="F17" s="1">
        <f>'Power Timeline (arch 1) (Beta A'!$F$9*(1/2)^(('Power Graphs'!B17-'Power Graphs'!B$2)*24/('Power Timeline (arch 1) (Beta A'!$G$9*365*24))</f>
        <v>9999.99999</v>
      </c>
      <c r="G17" s="1">
        <f>'Power Timeline (arch 1) (Beta A'!$F$10*(1/2)^(('Power Graphs'!C17-'Power Graphs'!C$2)*24/('Power Timeline (arch 1) (Beta A'!$G$10*365*24))</f>
        <v>495.9563626</v>
      </c>
      <c r="H17" s="1">
        <f>'Power Timeline (arch 1) (Beta A'!$F$11*(1/2)^(('Power Graphs'!D17-'Power Graphs'!D$2)*24/('Power Timeline (arch 1) (Beta A'!$G$11*365*24))</f>
        <v>495.9563626</v>
      </c>
    </row>
    <row r="18">
      <c r="B18" s="79">
        <f t="shared" ref="B18:D18" si="16">B17+25</f>
        <v>46572</v>
      </c>
      <c r="C18" s="79">
        <f t="shared" si="16"/>
        <v>46572</v>
      </c>
      <c r="D18" s="79">
        <f t="shared" si="16"/>
        <v>46572</v>
      </c>
      <c r="F18" s="1">
        <f>'Power Timeline (arch 1) (Beta A'!$F$9*(1/2)^(('Power Graphs'!B18-'Power Graphs'!B$2)*24/('Power Timeline (arch 1) (Beta A'!$G$9*365*24))</f>
        <v>9999.999989</v>
      </c>
      <c r="G18" s="1">
        <f>'Power Timeline (arch 1) (Beta A'!$F$10*(1/2)^(('Power Graphs'!C18-'Power Graphs'!C$2)*24/('Power Timeline (arch 1) (Beta A'!$G$10*365*24))</f>
        <v>495.6879525</v>
      </c>
      <c r="H18" s="1">
        <f>'Power Timeline (arch 1) (Beta A'!$F$11*(1/2)^(('Power Graphs'!D18-'Power Graphs'!D$2)*24/('Power Timeline (arch 1) (Beta A'!$G$11*365*24))</f>
        <v>495.6879525</v>
      </c>
    </row>
    <row r="19">
      <c r="B19" s="79">
        <f t="shared" ref="B19:D19" si="17">B18+25</f>
        <v>46597</v>
      </c>
      <c r="C19" s="79">
        <f t="shared" si="17"/>
        <v>46597</v>
      </c>
      <c r="D19" s="79">
        <f t="shared" si="17"/>
        <v>46597</v>
      </c>
      <c r="F19" s="1">
        <f>'Power Timeline (arch 1) (Beta A'!$F$9*(1/2)^(('Power Graphs'!B19-'Power Graphs'!B$2)*24/('Power Timeline (arch 1) (Beta A'!$G$9*365*24))</f>
        <v>9999.999988</v>
      </c>
      <c r="G19" s="1">
        <f>'Power Timeline (arch 1) (Beta A'!$F$10*(1/2)^(('Power Graphs'!C19-'Power Graphs'!C$2)*24/('Power Timeline (arch 1) (Beta A'!$G$10*365*24))</f>
        <v>495.4196876</v>
      </c>
      <c r="H19" s="1">
        <f>'Power Timeline (arch 1) (Beta A'!$F$11*(1/2)^(('Power Graphs'!D19-'Power Graphs'!D$2)*24/('Power Timeline (arch 1) (Beta A'!$G$11*365*24))</f>
        <v>495.4196876</v>
      </c>
    </row>
    <row r="20">
      <c r="B20" s="79">
        <f t="shared" ref="B20:D20" si="18">B19+25</f>
        <v>46622</v>
      </c>
      <c r="C20" s="79">
        <f t="shared" si="18"/>
        <v>46622</v>
      </c>
      <c r="D20" s="79">
        <f t="shared" si="18"/>
        <v>46622</v>
      </c>
      <c r="F20" s="1">
        <f>'Power Timeline (arch 1) (Beta A'!$F$9*(1/2)^(('Power Graphs'!B20-'Power Graphs'!B$2)*24/('Power Timeline (arch 1) (Beta A'!$G$9*365*24))</f>
        <v>9999.999988</v>
      </c>
      <c r="G20" s="1">
        <f>'Power Timeline (arch 1) (Beta A'!$F$10*(1/2)^(('Power Graphs'!C20-'Power Graphs'!C$2)*24/('Power Timeline (arch 1) (Beta A'!$G$10*365*24))</f>
        <v>495.1515679</v>
      </c>
      <c r="H20" s="1">
        <f>'Power Timeline (arch 1) (Beta A'!$F$11*(1/2)^(('Power Graphs'!D20-'Power Graphs'!D$2)*24/('Power Timeline (arch 1) (Beta A'!$G$11*365*24))</f>
        <v>495.1515679</v>
      </c>
    </row>
    <row r="21" ht="15.75" customHeight="1">
      <c r="B21" s="79">
        <f t="shared" ref="B21:D21" si="19">B20+25</f>
        <v>46647</v>
      </c>
      <c r="C21" s="79">
        <f t="shared" si="19"/>
        <v>46647</v>
      </c>
      <c r="D21" s="79">
        <f t="shared" si="19"/>
        <v>46647</v>
      </c>
      <c r="F21" s="1">
        <f>'Power Timeline (arch 1) (Beta A'!$F$9*(1/2)^(('Power Graphs'!B21-'Power Graphs'!B$2)*24/('Power Timeline (arch 1) (Beta A'!$G$9*365*24))</f>
        <v>9999.999987</v>
      </c>
      <c r="G21" s="1">
        <f>'Power Timeline (arch 1) (Beta A'!$F$10*(1/2)^(('Power Graphs'!C21-'Power Graphs'!C$2)*24/('Power Timeline (arch 1) (Beta A'!$G$10*365*24))</f>
        <v>494.8835933</v>
      </c>
      <c r="H21" s="1">
        <f>'Power Timeline (arch 1) (Beta A'!$F$11*(1/2)^(('Power Graphs'!D21-'Power Graphs'!D$2)*24/('Power Timeline (arch 1) (Beta A'!$G$11*365*24))</f>
        <v>494.8835933</v>
      </c>
    </row>
    <row r="22" ht="15.75" customHeight="1">
      <c r="B22" s="79">
        <f t="shared" ref="B22:D22" si="20">B21+25</f>
        <v>46672</v>
      </c>
      <c r="C22" s="79">
        <f t="shared" si="20"/>
        <v>46672</v>
      </c>
      <c r="D22" s="79">
        <f t="shared" si="20"/>
        <v>46672</v>
      </c>
      <c r="F22" s="1">
        <f>'Power Timeline (arch 1) (Beta A'!$F$9*(1/2)^(('Power Graphs'!B22-'Power Graphs'!B$2)*24/('Power Timeline (arch 1) (Beta A'!$G$9*365*24))</f>
        <v>9999.999986</v>
      </c>
      <c r="G22" s="1">
        <f>'Power Timeline (arch 1) (Beta A'!$F$10*(1/2)^(('Power Graphs'!C22-'Power Graphs'!C$2)*24/('Power Timeline (arch 1) (Beta A'!$G$10*365*24))</f>
        <v>494.6157637</v>
      </c>
      <c r="H22" s="1">
        <f>'Power Timeline (arch 1) (Beta A'!$F$11*(1/2)^(('Power Graphs'!D22-'Power Graphs'!D$2)*24/('Power Timeline (arch 1) (Beta A'!$G$11*365*24))</f>
        <v>494.6157637</v>
      </c>
    </row>
    <row r="23" ht="15.75" customHeight="1">
      <c r="B23" s="79">
        <f t="shared" ref="B23:D23" si="21">B22+25</f>
        <v>46697</v>
      </c>
      <c r="C23" s="79">
        <f t="shared" si="21"/>
        <v>46697</v>
      </c>
      <c r="D23" s="79">
        <f t="shared" si="21"/>
        <v>46697</v>
      </c>
      <c r="F23" s="1">
        <f>'Power Timeline (arch 1) (Beta A'!$F$9*(1/2)^(('Power Graphs'!B23-'Power Graphs'!B$2)*24/('Power Timeline (arch 1) (Beta A'!$G$9*365*24))</f>
        <v>9999.999986</v>
      </c>
      <c r="G23" s="1">
        <f>'Power Timeline (arch 1) (Beta A'!$F$10*(1/2)^(('Power Graphs'!C23-'Power Graphs'!C$2)*24/('Power Timeline (arch 1) (Beta A'!$G$10*365*24))</f>
        <v>494.3480791</v>
      </c>
      <c r="H23" s="1">
        <f>'Power Timeline (arch 1) (Beta A'!$F$11*(1/2)^(('Power Graphs'!D23-'Power Graphs'!D$2)*24/('Power Timeline (arch 1) (Beta A'!$G$11*365*24))</f>
        <v>494.3480791</v>
      </c>
    </row>
    <row r="24" ht="15.75" customHeight="1">
      <c r="B24" s="79">
        <f t="shared" ref="B24:D24" si="22">B23+25</f>
        <v>46722</v>
      </c>
      <c r="C24" s="79">
        <f t="shared" si="22"/>
        <v>46722</v>
      </c>
      <c r="D24" s="79">
        <f t="shared" si="22"/>
        <v>46722</v>
      </c>
      <c r="F24" s="1">
        <f>'Power Timeline (arch 1) (Beta A'!$F$9*(1/2)^(('Power Graphs'!B24-'Power Graphs'!B$2)*24/('Power Timeline (arch 1) (Beta A'!$G$9*365*24))</f>
        <v>9999.999985</v>
      </c>
      <c r="G24" s="1">
        <f>'Power Timeline (arch 1) (Beta A'!$F$10*(1/2)^(('Power Graphs'!C24-'Power Graphs'!C$2)*24/('Power Timeline (arch 1) (Beta A'!$G$10*365*24))</f>
        <v>494.0805394</v>
      </c>
      <c r="H24" s="1">
        <f>'Power Timeline (arch 1) (Beta A'!$F$11*(1/2)^(('Power Graphs'!D24-'Power Graphs'!D$2)*24/('Power Timeline (arch 1) (Beta A'!$G$11*365*24))</f>
        <v>494.0805394</v>
      </c>
    </row>
    <row r="25" ht="15.75" customHeight="1">
      <c r="B25" s="79">
        <f t="shared" ref="B25:D25" si="23">B24+25</f>
        <v>46747</v>
      </c>
      <c r="C25" s="79">
        <f t="shared" si="23"/>
        <v>46747</v>
      </c>
      <c r="D25" s="79">
        <f t="shared" si="23"/>
        <v>46747</v>
      </c>
      <c r="F25" s="1">
        <f>'Power Timeline (arch 1) (Beta A'!$F$9*(1/2)^(('Power Graphs'!B25-'Power Graphs'!B$2)*24/('Power Timeline (arch 1) (Beta A'!$G$9*365*24))</f>
        <v>9999.999984</v>
      </c>
      <c r="G25" s="1">
        <f>'Power Timeline (arch 1) (Beta A'!$F$10*(1/2)^(('Power Graphs'!C25-'Power Graphs'!C$2)*24/('Power Timeline (arch 1) (Beta A'!$G$10*365*24))</f>
        <v>493.8131444</v>
      </c>
      <c r="H25" s="1">
        <f>'Power Timeline (arch 1) (Beta A'!$F$11*(1/2)^(('Power Graphs'!D25-'Power Graphs'!D$2)*24/('Power Timeline (arch 1) (Beta A'!$G$11*365*24))</f>
        <v>493.8131444</v>
      </c>
    </row>
    <row r="26" ht="15.75" customHeight="1">
      <c r="B26" s="79">
        <f t="shared" ref="B26:D26" si="24">B25+25</f>
        <v>46772</v>
      </c>
      <c r="C26" s="79">
        <f t="shared" si="24"/>
        <v>46772</v>
      </c>
      <c r="D26" s="79">
        <f t="shared" si="24"/>
        <v>46772</v>
      </c>
      <c r="F26" s="1">
        <f>'Power Timeline (arch 1) (Beta A'!$F$9*(1/2)^(('Power Graphs'!B26-'Power Graphs'!B$2)*24/('Power Timeline (arch 1) (Beta A'!$G$9*365*24))</f>
        <v>9999.999984</v>
      </c>
      <c r="G26" s="1">
        <f>'Power Timeline (arch 1) (Beta A'!$F$10*(1/2)^(('Power Graphs'!C26-'Power Graphs'!C$2)*24/('Power Timeline (arch 1) (Beta A'!$G$10*365*24))</f>
        <v>493.5458942</v>
      </c>
      <c r="H26" s="1">
        <f>'Power Timeline (arch 1) (Beta A'!$F$11*(1/2)^(('Power Graphs'!D26-'Power Graphs'!D$2)*24/('Power Timeline (arch 1) (Beta A'!$G$11*365*24))</f>
        <v>493.5458942</v>
      </c>
    </row>
    <row r="27" ht="15.75" customHeight="1">
      <c r="B27" s="79">
        <f t="shared" ref="B27:D27" si="25">B26+25</f>
        <v>46797</v>
      </c>
      <c r="C27" s="79">
        <f t="shared" si="25"/>
        <v>46797</v>
      </c>
      <c r="D27" s="79">
        <f t="shared" si="25"/>
        <v>46797</v>
      </c>
      <c r="F27" s="1">
        <f>'Power Timeline (arch 1) (Beta A'!$F$9*(1/2)^(('Power Graphs'!B27-'Power Graphs'!B$2)*24/('Power Timeline (arch 1) (Beta A'!$G$9*365*24))</f>
        <v>9999.999983</v>
      </c>
      <c r="G27" s="1">
        <f>'Power Timeline (arch 1) (Beta A'!$F$10*(1/2)^(('Power Graphs'!C27-'Power Graphs'!C$2)*24/('Power Timeline (arch 1) (Beta A'!$G$10*365*24))</f>
        <v>493.2787886</v>
      </c>
      <c r="H27" s="1">
        <f>'Power Timeline (arch 1) (Beta A'!$F$11*(1/2)^(('Power Graphs'!D27-'Power Graphs'!D$2)*24/('Power Timeline (arch 1) (Beta A'!$G$11*365*24))</f>
        <v>493.2787886</v>
      </c>
    </row>
    <row r="28" ht="15.75" customHeight="1">
      <c r="B28" s="79">
        <f t="shared" ref="B28:D28" si="26">B27+25</f>
        <v>46822</v>
      </c>
      <c r="C28" s="79">
        <f t="shared" si="26"/>
        <v>46822</v>
      </c>
      <c r="D28" s="79">
        <f t="shared" si="26"/>
        <v>46822</v>
      </c>
      <c r="F28" s="1">
        <f>'Power Timeline (arch 1) (Beta A'!$F$9*(1/2)^(('Power Graphs'!B28-'Power Graphs'!B$2)*24/('Power Timeline (arch 1) (Beta A'!$G$9*365*24))</f>
        <v>9999.999982</v>
      </c>
      <c r="G28" s="1">
        <f>'Power Timeline (arch 1) (Beta A'!$F$10*(1/2)^(('Power Graphs'!C28-'Power Graphs'!C$2)*24/('Power Timeline (arch 1) (Beta A'!$G$10*365*24))</f>
        <v>493.0118275</v>
      </c>
      <c r="H28" s="1">
        <f>'Power Timeline (arch 1) (Beta A'!$F$11*(1/2)^(('Power Graphs'!D28-'Power Graphs'!D$2)*24/('Power Timeline (arch 1) (Beta A'!$G$11*365*24))</f>
        <v>493.0118275</v>
      </c>
    </row>
    <row r="29" ht="15.75" customHeight="1">
      <c r="B29" s="79">
        <f t="shared" ref="B29:D29" si="27">B28+25</f>
        <v>46847</v>
      </c>
      <c r="C29" s="79">
        <f t="shared" si="27"/>
        <v>46847</v>
      </c>
      <c r="D29" s="79">
        <f t="shared" si="27"/>
        <v>46847</v>
      </c>
      <c r="F29" s="1">
        <f>'Power Timeline (arch 1) (Beta A'!$F$9*(1/2)^(('Power Graphs'!B29-'Power Graphs'!B$2)*24/('Power Timeline (arch 1) (Beta A'!$G$9*365*24))</f>
        <v>9999.999982</v>
      </c>
      <c r="G29" s="1">
        <f>'Power Timeline (arch 1) (Beta A'!$F$10*(1/2)^(('Power Graphs'!C29-'Power Graphs'!C$2)*24/('Power Timeline (arch 1) (Beta A'!$G$10*365*24))</f>
        <v>492.7450109</v>
      </c>
      <c r="H29" s="1">
        <f>'Power Timeline (arch 1) (Beta A'!$F$11*(1/2)^(('Power Graphs'!D29-'Power Graphs'!D$2)*24/('Power Timeline (arch 1) (Beta A'!$G$11*365*24))</f>
        <v>492.7450109</v>
      </c>
    </row>
    <row r="30" ht="15.75" customHeight="1">
      <c r="B30" s="79">
        <f t="shared" ref="B30:D30" si="28">B29+25</f>
        <v>46872</v>
      </c>
      <c r="C30" s="79">
        <f t="shared" si="28"/>
        <v>46872</v>
      </c>
      <c r="D30" s="79">
        <f t="shared" si="28"/>
        <v>46872</v>
      </c>
      <c r="F30" s="1">
        <f>'Power Timeline (arch 1) (Beta A'!$F$9*(1/2)^(('Power Graphs'!B30-'Power Graphs'!B$2)*24/('Power Timeline (arch 1) (Beta A'!$G$9*365*24))</f>
        <v>9999.999981</v>
      </c>
      <c r="G30" s="1">
        <f>'Power Timeline (arch 1) (Beta A'!$F$10*(1/2)^(('Power Graphs'!C30-'Power Graphs'!C$2)*24/('Power Timeline (arch 1) (Beta A'!$G$10*365*24))</f>
        <v>492.4783388</v>
      </c>
      <c r="H30" s="1">
        <f>'Power Timeline (arch 1) (Beta A'!$F$11*(1/2)^(('Power Graphs'!D30-'Power Graphs'!D$2)*24/('Power Timeline (arch 1) (Beta A'!$G$11*365*24))</f>
        <v>492.4783388</v>
      </c>
    </row>
    <row r="31" ht="15.75" customHeight="1">
      <c r="B31" s="79">
        <f t="shared" ref="B31:D31" si="29">B30+25</f>
        <v>46897</v>
      </c>
      <c r="C31" s="79">
        <f t="shared" si="29"/>
        <v>46897</v>
      </c>
      <c r="D31" s="79">
        <f t="shared" si="29"/>
        <v>46897</v>
      </c>
      <c r="F31" s="1">
        <f>'Power Timeline (arch 1) (Beta A'!$F$9*(1/2)^(('Power Graphs'!B31-'Power Graphs'!B$2)*24/('Power Timeline (arch 1) (Beta A'!$G$9*365*24))</f>
        <v>9999.99998</v>
      </c>
      <c r="G31" s="1">
        <f>'Power Timeline (arch 1) (Beta A'!$F$10*(1/2)^(('Power Graphs'!C31-'Power Graphs'!C$2)*24/('Power Timeline (arch 1) (Beta A'!$G$10*365*24))</f>
        <v>492.2118109</v>
      </c>
      <c r="H31" s="1">
        <f>'Power Timeline (arch 1) (Beta A'!$F$11*(1/2)^(('Power Graphs'!D31-'Power Graphs'!D$2)*24/('Power Timeline (arch 1) (Beta A'!$G$11*365*24))</f>
        <v>492.2118109</v>
      </c>
    </row>
    <row r="32" ht="15.75" customHeight="1">
      <c r="B32" s="79">
        <f t="shared" ref="B32:D32" si="30">B31+25</f>
        <v>46922</v>
      </c>
      <c r="C32" s="79">
        <f t="shared" si="30"/>
        <v>46922</v>
      </c>
      <c r="D32" s="79">
        <f t="shared" si="30"/>
        <v>46922</v>
      </c>
      <c r="F32" s="1">
        <f>'Power Timeline (arch 1) (Beta A'!$F$9*(1/2)^(('Power Graphs'!B32-'Power Graphs'!B$2)*24/('Power Timeline (arch 1) (Beta A'!$G$9*365*24))</f>
        <v>9999.99998</v>
      </c>
      <c r="G32" s="1">
        <f>'Power Timeline (arch 1) (Beta A'!$F$10*(1/2)^(('Power Graphs'!C32-'Power Graphs'!C$2)*24/('Power Timeline (arch 1) (Beta A'!$G$10*365*24))</f>
        <v>491.9454273</v>
      </c>
      <c r="H32" s="1">
        <f>'Power Timeline (arch 1) (Beta A'!$F$11*(1/2)^(('Power Graphs'!D32-'Power Graphs'!D$2)*24/('Power Timeline (arch 1) (Beta A'!$G$11*365*24))</f>
        <v>491.9454273</v>
      </c>
    </row>
    <row r="33" ht="15.75" customHeight="1">
      <c r="B33" s="79">
        <f t="shared" ref="B33:D33" si="31">B32+25</f>
        <v>46947</v>
      </c>
      <c r="C33" s="79">
        <f t="shared" si="31"/>
        <v>46947</v>
      </c>
      <c r="D33" s="79">
        <f t="shared" si="31"/>
        <v>46947</v>
      </c>
      <c r="F33" s="1">
        <f>'Power Timeline (arch 1) (Beta A'!$F$9*(1/2)^(('Power Graphs'!B33-'Power Graphs'!B$2)*24/('Power Timeline (arch 1) (Beta A'!$G$9*365*24))</f>
        <v>9999.999979</v>
      </c>
      <c r="G33" s="1">
        <f>'Power Timeline (arch 1) (Beta A'!$F$10*(1/2)^(('Power Graphs'!C33-'Power Graphs'!C$2)*24/('Power Timeline (arch 1) (Beta A'!$G$10*365*24))</f>
        <v>491.6791879</v>
      </c>
      <c r="H33" s="1">
        <f>'Power Timeline (arch 1) (Beta A'!$F$11*(1/2)^(('Power Graphs'!D33-'Power Graphs'!D$2)*24/('Power Timeline (arch 1) (Beta A'!$G$11*365*24))</f>
        <v>491.6791879</v>
      </c>
    </row>
    <row r="34" ht="15.75" customHeight="1">
      <c r="B34" s="79">
        <f t="shared" ref="B34:D34" si="32">B33+25</f>
        <v>46972</v>
      </c>
      <c r="C34" s="79">
        <f t="shared" si="32"/>
        <v>46972</v>
      </c>
      <c r="D34" s="79">
        <f t="shared" si="32"/>
        <v>46972</v>
      </c>
      <c r="F34" s="1">
        <f>'Power Timeline (arch 1) (Beta A'!$F$9*(1/2)^(('Power Graphs'!B34-'Power Graphs'!B$2)*24/('Power Timeline (arch 1) (Beta A'!$G$9*365*24))</f>
        <v>9999.999978</v>
      </c>
      <c r="G34" s="1">
        <f>'Power Timeline (arch 1) (Beta A'!$F$10*(1/2)^(('Power Graphs'!C34-'Power Graphs'!C$2)*24/('Power Timeline (arch 1) (Beta A'!$G$10*365*24))</f>
        <v>491.4130925</v>
      </c>
      <c r="H34" s="1">
        <f>'Power Timeline (arch 1) (Beta A'!$F$11*(1/2)^(('Power Graphs'!D34-'Power Graphs'!D$2)*24/('Power Timeline (arch 1) (Beta A'!$G$11*365*24))</f>
        <v>491.4130925</v>
      </c>
    </row>
    <row r="35" ht="15.75" customHeight="1">
      <c r="B35" s="79">
        <f t="shared" ref="B35:D35" si="33">B34+25</f>
        <v>46997</v>
      </c>
      <c r="C35" s="79">
        <f t="shared" si="33"/>
        <v>46997</v>
      </c>
      <c r="D35" s="79">
        <f t="shared" si="33"/>
        <v>46997</v>
      </c>
      <c r="F35" s="1">
        <f>'Power Timeline (arch 1) (Beta A'!$F$9*(1/2)^(('Power Graphs'!B35-'Power Graphs'!B$2)*24/('Power Timeline (arch 1) (Beta A'!$G$9*365*24))</f>
        <v>9999.999978</v>
      </c>
      <c r="G35" s="1">
        <f>'Power Timeline (arch 1) (Beta A'!$F$10*(1/2)^(('Power Graphs'!C35-'Power Graphs'!C$2)*24/('Power Timeline (arch 1) (Beta A'!$G$10*365*24))</f>
        <v>491.1471412</v>
      </c>
      <c r="H35" s="1">
        <f>'Power Timeline (arch 1) (Beta A'!$F$11*(1/2)^(('Power Graphs'!D35-'Power Graphs'!D$2)*24/('Power Timeline (arch 1) (Beta A'!$G$11*365*24))</f>
        <v>491.1471412</v>
      </c>
    </row>
    <row r="36" ht="15.75" customHeight="1">
      <c r="B36" s="79">
        <f t="shared" ref="B36:D36" si="34">B35+25</f>
        <v>47022</v>
      </c>
      <c r="C36" s="79">
        <f t="shared" si="34"/>
        <v>47022</v>
      </c>
      <c r="D36" s="79">
        <f t="shared" si="34"/>
        <v>47022</v>
      </c>
      <c r="F36" s="1">
        <f>'Power Timeline (arch 1) (Beta A'!$F$9*(1/2)^(('Power Graphs'!B36-'Power Graphs'!B$2)*24/('Power Timeline (arch 1) (Beta A'!$G$9*365*24))</f>
        <v>9999.999977</v>
      </c>
      <c r="G36" s="1">
        <f>'Power Timeline (arch 1) (Beta A'!$F$10*(1/2)^(('Power Graphs'!C36-'Power Graphs'!C$2)*24/('Power Timeline (arch 1) (Beta A'!$G$10*365*24))</f>
        <v>490.8813338</v>
      </c>
      <c r="H36" s="1">
        <f>'Power Timeline (arch 1) (Beta A'!$F$11*(1/2)^(('Power Graphs'!D36-'Power Graphs'!D$2)*24/('Power Timeline (arch 1) (Beta A'!$G$11*365*24))</f>
        <v>490.8813338</v>
      </c>
    </row>
    <row r="37" ht="15.75" customHeight="1">
      <c r="B37" s="79">
        <f t="shared" ref="B37:D37" si="35">B36+25</f>
        <v>47047</v>
      </c>
      <c r="C37" s="79">
        <f t="shared" si="35"/>
        <v>47047</v>
      </c>
      <c r="D37" s="79">
        <f t="shared" si="35"/>
        <v>47047</v>
      </c>
      <c r="F37" s="1">
        <f>'Power Timeline (arch 1) (Beta A'!$F$9*(1/2)^(('Power Graphs'!B37-'Power Graphs'!B$2)*24/('Power Timeline (arch 1) (Beta A'!$G$9*365*24))</f>
        <v>9999.999976</v>
      </c>
      <c r="G37" s="1">
        <f>'Power Timeline (arch 1) (Beta A'!$F$10*(1/2)^(('Power Graphs'!C37-'Power Graphs'!C$2)*24/('Power Timeline (arch 1) (Beta A'!$G$10*365*24))</f>
        <v>490.6156702</v>
      </c>
      <c r="H37" s="1">
        <f>'Power Timeline (arch 1) (Beta A'!$F$11*(1/2)^(('Power Graphs'!D37-'Power Graphs'!D$2)*24/('Power Timeline (arch 1) (Beta A'!$G$11*365*24))</f>
        <v>490.6156702</v>
      </c>
    </row>
    <row r="38" ht="15.75" customHeight="1">
      <c r="B38" s="79">
        <f t="shared" ref="B38:D38" si="36">B37+25</f>
        <v>47072</v>
      </c>
      <c r="C38" s="79">
        <f t="shared" si="36"/>
        <v>47072</v>
      </c>
      <c r="D38" s="79">
        <f t="shared" si="36"/>
        <v>47072</v>
      </c>
      <c r="F38" s="1">
        <f>'Power Timeline (arch 1) (Beta A'!$F$9*(1/2)^(('Power Graphs'!B38-'Power Graphs'!B$2)*24/('Power Timeline (arch 1) (Beta A'!$G$9*365*24))</f>
        <v>9999.999976</v>
      </c>
      <c r="G38" s="1">
        <f>'Power Timeline (arch 1) (Beta A'!$F$10*(1/2)^(('Power Graphs'!C38-'Power Graphs'!C$2)*24/('Power Timeline (arch 1) (Beta A'!$G$10*365*24))</f>
        <v>490.3501504</v>
      </c>
      <c r="H38" s="1">
        <f>'Power Timeline (arch 1) (Beta A'!$F$11*(1/2)^(('Power Graphs'!D38-'Power Graphs'!D$2)*24/('Power Timeline (arch 1) (Beta A'!$G$11*365*24))</f>
        <v>490.3501504</v>
      </c>
    </row>
    <row r="39" ht="15.75" customHeight="1">
      <c r="B39" s="79">
        <f t="shared" ref="B39:D39" si="37">B38+25</f>
        <v>47097</v>
      </c>
      <c r="C39" s="79">
        <f t="shared" si="37"/>
        <v>47097</v>
      </c>
      <c r="D39" s="79">
        <f t="shared" si="37"/>
        <v>47097</v>
      </c>
      <c r="F39" s="1">
        <f>'Power Timeline (arch 1) (Beta A'!$F$9*(1/2)^(('Power Graphs'!B39-'Power Graphs'!B$2)*24/('Power Timeline (arch 1) (Beta A'!$G$9*365*24))</f>
        <v>9999.999975</v>
      </c>
      <c r="G39" s="1">
        <f>'Power Timeline (arch 1) (Beta A'!$F$10*(1/2)^(('Power Graphs'!C39-'Power Graphs'!C$2)*24/('Power Timeline (arch 1) (Beta A'!$G$10*365*24))</f>
        <v>490.0847743</v>
      </c>
      <c r="H39" s="1">
        <f>'Power Timeline (arch 1) (Beta A'!$F$11*(1/2)^(('Power Graphs'!D39-'Power Graphs'!D$2)*24/('Power Timeline (arch 1) (Beta A'!$G$11*365*24))</f>
        <v>490.0847743</v>
      </c>
    </row>
    <row r="40" ht="15.75" customHeight="1">
      <c r="B40" s="79">
        <f t="shared" ref="B40:D40" si="38">B39+25</f>
        <v>47122</v>
      </c>
      <c r="C40" s="79">
        <f t="shared" si="38"/>
        <v>47122</v>
      </c>
      <c r="D40" s="79">
        <f t="shared" si="38"/>
        <v>47122</v>
      </c>
      <c r="F40" s="1">
        <f>'Power Timeline (arch 1) (Beta A'!$F$9*(1/2)^(('Power Graphs'!B40-'Power Graphs'!B$2)*24/('Power Timeline (arch 1) (Beta A'!$G$9*365*24))</f>
        <v>9999.999974</v>
      </c>
      <c r="G40" s="1">
        <f>'Power Timeline (arch 1) (Beta A'!$F$10*(1/2)^(('Power Graphs'!C40-'Power Graphs'!C$2)*24/('Power Timeline (arch 1) (Beta A'!$G$10*365*24))</f>
        <v>489.8195419</v>
      </c>
      <c r="H40" s="1">
        <f>'Power Timeline (arch 1) (Beta A'!$F$11*(1/2)^(('Power Graphs'!D40-'Power Graphs'!D$2)*24/('Power Timeline (arch 1) (Beta A'!$G$11*365*24))</f>
        <v>489.8195419</v>
      </c>
    </row>
    <row r="41" ht="15.75" customHeight="1">
      <c r="B41" s="79">
        <f t="shared" ref="B41:D41" si="39">B40+25</f>
        <v>47147</v>
      </c>
      <c r="C41" s="79">
        <f t="shared" si="39"/>
        <v>47147</v>
      </c>
      <c r="D41" s="79">
        <f t="shared" si="39"/>
        <v>47147</v>
      </c>
      <c r="F41" s="1">
        <f>'Power Timeline (arch 1) (Beta A'!$F$9*(1/2)^(('Power Graphs'!B41-'Power Graphs'!B$2)*24/('Power Timeline (arch 1) (Beta A'!$G$9*365*24))</f>
        <v>9999.999974</v>
      </c>
      <c r="G41" s="1">
        <f>'Power Timeline (arch 1) (Beta A'!$F$10*(1/2)^(('Power Graphs'!C41-'Power Graphs'!C$2)*24/('Power Timeline (arch 1) (Beta A'!$G$10*365*24))</f>
        <v>489.554453</v>
      </c>
      <c r="H41" s="1">
        <f>'Power Timeline (arch 1) (Beta A'!$F$11*(1/2)^(('Power Graphs'!D41-'Power Graphs'!D$2)*24/('Power Timeline (arch 1) (Beta A'!$G$11*365*24))</f>
        <v>489.554453</v>
      </c>
    </row>
    <row r="42" ht="15.75" customHeight="1">
      <c r="B42" s="79">
        <f t="shared" ref="B42:D42" si="40">B41+25</f>
        <v>47172</v>
      </c>
      <c r="C42" s="79">
        <f t="shared" si="40"/>
        <v>47172</v>
      </c>
      <c r="D42" s="79">
        <f t="shared" si="40"/>
        <v>47172</v>
      </c>
      <c r="F42" s="1">
        <f>'Power Timeline (arch 1) (Beta A'!$F$9*(1/2)^(('Power Graphs'!B42-'Power Graphs'!B$2)*24/('Power Timeline (arch 1) (Beta A'!$G$9*365*24))</f>
        <v>9999.999973</v>
      </c>
      <c r="G42" s="1">
        <f>'Power Timeline (arch 1) (Beta A'!$F$10*(1/2)^(('Power Graphs'!C42-'Power Graphs'!C$2)*24/('Power Timeline (arch 1) (Beta A'!$G$10*365*24))</f>
        <v>489.2895075</v>
      </c>
      <c r="H42" s="1">
        <f>'Power Timeline (arch 1) (Beta A'!$F$11*(1/2)^(('Power Graphs'!D42-'Power Graphs'!D$2)*24/('Power Timeline (arch 1) (Beta A'!$G$11*365*24))</f>
        <v>489.2895075</v>
      </c>
    </row>
    <row r="43" ht="15.75" customHeight="1">
      <c r="B43" s="79">
        <f t="shared" ref="B43:D43" si="41">B42+25</f>
        <v>47197</v>
      </c>
      <c r="C43" s="79">
        <f t="shared" si="41"/>
        <v>47197</v>
      </c>
      <c r="D43" s="79">
        <f t="shared" si="41"/>
        <v>47197</v>
      </c>
      <c r="F43" s="1">
        <f>'Power Timeline (arch 1) (Beta A'!$F$9*(1/2)^(('Power Graphs'!B43-'Power Graphs'!B$2)*24/('Power Timeline (arch 1) (Beta A'!$G$9*365*24))</f>
        <v>9999.999972</v>
      </c>
      <c r="G43" s="1">
        <f>'Power Timeline (arch 1) (Beta A'!$F$10*(1/2)^(('Power Graphs'!C43-'Power Graphs'!C$2)*24/('Power Timeline (arch 1) (Beta A'!$G$10*365*24))</f>
        <v>489.0247054</v>
      </c>
      <c r="H43" s="1">
        <f>'Power Timeline (arch 1) (Beta A'!$F$11*(1/2)^(('Power Graphs'!D43-'Power Graphs'!D$2)*24/('Power Timeline (arch 1) (Beta A'!$G$11*365*24))</f>
        <v>489.0247054</v>
      </c>
    </row>
    <row r="44" ht="15.75" customHeight="1">
      <c r="B44" s="79">
        <f t="shared" ref="B44:D44" si="42">B43+25</f>
        <v>47222</v>
      </c>
      <c r="C44" s="79">
        <f t="shared" si="42"/>
        <v>47222</v>
      </c>
      <c r="D44" s="79">
        <f t="shared" si="42"/>
        <v>47222</v>
      </c>
      <c r="F44" s="1">
        <f>'Power Timeline (arch 1) (Beta A'!$F$9*(1/2)^(('Power Graphs'!B44-'Power Graphs'!B$2)*24/('Power Timeline (arch 1) (Beta A'!$G$9*365*24))</f>
        <v>9999.999972</v>
      </c>
      <c r="G44" s="1">
        <f>'Power Timeline (arch 1) (Beta A'!$F$10*(1/2)^(('Power Graphs'!C44-'Power Graphs'!C$2)*24/('Power Timeline (arch 1) (Beta A'!$G$10*365*24))</f>
        <v>488.7600467</v>
      </c>
      <c r="H44" s="1">
        <f>'Power Timeline (arch 1) (Beta A'!$F$11*(1/2)^(('Power Graphs'!D44-'Power Graphs'!D$2)*24/('Power Timeline (arch 1) (Beta A'!$G$11*365*24))</f>
        <v>488.7600467</v>
      </c>
    </row>
    <row r="45" ht="15.75" customHeight="1">
      <c r="B45" s="79">
        <f t="shared" ref="B45:D45" si="43">B44+25</f>
        <v>47247</v>
      </c>
      <c r="C45" s="79">
        <f t="shared" si="43"/>
        <v>47247</v>
      </c>
      <c r="D45" s="79">
        <f t="shared" si="43"/>
        <v>47247</v>
      </c>
      <c r="F45" s="1">
        <f>'Power Timeline (arch 1) (Beta A'!$F$9*(1/2)^(('Power Graphs'!B45-'Power Graphs'!B$2)*24/('Power Timeline (arch 1) (Beta A'!$G$9*365*24))</f>
        <v>9999.999971</v>
      </c>
      <c r="G45" s="1">
        <f>'Power Timeline (arch 1) (Beta A'!$F$10*(1/2)^(('Power Graphs'!C45-'Power Graphs'!C$2)*24/('Power Timeline (arch 1) (Beta A'!$G$10*365*24))</f>
        <v>488.4955312</v>
      </c>
      <c r="H45" s="1">
        <f>'Power Timeline (arch 1) (Beta A'!$F$11*(1/2)^(('Power Graphs'!D45-'Power Graphs'!D$2)*24/('Power Timeline (arch 1) (Beta A'!$G$11*365*24))</f>
        <v>488.4955312</v>
      </c>
    </row>
    <row r="46" ht="15.75" customHeight="1">
      <c r="B46" s="79">
        <f t="shared" ref="B46:D46" si="44">B45+25</f>
        <v>47272</v>
      </c>
      <c r="C46" s="79">
        <f t="shared" si="44"/>
        <v>47272</v>
      </c>
      <c r="D46" s="79">
        <f t="shared" si="44"/>
        <v>47272</v>
      </c>
      <c r="F46" s="1">
        <f>'Power Timeline (arch 1) (Beta A'!$F$9*(1/2)^(('Power Graphs'!B46-'Power Graphs'!B$2)*24/('Power Timeline (arch 1) (Beta A'!$G$9*365*24))</f>
        <v>9999.99997</v>
      </c>
      <c r="G46" s="1">
        <f>'Power Timeline (arch 1) (Beta A'!$F$10*(1/2)^(('Power Graphs'!C46-'Power Graphs'!C$2)*24/('Power Timeline (arch 1) (Beta A'!$G$10*365*24))</f>
        <v>488.2311588</v>
      </c>
      <c r="H46" s="1">
        <f>'Power Timeline (arch 1) (Beta A'!$F$11*(1/2)^(('Power Graphs'!D46-'Power Graphs'!D$2)*24/('Power Timeline (arch 1) (Beta A'!$G$11*365*24))</f>
        <v>488.2311588</v>
      </c>
    </row>
    <row r="47" ht="15.75" customHeight="1">
      <c r="B47" s="79">
        <f t="shared" ref="B47:D47" si="45">B46+25</f>
        <v>47297</v>
      </c>
      <c r="C47" s="79">
        <f t="shared" si="45"/>
        <v>47297</v>
      </c>
      <c r="D47" s="79">
        <f t="shared" si="45"/>
        <v>47297</v>
      </c>
      <c r="F47" s="1">
        <f>'Power Timeline (arch 1) (Beta A'!$F$9*(1/2)^(('Power Graphs'!B47-'Power Graphs'!B$2)*24/('Power Timeline (arch 1) (Beta A'!$G$9*365*24))</f>
        <v>9999.999969</v>
      </c>
      <c r="G47" s="1">
        <f>'Power Timeline (arch 1) (Beta A'!$F$10*(1/2)^(('Power Graphs'!C47-'Power Graphs'!C$2)*24/('Power Timeline (arch 1) (Beta A'!$G$10*365*24))</f>
        <v>487.9669295</v>
      </c>
      <c r="H47" s="1">
        <f>'Power Timeline (arch 1) (Beta A'!$F$11*(1/2)^(('Power Graphs'!D47-'Power Graphs'!D$2)*24/('Power Timeline (arch 1) (Beta A'!$G$11*365*24))</f>
        <v>487.9669295</v>
      </c>
    </row>
    <row r="48" ht="15.75" customHeight="1">
      <c r="B48" s="79">
        <f t="shared" ref="B48:D48" si="46">B47+25</f>
        <v>47322</v>
      </c>
      <c r="C48" s="79">
        <f t="shared" si="46"/>
        <v>47322</v>
      </c>
      <c r="D48" s="79">
        <f t="shared" si="46"/>
        <v>47322</v>
      </c>
      <c r="F48" s="1">
        <f>'Power Timeline (arch 1) (Beta A'!$F$9*(1/2)^(('Power Graphs'!B48-'Power Graphs'!B$2)*24/('Power Timeline (arch 1) (Beta A'!$G$9*365*24))</f>
        <v>9999.999969</v>
      </c>
      <c r="G48" s="1">
        <f>'Power Timeline (arch 1) (Beta A'!$F$10*(1/2)^(('Power Graphs'!C48-'Power Graphs'!C$2)*24/('Power Timeline (arch 1) (Beta A'!$G$10*365*24))</f>
        <v>487.7028432</v>
      </c>
      <c r="H48" s="1">
        <f>'Power Timeline (arch 1) (Beta A'!$F$11*(1/2)^(('Power Graphs'!D48-'Power Graphs'!D$2)*24/('Power Timeline (arch 1) (Beta A'!$G$11*365*24))</f>
        <v>487.7028432</v>
      </c>
    </row>
    <row r="49" ht="15.75" customHeight="1">
      <c r="B49" s="79">
        <f t="shared" ref="B49:D49" si="47">B48+25</f>
        <v>47347</v>
      </c>
      <c r="C49" s="79">
        <f t="shared" si="47"/>
        <v>47347</v>
      </c>
      <c r="D49" s="79">
        <f t="shared" si="47"/>
        <v>47347</v>
      </c>
      <c r="F49" s="1">
        <f>'Power Timeline (arch 1) (Beta A'!$F$9*(1/2)^(('Power Graphs'!B49-'Power Graphs'!B$2)*24/('Power Timeline (arch 1) (Beta A'!$G$9*365*24))</f>
        <v>9999.999968</v>
      </c>
      <c r="G49" s="1">
        <f>'Power Timeline (arch 1) (Beta A'!$F$10*(1/2)^(('Power Graphs'!C49-'Power Graphs'!C$2)*24/('Power Timeline (arch 1) (Beta A'!$G$10*365*24))</f>
        <v>487.4388998</v>
      </c>
      <c r="H49" s="1">
        <f>'Power Timeline (arch 1) (Beta A'!$F$11*(1/2)^(('Power Graphs'!D49-'Power Graphs'!D$2)*24/('Power Timeline (arch 1) (Beta A'!$G$11*365*24))</f>
        <v>487.4388998</v>
      </c>
    </row>
    <row r="50" ht="15.75" customHeight="1">
      <c r="B50" s="79">
        <f t="shared" ref="B50:D50" si="48">B49+25</f>
        <v>47372</v>
      </c>
      <c r="C50" s="79">
        <f t="shared" si="48"/>
        <v>47372</v>
      </c>
      <c r="D50" s="79">
        <f t="shared" si="48"/>
        <v>47372</v>
      </c>
      <c r="F50" s="1">
        <f>'Power Timeline (arch 1) (Beta A'!$F$9*(1/2)^(('Power Graphs'!B50-'Power Graphs'!B$2)*24/('Power Timeline (arch 1) (Beta A'!$G$9*365*24))</f>
        <v>9999.999967</v>
      </c>
      <c r="G50" s="1">
        <f>'Power Timeline (arch 1) (Beta A'!$F$10*(1/2)^(('Power Graphs'!C50-'Power Graphs'!C$2)*24/('Power Timeline (arch 1) (Beta A'!$G$10*365*24))</f>
        <v>487.1750993</v>
      </c>
      <c r="H50" s="1">
        <f>'Power Timeline (arch 1) (Beta A'!$F$11*(1/2)^(('Power Graphs'!D50-'Power Graphs'!D$2)*24/('Power Timeline (arch 1) (Beta A'!$G$11*365*24))</f>
        <v>487.1750993</v>
      </c>
    </row>
    <row r="51" ht="15.75" customHeight="1">
      <c r="B51" s="79">
        <f t="shared" ref="B51:D51" si="49">B50+25</f>
        <v>47397</v>
      </c>
      <c r="C51" s="79">
        <f t="shared" si="49"/>
        <v>47397</v>
      </c>
      <c r="D51" s="79">
        <f t="shared" si="49"/>
        <v>47397</v>
      </c>
      <c r="F51" s="1">
        <f>'Power Timeline (arch 1) (Beta A'!$F$9*(1/2)^(('Power Graphs'!B51-'Power Graphs'!B$2)*24/('Power Timeline (arch 1) (Beta A'!$G$9*365*24))</f>
        <v>9999.999967</v>
      </c>
      <c r="G51" s="1">
        <f>'Power Timeline (arch 1) (Beta A'!$F$10*(1/2)^(('Power Graphs'!C51-'Power Graphs'!C$2)*24/('Power Timeline (arch 1) (Beta A'!$G$10*365*24))</f>
        <v>486.9114416</v>
      </c>
      <c r="H51" s="1">
        <f>'Power Timeline (arch 1) (Beta A'!$F$11*(1/2)^(('Power Graphs'!D51-'Power Graphs'!D$2)*24/('Power Timeline (arch 1) (Beta A'!$G$11*365*24))</f>
        <v>486.9114416</v>
      </c>
    </row>
    <row r="52" ht="15.75" customHeight="1">
      <c r="B52" s="79">
        <f t="shared" ref="B52:D52" si="50">B51+25</f>
        <v>47422</v>
      </c>
      <c r="C52" s="79">
        <f t="shared" si="50"/>
        <v>47422</v>
      </c>
      <c r="D52" s="79">
        <f t="shared" si="50"/>
        <v>47422</v>
      </c>
      <c r="F52" s="1">
        <f>'Power Timeline (arch 1) (Beta A'!$F$9*(1/2)^(('Power Graphs'!B52-'Power Graphs'!B$2)*24/('Power Timeline (arch 1) (Beta A'!$G$9*365*24))</f>
        <v>9999.999966</v>
      </c>
      <c r="G52" s="1">
        <f>'Power Timeline (arch 1) (Beta A'!$F$10*(1/2)^(('Power Graphs'!C52-'Power Graphs'!C$2)*24/('Power Timeline (arch 1) (Beta A'!$G$10*365*24))</f>
        <v>486.6479265</v>
      </c>
      <c r="H52" s="1">
        <f>'Power Timeline (arch 1) (Beta A'!$F$11*(1/2)^(('Power Graphs'!D52-'Power Graphs'!D$2)*24/('Power Timeline (arch 1) (Beta A'!$G$11*365*24))</f>
        <v>486.6479265</v>
      </c>
    </row>
    <row r="53" ht="15.75" customHeight="1">
      <c r="B53" s="79">
        <f t="shared" ref="B53:D53" si="51">B52+25</f>
        <v>47447</v>
      </c>
      <c r="C53" s="79">
        <f t="shared" si="51"/>
        <v>47447</v>
      </c>
      <c r="D53" s="79">
        <f t="shared" si="51"/>
        <v>47447</v>
      </c>
      <c r="F53" s="1">
        <f>'Power Timeline (arch 1) (Beta A'!$F$9*(1/2)^(('Power Graphs'!B53-'Power Graphs'!B$2)*24/('Power Timeline (arch 1) (Beta A'!$G$9*365*24))</f>
        <v>9999.999965</v>
      </c>
      <c r="G53" s="1">
        <f>'Power Timeline (arch 1) (Beta A'!$F$10*(1/2)^(('Power Graphs'!C53-'Power Graphs'!C$2)*24/('Power Timeline (arch 1) (Beta A'!$G$10*365*24))</f>
        <v>486.384554</v>
      </c>
      <c r="H53" s="1">
        <f>'Power Timeline (arch 1) (Beta A'!$F$11*(1/2)^(('Power Graphs'!D53-'Power Graphs'!D$2)*24/('Power Timeline (arch 1) (Beta A'!$G$11*365*24))</f>
        <v>486.384554</v>
      </c>
    </row>
    <row r="54" ht="15.75" customHeight="1">
      <c r="B54" s="79">
        <f t="shared" ref="B54:D54" si="52">B53+25</f>
        <v>47472</v>
      </c>
      <c r="C54" s="79">
        <f t="shared" si="52"/>
        <v>47472</v>
      </c>
      <c r="D54" s="79">
        <f t="shared" si="52"/>
        <v>47472</v>
      </c>
      <c r="F54" s="1">
        <f>'Power Timeline (arch 1) (Beta A'!$F$9*(1/2)^(('Power Graphs'!B54-'Power Graphs'!B$2)*24/('Power Timeline (arch 1) (Beta A'!$G$9*365*24))</f>
        <v>9999.999965</v>
      </c>
      <c r="G54" s="1">
        <f>'Power Timeline (arch 1) (Beta A'!$F$10*(1/2)^(('Power Graphs'!C54-'Power Graphs'!C$2)*24/('Power Timeline (arch 1) (Beta A'!$G$10*365*24))</f>
        <v>486.1213241</v>
      </c>
      <c r="H54" s="1">
        <f>'Power Timeline (arch 1) (Beta A'!$F$11*(1/2)^(('Power Graphs'!D54-'Power Graphs'!D$2)*24/('Power Timeline (arch 1) (Beta A'!$G$11*365*24))</f>
        <v>486.1213241</v>
      </c>
    </row>
    <row r="55" ht="15.75" customHeight="1">
      <c r="B55" s="79">
        <f t="shared" ref="B55:D55" si="53">B54+25</f>
        <v>47497</v>
      </c>
      <c r="C55" s="79">
        <f t="shared" si="53"/>
        <v>47497</v>
      </c>
      <c r="D55" s="79">
        <f t="shared" si="53"/>
        <v>47497</v>
      </c>
      <c r="F55" s="1">
        <f>'Power Timeline (arch 1) (Beta A'!$F$9*(1/2)^(('Power Graphs'!B55-'Power Graphs'!B$2)*24/('Power Timeline (arch 1) (Beta A'!$G$9*365*24))</f>
        <v>9999.999964</v>
      </c>
      <c r="G55" s="1">
        <f>'Power Timeline (arch 1) (Beta A'!$F$10*(1/2)^(('Power Graphs'!C55-'Power Graphs'!C$2)*24/('Power Timeline (arch 1) (Beta A'!$G$10*365*24))</f>
        <v>485.8582367</v>
      </c>
      <c r="H55" s="1">
        <f>'Power Timeline (arch 1) (Beta A'!$F$11*(1/2)^(('Power Graphs'!D55-'Power Graphs'!D$2)*24/('Power Timeline (arch 1) (Beta A'!$G$11*365*24))</f>
        <v>485.8582367</v>
      </c>
    </row>
    <row r="56" ht="15.75" customHeight="1">
      <c r="B56" s="79">
        <f t="shared" ref="B56:D56" si="54">B55+25</f>
        <v>47522</v>
      </c>
      <c r="C56" s="79">
        <f t="shared" si="54"/>
        <v>47522</v>
      </c>
      <c r="D56" s="79">
        <f t="shared" si="54"/>
        <v>47522</v>
      </c>
      <c r="F56" s="1">
        <f>'Power Timeline (arch 1) (Beta A'!$F$9*(1/2)^(('Power Graphs'!B56-'Power Graphs'!B$2)*24/('Power Timeline (arch 1) (Beta A'!$G$9*365*24))</f>
        <v>9999.999963</v>
      </c>
      <c r="G56" s="1">
        <f>'Power Timeline (arch 1) (Beta A'!$F$10*(1/2)^(('Power Graphs'!C56-'Power Graphs'!C$2)*24/('Power Timeline (arch 1) (Beta A'!$G$10*365*24))</f>
        <v>485.5952916</v>
      </c>
      <c r="H56" s="1">
        <f>'Power Timeline (arch 1) (Beta A'!$F$11*(1/2)^(('Power Graphs'!D56-'Power Graphs'!D$2)*24/('Power Timeline (arch 1) (Beta A'!$G$11*365*24))</f>
        <v>485.5952916</v>
      </c>
    </row>
    <row r="57" ht="15.75" customHeight="1">
      <c r="B57" s="79">
        <f t="shared" ref="B57:D57" si="55">B56+25</f>
        <v>47547</v>
      </c>
      <c r="C57" s="79">
        <f t="shared" si="55"/>
        <v>47547</v>
      </c>
      <c r="D57" s="79">
        <f t="shared" si="55"/>
        <v>47547</v>
      </c>
      <c r="F57" s="1">
        <f>'Power Timeline (arch 1) (Beta A'!$F$9*(1/2)^(('Power Graphs'!B57-'Power Graphs'!B$2)*24/('Power Timeline (arch 1) (Beta A'!$G$9*365*24))</f>
        <v>9999.999963</v>
      </c>
      <c r="G57" s="1">
        <f>'Power Timeline (arch 1) (Beta A'!$F$10*(1/2)^(('Power Graphs'!C57-'Power Graphs'!C$2)*24/('Power Timeline (arch 1) (Beta A'!$G$10*365*24))</f>
        <v>485.3324888</v>
      </c>
      <c r="H57" s="1">
        <f>'Power Timeline (arch 1) (Beta A'!$F$11*(1/2)^(('Power Graphs'!D57-'Power Graphs'!D$2)*24/('Power Timeline (arch 1) (Beta A'!$G$11*365*24))</f>
        <v>485.3324888</v>
      </c>
    </row>
    <row r="58" ht="15.75" customHeight="1">
      <c r="B58" s="79">
        <f t="shared" ref="B58:D58" si="56">B57+25</f>
        <v>47572</v>
      </c>
      <c r="C58" s="79">
        <f t="shared" si="56"/>
        <v>47572</v>
      </c>
      <c r="D58" s="79">
        <f t="shared" si="56"/>
        <v>47572</v>
      </c>
      <c r="F58" s="1">
        <f>'Power Timeline (arch 1) (Beta A'!$F$9*(1/2)^(('Power Graphs'!B58-'Power Graphs'!B$2)*24/('Power Timeline (arch 1) (Beta A'!$G$9*365*24))</f>
        <v>9999.999962</v>
      </c>
      <c r="G58" s="1">
        <f>'Power Timeline (arch 1) (Beta A'!$F$10*(1/2)^(('Power Graphs'!C58-'Power Graphs'!C$2)*24/('Power Timeline (arch 1) (Beta A'!$G$10*365*24))</f>
        <v>485.0698283</v>
      </c>
      <c r="H58" s="1">
        <f>'Power Timeline (arch 1) (Beta A'!$F$11*(1/2)^(('Power Graphs'!D58-'Power Graphs'!D$2)*24/('Power Timeline (arch 1) (Beta A'!$G$11*365*24))</f>
        <v>485.0698283</v>
      </c>
    </row>
    <row r="59" ht="15.75" customHeight="1">
      <c r="B59" s="79">
        <f t="shared" ref="B59:D59" si="57">B58+25</f>
        <v>47597</v>
      </c>
      <c r="C59" s="79">
        <f t="shared" si="57"/>
        <v>47597</v>
      </c>
      <c r="D59" s="79">
        <f t="shared" si="57"/>
        <v>47597</v>
      </c>
      <c r="F59" s="1">
        <f>'Power Timeline (arch 1) (Beta A'!$F$9*(1/2)^(('Power Graphs'!B59-'Power Graphs'!B$2)*24/('Power Timeline (arch 1) (Beta A'!$G$9*365*24))</f>
        <v>9999.999961</v>
      </c>
      <c r="G59" s="1">
        <f>'Power Timeline (arch 1) (Beta A'!$F$10*(1/2)^(('Power Graphs'!C59-'Power Graphs'!C$2)*24/('Power Timeline (arch 1) (Beta A'!$G$10*365*24))</f>
        <v>484.8073099</v>
      </c>
      <c r="H59" s="1">
        <f>'Power Timeline (arch 1) (Beta A'!$F$11*(1/2)^(('Power Graphs'!D59-'Power Graphs'!D$2)*24/('Power Timeline (arch 1) (Beta A'!$G$11*365*24))</f>
        <v>484.8073099</v>
      </c>
    </row>
    <row r="60" ht="15.75" customHeight="1">
      <c r="B60" s="79">
        <f t="shared" ref="B60:D60" si="58">B59+25</f>
        <v>47622</v>
      </c>
      <c r="C60" s="79">
        <f t="shared" si="58"/>
        <v>47622</v>
      </c>
      <c r="D60" s="79">
        <f t="shared" si="58"/>
        <v>47622</v>
      </c>
      <c r="F60" s="1">
        <f>'Power Timeline (arch 1) (Beta A'!$F$9*(1/2)^(('Power Graphs'!B60-'Power Graphs'!B$2)*24/('Power Timeline (arch 1) (Beta A'!$G$9*365*24))</f>
        <v>9999.999961</v>
      </c>
      <c r="G60" s="1">
        <f>'Power Timeline (arch 1) (Beta A'!$F$10*(1/2)^(('Power Graphs'!C60-'Power Graphs'!C$2)*24/('Power Timeline (arch 1) (Beta A'!$G$10*365*24))</f>
        <v>484.5449336</v>
      </c>
      <c r="H60" s="1">
        <f>'Power Timeline (arch 1) (Beta A'!$F$11*(1/2)^(('Power Graphs'!D60-'Power Graphs'!D$2)*24/('Power Timeline (arch 1) (Beta A'!$G$11*365*24))</f>
        <v>484.5449336</v>
      </c>
    </row>
    <row r="61" ht="15.75" customHeight="1">
      <c r="B61" s="79">
        <f t="shared" ref="B61:D61" si="59">B60+25</f>
        <v>47647</v>
      </c>
      <c r="C61" s="79">
        <f t="shared" si="59"/>
        <v>47647</v>
      </c>
      <c r="D61" s="79">
        <f t="shared" si="59"/>
        <v>47647</v>
      </c>
      <c r="F61" s="1">
        <f>'Power Timeline (arch 1) (Beta A'!$F$9*(1/2)^(('Power Graphs'!B61-'Power Graphs'!B$2)*24/('Power Timeline (arch 1) (Beta A'!$G$9*365*24))</f>
        <v>9999.99996</v>
      </c>
      <c r="G61" s="1">
        <f>'Power Timeline (arch 1) (Beta A'!$F$10*(1/2)^(('Power Graphs'!C61-'Power Graphs'!C$2)*24/('Power Timeline (arch 1) (Beta A'!$G$10*365*24))</f>
        <v>484.2826993</v>
      </c>
      <c r="H61" s="1">
        <f>'Power Timeline (arch 1) (Beta A'!$F$11*(1/2)^(('Power Graphs'!D61-'Power Graphs'!D$2)*24/('Power Timeline (arch 1) (Beta A'!$G$11*365*24))</f>
        <v>484.2826993</v>
      </c>
    </row>
    <row r="62" ht="15.75" customHeight="1">
      <c r="B62" s="79">
        <f t="shared" ref="B62:D62" si="60">B61+25</f>
        <v>47672</v>
      </c>
      <c r="C62" s="79">
        <f t="shared" si="60"/>
        <v>47672</v>
      </c>
      <c r="D62" s="79">
        <f t="shared" si="60"/>
        <v>47672</v>
      </c>
      <c r="F62" s="1">
        <f>'Power Timeline (arch 1) (Beta A'!$F$9*(1/2)^(('Power Graphs'!B62-'Power Graphs'!B$2)*24/('Power Timeline (arch 1) (Beta A'!$G$9*365*24))</f>
        <v>9999.999959</v>
      </c>
      <c r="G62" s="1">
        <f>'Power Timeline (arch 1) (Beta A'!$F$10*(1/2)^(('Power Graphs'!C62-'Power Graphs'!C$2)*24/('Power Timeline (arch 1) (Beta A'!$G$10*365*24))</f>
        <v>484.0206069</v>
      </c>
      <c r="H62" s="1">
        <f>'Power Timeline (arch 1) (Beta A'!$F$11*(1/2)^(('Power Graphs'!D62-'Power Graphs'!D$2)*24/('Power Timeline (arch 1) (Beta A'!$G$11*365*24))</f>
        <v>484.0206069</v>
      </c>
    </row>
    <row r="63" ht="15.75" customHeight="1">
      <c r="B63" s="79">
        <f t="shared" ref="B63:D63" si="61">B62+25</f>
        <v>47697</v>
      </c>
      <c r="C63" s="79">
        <f t="shared" si="61"/>
        <v>47697</v>
      </c>
      <c r="D63" s="79">
        <f t="shared" si="61"/>
        <v>47697</v>
      </c>
      <c r="F63" s="1">
        <f>'Power Timeline (arch 1) (Beta A'!$F$9*(1/2)^(('Power Graphs'!B63-'Power Graphs'!B$2)*24/('Power Timeline (arch 1) (Beta A'!$G$9*365*24))</f>
        <v>9999.999959</v>
      </c>
      <c r="G63" s="1">
        <f>'Power Timeline (arch 1) (Beta A'!$F$10*(1/2)^(('Power Graphs'!C63-'Power Graphs'!C$2)*24/('Power Timeline (arch 1) (Beta A'!$G$10*365*24))</f>
        <v>483.7586563</v>
      </c>
      <c r="H63" s="1">
        <f>'Power Timeline (arch 1) (Beta A'!$F$11*(1/2)^(('Power Graphs'!D63-'Power Graphs'!D$2)*24/('Power Timeline (arch 1) (Beta A'!$G$11*365*24))</f>
        <v>483.7586563</v>
      </c>
    </row>
    <row r="64" ht="15.75" customHeight="1">
      <c r="B64" s="79">
        <f t="shared" ref="B64:D64" si="62">B63+25</f>
        <v>47722</v>
      </c>
      <c r="C64" s="79">
        <f t="shared" si="62"/>
        <v>47722</v>
      </c>
      <c r="D64" s="79">
        <f t="shared" si="62"/>
        <v>47722</v>
      </c>
      <c r="F64" s="1">
        <f>'Power Timeline (arch 1) (Beta A'!$F$9*(1/2)^(('Power Graphs'!B64-'Power Graphs'!B$2)*24/('Power Timeline (arch 1) (Beta A'!$G$9*365*24))</f>
        <v>9999.999958</v>
      </c>
      <c r="G64" s="1">
        <f>'Power Timeline (arch 1) (Beta A'!$F$10*(1/2)^(('Power Graphs'!C64-'Power Graphs'!C$2)*24/('Power Timeline (arch 1) (Beta A'!$G$10*365*24))</f>
        <v>483.4968476</v>
      </c>
      <c r="H64" s="1">
        <f>'Power Timeline (arch 1) (Beta A'!$F$11*(1/2)^(('Power Graphs'!D64-'Power Graphs'!D$2)*24/('Power Timeline (arch 1) (Beta A'!$G$11*365*24))</f>
        <v>483.4968476</v>
      </c>
    </row>
    <row r="65" ht="15.75" customHeight="1">
      <c r="B65" s="79">
        <f t="shared" ref="B65:D65" si="63">B64+25</f>
        <v>47747</v>
      </c>
      <c r="C65" s="79">
        <f t="shared" si="63"/>
        <v>47747</v>
      </c>
      <c r="D65" s="79">
        <f t="shared" si="63"/>
        <v>47747</v>
      </c>
      <c r="F65" s="1">
        <f>'Power Timeline (arch 1) (Beta A'!$F$9*(1/2)^(('Power Graphs'!B65-'Power Graphs'!B$2)*24/('Power Timeline (arch 1) (Beta A'!$G$9*365*24))</f>
        <v>9999.999957</v>
      </c>
      <c r="G65" s="1">
        <f>'Power Timeline (arch 1) (Beta A'!$F$10*(1/2)^(('Power Graphs'!C65-'Power Graphs'!C$2)*24/('Power Timeline (arch 1) (Beta A'!$G$10*365*24))</f>
        <v>483.2351805</v>
      </c>
      <c r="H65" s="1">
        <f>'Power Timeline (arch 1) (Beta A'!$F$11*(1/2)^(('Power Graphs'!D65-'Power Graphs'!D$2)*24/('Power Timeline (arch 1) (Beta A'!$G$11*365*24))</f>
        <v>483.2351805</v>
      </c>
    </row>
    <row r="66" ht="15.75" customHeight="1">
      <c r="B66" s="79">
        <f t="shared" ref="B66:D66" si="64">B65+25</f>
        <v>47772</v>
      </c>
      <c r="C66" s="79">
        <f t="shared" si="64"/>
        <v>47772</v>
      </c>
      <c r="D66" s="79">
        <f t="shared" si="64"/>
        <v>47772</v>
      </c>
      <c r="F66" s="1">
        <f>'Power Timeline (arch 1) (Beta A'!$F$9*(1/2)^(('Power Graphs'!B66-'Power Graphs'!B$2)*24/('Power Timeline (arch 1) (Beta A'!$G$9*365*24))</f>
        <v>9999.999957</v>
      </c>
      <c r="G66" s="1">
        <f>'Power Timeline (arch 1) (Beta A'!$F$10*(1/2)^(('Power Graphs'!C66-'Power Graphs'!C$2)*24/('Power Timeline (arch 1) (Beta A'!$G$10*365*24))</f>
        <v>482.973655</v>
      </c>
      <c r="H66" s="1">
        <f>'Power Timeline (arch 1) (Beta A'!$F$11*(1/2)^(('Power Graphs'!D66-'Power Graphs'!D$2)*24/('Power Timeline (arch 1) (Beta A'!$G$11*365*24))</f>
        <v>482.973655</v>
      </c>
    </row>
    <row r="67" ht="15.75" customHeight="1">
      <c r="B67" s="79">
        <f t="shared" ref="B67:D67" si="65">B66+25</f>
        <v>47797</v>
      </c>
      <c r="C67" s="79">
        <f t="shared" si="65"/>
        <v>47797</v>
      </c>
      <c r="D67" s="79">
        <f t="shared" si="65"/>
        <v>47797</v>
      </c>
      <c r="F67" s="1">
        <f>'Power Timeline (arch 1) (Beta A'!$F$9*(1/2)^(('Power Graphs'!B67-'Power Graphs'!B$2)*24/('Power Timeline (arch 1) (Beta A'!$G$9*365*24))</f>
        <v>9999.999956</v>
      </c>
      <c r="G67" s="1">
        <f>'Power Timeline (arch 1) (Beta A'!$F$10*(1/2)^(('Power Graphs'!C67-'Power Graphs'!C$2)*24/('Power Timeline (arch 1) (Beta A'!$G$10*365*24))</f>
        <v>482.712271</v>
      </c>
      <c r="H67" s="1">
        <f>'Power Timeline (arch 1) (Beta A'!$F$11*(1/2)^(('Power Graphs'!D67-'Power Graphs'!D$2)*24/('Power Timeline (arch 1) (Beta A'!$G$11*365*24))</f>
        <v>482.712271</v>
      </c>
    </row>
    <row r="68" ht="15.75" customHeight="1">
      <c r="B68" s="79">
        <f t="shared" ref="B68:D68" si="66">B67+25</f>
        <v>47822</v>
      </c>
      <c r="C68" s="79">
        <f t="shared" si="66"/>
        <v>47822</v>
      </c>
      <c r="D68" s="79">
        <f t="shared" si="66"/>
        <v>47822</v>
      </c>
      <c r="F68" s="1">
        <f>'Power Timeline (arch 1) (Beta A'!$F$9*(1/2)^(('Power Graphs'!B68-'Power Graphs'!B$2)*24/('Power Timeline (arch 1) (Beta A'!$G$9*365*24))</f>
        <v>9999.999955</v>
      </c>
      <c r="G68" s="1">
        <f>'Power Timeline (arch 1) (Beta A'!$F$10*(1/2)^(('Power Graphs'!C68-'Power Graphs'!C$2)*24/('Power Timeline (arch 1) (Beta A'!$G$10*365*24))</f>
        <v>482.4510286</v>
      </c>
      <c r="H68" s="1">
        <f>'Power Timeline (arch 1) (Beta A'!$F$11*(1/2)^(('Power Graphs'!D68-'Power Graphs'!D$2)*24/('Power Timeline (arch 1) (Beta A'!$G$11*365*24))</f>
        <v>482.4510286</v>
      </c>
    </row>
    <row r="69" ht="15.75" customHeight="1">
      <c r="B69" s="79">
        <f t="shared" ref="B69:D69" si="67">B68+25</f>
        <v>47847</v>
      </c>
      <c r="C69" s="79">
        <f t="shared" si="67"/>
        <v>47847</v>
      </c>
      <c r="D69" s="79">
        <f t="shared" si="67"/>
        <v>47847</v>
      </c>
      <c r="F69" s="1">
        <f>'Power Timeline (arch 1) (Beta A'!$F$9*(1/2)^(('Power Graphs'!B69-'Power Graphs'!B$2)*24/('Power Timeline (arch 1) (Beta A'!$G$9*365*24))</f>
        <v>9999.999955</v>
      </c>
      <c r="G69" s="1">
        <f>'Power Timeline (arch 1) (Beta A'!$F$10*(1/2)^(('Power Graphs'!C69-'Power Graphs'!C$2)*24/('Power Timeline (arch 1) (Beta A'!$G$10*365*24))</f>
        <v>482.1899275</v>
      </c>
      <c r="H69" s="1">
        <f>'Power Timeline (arch 1) (Beta A'!$F$11*(1/2)^(('Power Graphs'!D69-'Power Graphs'!D$2)*24/('Power Timeline (arch 1) (Beta A'!$G$11*365*24))</f>
        <v>482.1899275</v>
      </c>
    </row>
    <row r="70" ht="15.75" customHeight="1">
      <c r="B70" s="79">
        <f t="shared" ref="B70:D70" si="68">B69+25</f>
        <v>47872</v>
      </c>
      <c r="C70" s="79">
        <f t="shared" si="68"/>
        <v>47872</v>
      </c>
      <c r="D70" s="79">
        <f t="shared" si="68"/>
        <v>47872</v>
      </c>
      <c r="F70" s="1">
        <f>'Power Timeline (arch 1) (Beta A'!$F$9*(1/2)^(('Power Graphs'!B70-'Power Graphs'!B$2)*24/('Power Timeline (arch 1) (Beta A'!$G$9*365*24))</f>
        <v>9999.999954</v>
      </c>
      <c r="G70" s="1">
        <f>'Power Timeline (arch 1) (Beta A'!$F$10*(1/2)^(('Power Graphs'!C70-'Power Graphs'!C$2)*24/('Power Timeline (arch 1) (Beta A'!$G$10*365*24))</f>
        <v>481.9289677</v>
      </c>
      <c r="H70" s="1">
        <f>'Power Timeline (arch 1) (Beta A'!$F$11*(1/2)^(('Power Graphs'!D70-'Power Graphs'!D$2)*24/('Power Timeline (arch 1) (Beta A'!$G$11*365*24))</f>
        <v>481.9289677</v>
      </c>
    </row>
    <row r="71" ht="15.75" customHeight="1">
      <c r="B71" s="79">
        <f t="shared" ref="B71:D71" si="69">B70+25</f>
        <v>47897</v>
      </c>
      <c r="C71" s="79">
        <f t="shared" si="69"/>
        <v>47897</v>
      </c>
      <c r="D71" s="79">
        <f t="shared" si="69"/>
        <v>47897</v>
      </c>
      <c r="F71" s="1">
        <f>'Power Timeline (arch 1) (Beta A'!$F$9*(1/2)^(('Power Graphs'!B71-'Power Graphs'!B$2)*24/('Power Timeline (arch 1) (Beta A'!$G$9*365*24))</f>
        <v>9999.999953</v>
      </c>
      <c r="G71" s="1">
        <f>'Power Timeline (arch 1) (Beta A'!$F$10*(1/2)^(('Power Graphs'!C71-'Power Graphs'!C$2)*24/('Power Timeline (arch 1) (Beta A'!$G$10*365*24))</f>
        <v>481.6681491</v>
      </c>
      <c r="H71" s="1">
        <f>'Power Timeline (arch 1) (Beta A'!$F$11*(1/2)^(('Power Graphs'!D71-'Power Graphs'!D$2)*24/('Power Timeline (arch 1) (Beta A'!$G$11*365*24))</f>
        <v>481.6681491</v>
      </c>
    </row>
    <row r="72" ht="15.75" customHeight="1">
      <c r="B72" s="79">
        <f t="shared" ref="B72:D72" si="70">B71+25</f>
        <v>47922</v>
      </c>
      <c r="C72" s="79">
        <f t="shared" si="70"/>
        <v>47922</v>
      </c>
      <c r="D72" s="79">
        <f t="shared" si="70"/>
        <v>47922</v>
      </c>
      <c r="F72" s="1">
        <f>'Power Timeline (arch 1) (Beta A'!$F$9*(1/2)^(('Power Graphs'!B72-'Power Graphs'!B$2)*24/('Power Timeline (arch 1) (Beta A'!$G$9*365*24))</f>
        <v>9999.999953</v>
      </c>
      <c r="G72" s="1">
        <f>'Power Timeline (arch 1) (Beta A'!$F$10*(1/2)^(('Power Graphs'!C72-'Power Graphs'!C$2)*24/('Power Timeline (arch 1) (Beta A'!$G$10*365*24))</f>
        <v>481.4074717</v>
      </c>
      <c r="H72" s="1">
        <f>'Power Timeline (arch 1) (Beta A'!$F$11*(1/2)^(('Power Graphs'!D72-'Power Graphs'!D$2)*24/('Power Timeline (arch 1) (Beta A'!$G$11*365*24))</f>
        <v>481.4074717</v>
      </c>
    </row>
    <row r="73" ht="15.75" customHeight="1">
      <c r="B73" s="79">
        <f t="shared" ref="B73:D73" si="71">B72+25</f>
        <v>47947</v>
      </c>
      <c r="C73" s="79">
        <f t="shared" si="71"/>
        <v>47947</v>
      </c>
      <c r="D73" s="79">
        <f t="shared" si="71"/>
        <v>47947</v>
      </c>
      <c r="F73" s="1">
        <f>'Power Timeline (arch 1) (Beta A'!$F$9*(1/2)^(('Power Graphs'!B73-'Power Graphs'!B$2)*24/('Power Timeline (arch 1) (Beta A'!$G$9*365*24))</f>
        <v>9999.999952</v>
      </c>
      <c r="G73" s="1">
        <f>'Power Timeline (arch 1) (Beta A'!$F$10*(1/2)^(('Power Graphs'!C73-'Power Graphs'!C$2)*24/('Power Timeline (arch 1) (Beta A'!$G$10*365*24))</f>
        <v>481.1469354</v>
      </c>
      <c r="H73" s="1">
        <f>'Power Timeline (arch 1) (Beta A'!$F$11*(1/2)^(('Power Graphs'!D73-'Power Graphs'!D$2)*24/('Power Timeline (arch 1) (Beta A'!$G$11*365*24))</f>
        <v>481.1469354</v>
      </c>
    </row>
    <row r="74" ht="15.75" customHeight="1">
      <c r="B74" s="79">
        <f t="shared" ref="B74:D74" si="72">B73+25</f>
        <v>47972</v>
      </c>
      <c r="C74" s="79">
        <f t="shared" si="72"/>
        <v>47972</v>
      </c>
      <c r="D74" s="79">
        <f t="shared" si="72"/>
        <v>47972</v>
      </c>
      <c r="F74" s="1">
        <f>'Power Timeline (arch 1) (Beta A'!$F$9*(1/2)^(('Power Graphs'!B74-'Power Graphs'!B$2)*24/('Power Timeline (arch 1) (Beta A'!$G$9*365*24))</f>
        <v>9999.999951</v>
      </c>
      <c r="G74" s="1">
        <f>'Power Timeline (arch 1) (Beta A'!$F$10*(1/2)^(('Power Graphs'!C74-'Power Graphs'!C$2)*24/('Power Timeline (arch 1) (Beta A'!$G$10*365*24))</f>
        <v>480.88654</v>
      </c>
      <c r="H74" s="1">
        <f>'Power Timeline (arch 1) (Beta A'!$F$11*(1/2)^(('Power Graphs'!D74-'Power Graphs'!D$2)*24/('Power Timeline (arch 1) (Beta A'!$G$11*365*24))</f>
        <v>480.88654</v>
      </c>
    </row>
    <row r="75" ht="15.75" customHeight="1">
      <c r="B75" s="79">
        <f t="shared" ref="B75:D75" si="73">B74+25</f>
        <v>47997</v>
      </c>
      <c r="C75" s="79">
        <f t="shared" si="73"/>
        <v>47997</v>
      </c>
      <c r="D75" s="79">
        <f t="shared" si="73"/>
        <v>47997</v>
      </c>
      <c r="F75" s="1">
        <f>'Power Timeline (arch 1) (Beta A'!$F$9*(1/2)^(('Power Graphs'!B75-'Power Graphs'!B$2)*24/('Power Timeline (arch 1) (Beta A'!$G$9*365*24))</f>
        <v>9999.99995</v>
      </c>
      <c r="G75" s="1">
        <f>'Power Timeline (arch 1) (Beta A'!$F$10*(1/2)^(('Power Graphs'!C75-'Power Graphs'!C$2)*24/('Power Timeline (arch 1) (Beta A'!$G$10*365*24))</f>
        <v>480.6262856</v>
      </c>
      <c r="H75" s="1">
        <f>'Power Timeline (arch 1) (Beta A'!$F$11*(1/2)^(('Power Graphs'!D75-'Power Graphs'!D$2)*24/('Power Timeline (arch 1) (Beta A'!$G$11*365*24))</f>
        <v>480.6262856</v>
      </c>
    </row>
    <row r="76" ht="15.75" customHeight="1">
      <c r="B76" s="79">
        <f t="shared" ref="B76:D76" si="74">B75+25</f>
        <v>48022</v>
      </c>
      <c r="C76" s="79">
        <f t="shared" si="74"/>
        <v>48022</v>
      </c>
      <c r="D76" s="79">
        <f t="shared" si="74"/>
        <v>48022</v>
      </c>
      <c r="F76" s="1">
        <f>'Power Timeline (arch 1) (Beta A'!$F$9*(1/2)^(('Power Graphs'!B76-'Power Graphs'!B$2)*24/('Power Timeline (arch 1) (Beta A'!$G$9*365*24))</f>
        <v>9999.99995</v>
      </c>
      <c r="G76" s="1">
        <f>'Power Timeline (arch 1) (Beta A'!$F$10*(1/2)^(('Power Graphs'!C76-'Power Graphs'!C$2)*24/('Power Timeline (arch 1) (Beta A'!$G$10*365*24))</f>
        <v>480.3661721</v>
      </c>
      <c r="H76" s="1">
        <f>'Power Timeline (arch 1) (Beta A'!$F$11*(1/2)^(('Power Graphs'!D76-'Power Graphs'!D$2)*24/('Power Timeline (arch 1) (Beta A'!$G$11*365*24))</f>
        <v>480.3661721</v>
      </c>
    </row>
    <row r="77" ht="15.75" customHeight="1">
      <c r="B77" s="79">
        <f t="shared" ref="B77:D77" si="75">B76+25</f>
        <v>48047</v>
      </c>
      <c r="C77" s="79">
        <f t="shared" si="75"/>
        <v>48047</v>
      </c>
      <c r="D77" s="79">
        <f t="shared" si="75"/>
        <v>48047</v>
      </c>
      <c r="F77" s="1">
        <f>'Power Timeline (arch 1) (Beta A'!$F$9*(1/2)^(('Power Graphs'!B77-'Power Graphs'!B$2)*24/('Power Timeline (arch 1) (Beta A'!$G$9*365*24))</f>
        <v>9999.999949</v>
      </c>
      <c r="G77" s="1">
        <f>'Power Timeline (arch 1) (Beta A'!$F$10*(1/2)^(('Power Graphs'!C77-'Power Graphs'!C$2)*24/('Power Timeline (arch 1) (Beta A'!$G$10*365*24))</f>
        <v>480.1061993</v>
      </c>
      <c r="H77" s="1">
        <f>'Power Timeline (arch 1) (Beta A'!$F$11*(1/2)^(('Power Graphs'!D77-'Power Graphs'!D$2)*24/('Power Timeline (arch 1) (Beta A'!$G$11*365*24))</f>
        <v>480.1061993</v>
      </c>
    </row>
    <row r="78" ht="15.75" customHeight="1">
      <c r="B78" s="79">
        <f t="shared" ref="B78:D78" si="76">B77+25</f>
        <v>48072</v>
      </c>
      <c r="C78" s="79">
        <f t="shared" si="76"/>
        <v>48072</v>
      </c>
      <c r="D78" s="79">
        <f t="shared" si="76"/>
        <v>48072</v>
      </c>
      <c r="F78" s="1">
        <f>'Power Timeline (arch 1) (Beta A'!$F$9*(1/2)^(('Power Graphs'!B78-'Power Graphs'!B$2)*24/('Power Timeline (arch 1) (Beta A'!$G$9*365*24))</f>
        <v>9999.999948</v>
      </c>
      <c r="G78" s="1">
        <f>'Power Timeline (arch 1) (Beta A'!$F$10*(1/2)^(('Power Graphs'!C78-'Power Graphs'!C$2)*24/('Power Timeline (arch 1) (Beta A'!$G$10*365*24))</f>
        <v>479.8463672</v>
      </c>
      <c r="H78" s="1">
        <f>'Power Timeline (arch 1) (Beta A'!$F$11*(1/2)^(('Power Graphs'!D78-'Power Graphs'!D$2)*24/('Power Timeline (arch 1) (Beta A'!$G$11*365*24))</f>
        <v>479.8463672</v>
      </c>
    </row>
    <row r="79" ht="15.75" customHeight="1">
      <c r="B79" s="79">
        <f t="shared" ref="B79:D79" si="77">B78+25</f>
        <v>48097</v>
      </c>
      <c r="C79" s="79">
        <f t="shared" si="77"/>
        <v>48097</v>
      </c>
      <c r="D79" s="79">
        <f t="shared" si="77"/>
        <v>48097</v>
      </c>
      <c r="F79" s="1">
        <f>'Power Timeline (arch 1) (Beta A'!$F$9*(1/2)^(('Power Graphs'!B79-'Power Graphs'!B$2)*24/('Power Timeline (arch 1) (Beta A'!$G$9*365*24))</f>
        <v>9999.999948</v>
      </c>
      <c r="G79" s="1">
        <f>'Power Timeline (arch 1) (Beta A'!$F$10*(1/2)^(('Power Graphs'!C79-'Power Graphs'!C$2)*24/('Power Timeline (arch 1) (Beta A'!$G$10*365*24))</f>
        <v>479.5866757</v>
      </c>
      <c r="H79" s="1">
        <f>'Power Timeline (arch 1) (Beta A'!$F$11*(1/2)^(('Power Graphs'!D79-'Power Graphs'!D$2)*24/('Power Timeline (arch 1) (Beta A'!$G$11*365*24))</f>
        <v>479.5866757</v>
      </c>
    </row>
    <row r="80" ht="15.75" customHeight="1">
      <c r="B80" s="79">
        <f t="shared" ref="B80:D80" si="78">B79+25</f>
        <v>48122</v>
      </c>
      <c r="C80" s="79">
        <f t="shared" si="78"/>
        <v>48122</v>
      </c>
      <c r="D80" s="79">
        <f t="shared" si="78"/>
        <v>48122</v>
      </c>
      <c r="F80" s="1">
        <f>'Power Timeline (arch 1) (Beta A'!$F$9*(1/2)^(('Power Graphs'!B80-'Power Graphs'!B$2)*24/('Power Timeline (arch 1) (Beta A'!$G$9*365*24))</f>
        <v>9999.999947</v>
      </c>
      <c r="G80" s="1">
        <f>'Power Timeline (arch 1) (Beta A'!$F$10*(1/2)^(('Power Graphs'!C80-'Power Graphs'!C$2)*24/('Power Timeline (arch 1) (Beta A'!$G$10*365*24))</f>
        <v>479.3271248</v>
      </c>
      <c r="H80" s="1">
        <f>'Power Timeline (arch 1) (Beta A'!$F$11*(1/2)^(('Power Graphs'!D80-'Power Graphs'!D$2)*24/('Power Timeline (arch 1) (Beta A'!$G$11*365*24))</f>
        <v>479.3271248</v>
      </c>
    </row>
    <row r="81" ht="15.75" customHeight="1">
      <c r="B81" s="79">
        <f t="shared" ref="B81:D81" si="79">B80+25</f>
        <v>48147</v>
      </c>
      <c r="C81" s="79">
        <f t="shared" si="79"/>
        <v>48147</v>
      </c>
      <c r="D81" s="79">
        <f t="shared" si="79"/>
        <v>48147</v>
      </c>
      <c r="F81" s="1">
        <f>'Power Timeline (arch 1) (Beta A'!$F$9*(1/2)^(('Power Graphs'!B81-'Power Graphs'!B$2)*24/('Power Timeline (arch 1) (Beta A'!$G$9*365*24))</f>
        <v>9999.999946</v>
      </c>
      <c r="G81" s="1">
        <f>'Power Timeline (arch 1) (Beta A'!$F$10*(1/2)^(('Power Graphs'!C81-'Power Graphs'!C$2)*24/('Power Timeline (arch 1) (Beta A'!$G$10*365*24))</f>
        <v>479.0677144</v>
      </c>
      <c r="H81" s="1">
        <f>'Power Timeline (arch 1) (Beta A'!$F$11*(1/2)^(('Power Graphs'!D81-'Power Graphs'!D$2)*24/('Power Timeline (arch 1) (Beta A'!$G$11*365*24))</f>
        <v>479.0677144</v>
      </c>
    </row>
    <row r="82" ht="15.75" customHeight="1">
      <c r="B82" s="79">
        <f t="shared" ref="B82:D82" si="80">B81+25</f>
        <v>48172</v>
      </c>
      <c r="C82" s="79">
        <f t="shared" si="80"/>
        <v>48172</v>
      </c>
      <c r="D82" s="79">
        <f t="shared" si="80"/>
        <v>48172</v>
      </c>
      <c r="F82" s="1">
        <f>'Power Timeline (arch 1) (Beta A'!$F$9*(1/2)^(('Power Graphs'!B82-'Power Graphs'!B$2)*24/('Power Timeline (arch 1) (Beta A'!$G$9*365*24))</f>
        <v>9999.999946</v>
      </c>
      <c r="G82" s="1">
        <f>'Power Timeline (arch 1) (Beta A'!$F$10*(1/2)^(('Power Graphs'!C82-'Power Graphs'!C$2)*24/('Power Timeline (arch 1) (Beta A'!$G$10*365*24))</f>
        <v>478.8084443</v>
      </c>
      <c r="H82" s="1">
        <f>'Power Timeline (arch 1) (Beta A'!$F$11*(1/2)^(('Power Graphs'!D82-'Power Graphs'!D$2)*24/('Power Timeline (arch 1) (Beta A'!$G$11*365*24))</f>
        <v>478.8084443</v>
      </c>
    </row>
    <row r="83" ht="15.75" customHeight="1">
      <c r="B83" s="79">
        <f t="shared" ref="B83:D83" si="81">B82+25</f>
        <v>48197</v>
      </c>
      <c r="C83" s="79">
        <f t="shared" si="81"/>
        <v>48197</v>
      </c>
      <c r="D83" s="79">
        <f t="shared" si="81"/>
        <v>48197</v>
      </c>
      <c r="F83" s="1">
        <f>'Power Timeline (arch 1) (Beta A'!$F$9*(1/2)^(('Power Graphs'!B83-'Power Graphs'!B$2)*24/('Power Timeline (arch 1) (Beta A'!$G$9*365*24))</f>
        <v>9999.999945</v>
      </c>
      <c r="G83" s="1">
        <f>'Power Timeline (arch 1) (Beta A'!$F$10*(1/2)^(('Power Graphs'!C83-'Power Graphs'!C$2)*24/('Power Timeline (arch 1) (Beta A'!$G$10*365*24))</f>
        <v>478.5493146</v>
      </c>
      <c r="H83" s="1">
        <f>'Power Timeline (arch 1) (Beta A'!$F$11*(1/2)^(('Power Graphs'!D83-'Power Graphs'!D$2)*24/('Power Timeline (arch 1) (Beta A'!$G$11*365*24))</f>
        <v>478.5493146</v>
      </c>
    </row>
    <row r="84" ht="15.75" customHeight="1">
      <c r="B84" s="79">
        <f t="shared" ref="B84:D84" si="82">B83+25</f>
        <v>48222</v>
      </c>
      <c r="C84" s="79">
        <f t="shared" si="82"/>
        <v>48222</v>
      </c>
      <c r="D84" s="79">
        <f t="shared" si="82"/>
        <v>48222</v>
      </c>
      <c r="F84" s="1">
        <f>'Power Timeline (arch 1) (Beta A'!$F$9*(1/2)^(('Power Graphs'!B84-'Power Graphs'!B$2)*24/('Power Timeline (arch 1) (Beta A'!$G$9*365*24))</f>
        <v>9999.999944</v>
      </c>
      <c r="G84" s="1">
        <f>'Power Timeline (arch 1) (Beta A'!$F$10*(1/2)^(('Power Graphs'!C84-'Power Graphs'!C$2)*24/('Power Timeline (arch 1) (Beta A'!$G$10*365*24))</f>
        <v>478.290325</v>
      </c>
      <c r="H84" s="1">
        <f>'Power Timeline (arch 1) (Beta A'!$F$11*(1/2)^(('Power Graphs'!D84-'Power Graphs'!D$2)*24/('Power Timeline (arch 1) (Beta A'!$G$11*365*24))</f>
        <v>478.290325</v>
      </c>
    </row>
    <row r="85" ht="15.75" customHeight="1">
      <c r="B85" s="79">
        <f t="shared" ref="B85:D85" si="83">B84+25</f>
        <v>48247</v>
      </c>
      <c r="C85" s="79">
        <f t="shared" si="83"/>
        <v>48247</v>
      </c>
      <c r="D85" s="79">
        <f t="shared" si="83"/>
        <v>48247</v>
      </c>
      <c r="F85" s="1">
        <f>'Power Timeline (arch 1) (Beta A'!$F$9*(1/2)^(('Power Graphs'!B85-'Power Graphs'!B$2)*24/('Power Timeline (arch 1) (Beta A'!$G$9*365*24))</f>
        <v>9999.999944</v>
      </c>
      <c r="G85" s="1">
        <f>'Power Timeline (arch 1) (Beta A'!$F$10*(1/2)^(('Power Graphs'!C85-'Power Graphs'!C$2)*24/('Power Timeline (arch 1) (Beta A'!$G$10*365*24))</f>
        <v>478.0314757</v>
      </c>
      <c r="H85" s="1">
        <f>'Power Timeline (arch 1) (Beta A'!$F$11*(1/2)^(('Power Graphs'!D85-'Power Graphs'!D$2)*24/('Power Timeline (arch 1) (Beta A'!$G$11*365*24))</f>
        <v>478.0314757</v>
      </c>
    </row>
    <row r="86" ht="15.75" customHeight="1">
      <c r="B86" s="79">
        <f t="shared" ref="B86:D86" si="84">B85+25</f>
        <v>48272</v>
      </c>
      <c r="C86" s="79">
        <f t="shared" si="84"/>
        <v>48272</v>
      </c>
      <c r="D86" s="79">
        <f t="shared" si="84"/>
        <v>48272</v>
      </c>
      <c r="F86" s="1">
        <f>'Power Timeline (arch 1) (Beta A'!$F$9*(1/2)^(('Power Graphs'!B86-'Power Graphs'!B$2)*24/('Power Timeline (arch 1) (Beta A'!$G$9*365*24))</f>
        <v>9999.999943</v>
      </c>
      <c r="G86" s="1">
        <f>'Power Timeline (arch 1) (Beta A'!$F$10*(1/2)^(('Power Graphs'!C86-'Power Graphs'!C$2)*24/('Power Timeline (arch 1) (Beta A'!$G$10*365*24))</f>
        <v>477.7727665</v>
      </c>
      <c r="H86" s="1">
        <f>'Power Timeline (arch 1) (Beta A'!$F$11*(1/2)^(('Power Graphs'!D86-'Power Graphs'!D$2)*24/('Power Timeline (arch 1) (Beta A'!$G$11*365*24))</f>
        <v>477.7727665</v>
      </c>
    </row>
    <row r="87" ht="15.75" customHeight="1">
      <c r="B87" s="79">
        <f t="shared" ref="B87:D87" si="85">B86+25</f>
        <v>48297</v>
      </c>
      <c r="C87" s="79">
        <f t="shared" si="85"/>
        <v>48297</v>
      </c>
      <c r="D87" s="79">
        <f t="shared" si="85"/>
        <v>48297</v>
      </c>
      <c r="F87" s="1">
        <f>'Power Timeline (arch 1) (Beta A'!$F$9*(1/2)^(('Power Graphs'!B87-'Power Graphs'!B$2)*24/('Power Timeline (arch 1) (Beta A'!$G$9*365*24))</f>
        <v>9999.999942</v>
      </c>
      <c r="G87" s="1">
        <f>'Power Timeline (arch 1) (Beta A'!$F$10*(1/2)^(('Power Graphs'!C87-'Power Graphs'!C$2)*24/('Power Timeline (arch 1) (Beta A'!$G$10*365*24))</f>
        <v>477.5141972</v>
      </c>
      <c r="H87" s="1">
        <f>'Power Timeline (arch 1) (Beta A'!$F$11*(1/2)^(('Power Graphs'!D87-'Power Graphs'!D$2)*24/('Power Timeline (arch 1) (Beta A'!$G$11*365*24))</f>
        <v>477.5141972</v>
      </c>
    </row>
    <row r="88" ht="15.75" customHeight="1">
      <c r="B88" s="79">
        <f t="shared" ref="B88:D88" si="86">B87+25</f>
        <v>48322</v>
      </c>
      <c r="C88" s="79">
        <f t="shared" si="86"/>
        <v>48322</v>
      </c>
      <c r="D88" s="79">
        <f t="shared" si="86"/>
        <v>48322</v>
      </c>
      <c r="F88" s="1">
        <f>'Power Timeline (arch 1) (Beta A'!$F$9*(1/2)^(('Power Graphs'!B88-'Power Graphs'!B$2)*24/('Power Timeline (arch 1) (Beta A'!$G$9*365*24))</f>
        <v>9999.999942</v>
      </c>
      <c r="G88" s="1">
        <f>'Power Timeline (arch 1) (Beta A'!$F$10*(1/2)^(('Power Graphs'!C88-'Power Graphs'!C$2)*24/('Power Timeline (arch 1) (Beta A'!$G$10*365*24))</f>
        <v>477.2557679</v>
      </c>
      <c r="H88" s="1">
        <f>'Power Timeline (arch 1) (Beta A'!$F$11*(1/2)^(('Power Graphs'!D88-'Power Graphs'!D$2)*24/('Power Timeline (arch 1) (Beta A'!$G$11*365*24))</f>
        <v>477.2557679</v>
      </c>
    </row>
    <row r="89" ht="15.75" customHeight="1">
      <c r="B89" s="79">
        <f t="shared" ref="B89:D89" si="87">B88+25</f>
        <v>48347</v>
      </c>
      <c r="C89" s="79">
        <f t="shared" si="87"/>
        <v>48347</v>
      </c>
      <c r="D89" s="79">
        <f t="shared" si="87"/>
        <v>48347</v>
      </c>
      <c r="F89" s="1">
        <f>'Power Timeline (arch 1) (Beta A'!$F$9*(1/2)^(('Power Graphs'!B89-'Power Graphs'!B$2)*24/('Power Timeline (arch 1) (Beta A'!$G$9*365*24))</f>
        <v>9999.999941</v>
      </c>
      <c r="G89" s="1">
        <f>'Power Timeline (arch 1) (Beta A'!$F$10*(1/2)^(('Power Graphs'!C89-'Power Graphs'!C$2)*24/('Power Timeline (arch 1) (Beta A'!$G$10*365*24))</f>
        <v>476.9974785</v>
      </c>
      <c r="H89" s="1">
        <f>'Power Timeline (arch 1) (Beta A'!$F$11*(1/2)^(('Power Graphs'!D89-'Power Graphs'!D$2)*24/('Power Timeline (arch 1) (Beta A'!$G$11*365*24))</f>
        <v>476.9974785</v>
      </c>
    </row>
    <row r="90" ht="15.75" customHeight="1">
      <c r="B90" s="79">
        <f t="shared" ref="B90:D90" si="88">B89+25</f>
        <v>48372</v>
      </c>
      <c r="C90" s="79">
        <f t="shared" si="88"/>
        <v>48372</v>
      </c>
      <c r="D90" s="79">
        <f t="shared" si="88"/>
        <v>48372</v>
      </c>
      <c r="F90" s="1">
        <f>'Power Timeline (arch 1) (Beta A'!$F$9*(1/2)^(('Power Graphs'!B90-'Power Graphs'!B$2)*24/('Power Timeline (arch 1) (Beta A'!$G$9*365*24))</f>
        <v>9999.99994</v>
      </c>
      <c r="G90" s="1">
        <f>'Power Timeline (arch 1) (Beta A'!$F$10*(1/2)^(('Power Graphs'!C90-'Power Graphs'!C$2)*24/('Power Timeline (arch 1) (Beta A'!$G$10*365*24))</f>
        <v>476.7393288</v>
      </c>
      <c r="H90" s="1">
        <f>'Power Timeline (arch 1) (Beta A'!$F$11*(1/2)^(('Power Graphs'!D90-'Power Graphs'!D$2)*24/('Power Timeline (arch 1) (Beta A'!$G$11*365*24))</f>
        <v>476.7393288</v>
      </c>
    </row>
    <row r="91" ht="15.75" customHeight="1">
      <c r="B91" s="79">
        <f t="shared" ref="B91:D91" si="89">B90+25</f>
        <v>48397</v>
      </c>
      <c r="C91" s="79">
        <f t="shared" si="89"/>
        <v>48397</v>
      </c>
      <c r="D91" s="79">
        <f t="shared" si="89"/>
        <v>48397</v>
      </c>
      <c r="F91" s="1">
        <f>'Power Timeline (arch 1) (Beta A'!$F$9*(1/2)^(('Power Graphs'!B91-'Power Graphs'!B$2)*24/('Power Timeline (arch 1) (Beta A'!$G$9*365*24))</f>
        <v>9999.99994</v>
      </c>
      <c r="G91" s="1">
        <f>'Power Timeline (arch 1) (Beta A'!$F$10*(1/2)^(('Power Graphs'!C91-'Power Graphs'!C$2)*24/('Power Timeline (arch 1) (Beta A'!$G$10*365*24))</f>
        <v>476.4813189</v>
      </c>
      <c r="H91" s="1">
        <f>'Power Timeline (arch 1) (Beta A'!$F$11*(1/2)^(('Power Graphs'!D91-'Power Graphs'!D$2)*24/('Power Timeline (arch 1) (Beta A'!$G$11*365*24))</f>
        <v>476.4813189</v>
      </c>
    </row>
    <row r="92" ht="15.75" customHeight="1">
      <c r="B92" s="79">
        <f t="shared" ref="B92:D92" si="90">B91+25</f>
        <v>48422</v>
      </c>
      <c r="C92" s="79">
        <f t="shared" si="90"/>
        <v>48422</v>
      </c>
      <c r="D92" s="79">
        <f t="shared" si="90"/>
        <v>48422</v>
      </c>
      <c r="F92" s="1">
        <f>'Power Timeline (arch 1) (Beta A'!$F$9*(1/2)^(('Power Graphs'!B92-'Power Graphs'!B$2)*24/('Power Timeline (arch 1) (Beta A'!$G$9*365*24))</f>
        <v>9999.999939</v>
      </c>
      <c r="G92" s="1">
        <f>'Power Timeline (arch 1) (Beta A'!$F$10*(1/2)^(('Power Graphs'!C92-'Power Graphs'!C$2)*24/('Power Timeline (arch 1) (Beta A'!$G$10*365*24))</f>
        <v>476.2234486</v>
      </c>
      <c r="H92" s="1">
        <f>'Power Timeline (arch 1) (Beta A'!$F$11*(1/2)^(('Power Graphs'!D92-'Power Graphs'!D$2)*24/('Power Timeline (arch 1) (Beta A'!$G$11*365*24))</f>
        <v>476.2234486</v>
      </c>
    </row>
    <row r="93" ht="15.75" customHeight="1">
      <c r="B93" s="79">
        <f t="shared" ref="B93:D93" si="91">B92+25</f>
        <v>48447</v>
      </c>
      <c r="C93" s="79">
        <f t="shared" si="91"/>
        <v>48447</v>
      </c>
      <c r="D93" s="79">
        <f t="shared" si="91"/>
        <v>48447</v>
      </c>
      <c r="F93" s="1">
        <f>'Power Timeline (arch 1) (Beta A'!$F$9*(1/2)^(('Power Graphs'!B93-'Power Graphs'!B$2)*24/('Power Timeline (arch 1) (Beta A'!$G$9*365*24))</f>
        <v>9999.999938</v>
      </c>
      <c r="G93" s="1">
        <f>'Power Timeline (arch 1) (Beta A'!$F$10*(1/2)^(('Power Graphs'!C93-'Power Graphs'!C$2)*24/('Power Timeline (arch 1) (Beta A'!$G$10*365*24))</f>
        <v>475.9657178</v>
      </c>
      <c r="H93" s="1">
        <f>'Power Timeline (arch 1) (Beta A'!$F$11*(1/2)^(('Power Graphs'!D93-'Power Graphs'!D$2)*24/('Power Timeline (arch 1) (Beta A'!$G$11*365*24))</f>
        <v>475.9657178</v>
      </c>
    </row>
    <row r="94" ht="15.75" customHeight="1">
      <c r="B94" s="79">
        <f t="shared" ref="B94:D94" si="92">B93+25</f>
        <v>48472</v>
      </c>
      <c r="C94" s="79">
        <f t="shared" si="92"/>
        <v>48472</v>
      </c>
      <c r="D94" s="79">
        <f t="shared" si="92"/>
        <v>48472</v>
      </c>
      <c r="F94" s="1">
        <f>'Power Timeline (arch 1) (Beta A'!$F$9*(1/2)^(('Power Graphs'!B94-'Power Graphs'!B$2)*24/('Power Timeline (arch 1) (Beta A'!$G$9*365*24))</f>
        <v>9999.999938</v>
      </c>
      <c r="G94" s="1">
        <f>'Power Timeline (arch 1) (Beta A'!$F$10*(1/2)^(('Power Graphs'!C94-'Power Graphs'!C$2)*24/('Power Timeline (arch 1) (Beta A'!$G$10*365*24))</f>
        <v>475.7081265</v>
      </c>
      <c r="H94" s="1">
        <f>'Power Timeline (arch 1) (Beta A'!$F$11*(1/2)^(('Power Graphs'!D94-'Power Graphs'!D$2)*24/('Power Timeline (arch 1) (Beta A'!$G$11*365*24))</f>
        <v>475.7081265</v>
      </c>
    </row>
    <row r="95" ht="15.75" customHeight="1">
      <c r="B95" s="79">
        <f t="shared" ref="B95:D95" si="93">B94+25</f>
        <v>48497</v>
      </c>
      <c r="C95" s="79">
        <f t="shared" si="93"/>
        <v>48497</v>
      </c>
      <c r="D95" s="79">
        <f t="shared" si="93"/>
        <v>48497</v>
      </c>
      <c r="F95" s="1">
        <f>'Power Timeline (arch 1) (Beta A'!$F$9*(1/2)^(('Power Graphs'!B95-'Power Graphs'!B$2)*24/('Power Timeline (arch 1) (Beta A'!$G$9*365*24))</f>
        <v>9999.999937</v>
      </c>
      <c r="G95" s="1">
        <f>'Power Timeline (arch 1) (Beta A'!$F$10*(1/2)^(('Power Graphs'!C95-'Power Graphs'!C$2)*24/('Power Timeline (arch 1) (Beta A'!$G$10*365*24))</f>
        <v>475.4506747</v>
      </c>
      <c r="H95" s="1">
        <f>'Power Timeline (arch 1) (Beta A'!$F$11*(1/2)^(('Power Graphs'!D95-'Power Graphs'!D$2)*24/('Power Timeline (arch 1) (Beta A'!$G$11*365*24))</f>
        <v>475.4506747</v>
      </c>
    </row>
    <row r="96" ht="15.75" customHeight="1">
      <c r="B96" s="79">
        <f t="shared" ref="B96:D96" si="94">B95+25</f>
        <v>48522</v>
      </c>
      <c r="C96" s="79">
        <f t="shared" si="94"/>
        <v>48522</v>
      </c>
      <c r="D96" s="79">
        <f t="shared" si="94"/>
        <v>48522</v>
      </c>
      <c r="F96" s="1">
        <f>'Power Timeline (arch 1) (Beta A'!$F$9*(1/2)^(('Power Graphs'!B96-'Power Graphs'!B$2)*24/('Power Timeline (arch 1) (Beta A'!$G$9*365*24))</f>
        <v>9999.999936</v>
      </c>
      <c r="G96" s="1">
        <f>'Power Timeline (arch 1) (Beta A'!$F$10*(1/2)^(('Power Graphs'!C96-'Power Graphs'!C$2)*24/('Power Timeline (arch 1) (Beta A'!$G$10*365*24))</f>
        <v>475.1933622</v>
      </c>
      <c r="H96" s="1">
        <f>'Power Timeline (arch 1) (Beta A'!$F$11*(1/2)^(('Power Graphs'!D96-'Power Graphs'!D$2)*24/('Power Timeline (arch 1) (Beta A'!$G$11*365*24))</f>
        <v>475.1933622</v>
      </c>
    </row>
    <row r="97" ht="15.75" customHeight="1">
      <c r="B97" s="79">
        <f t="shared" ref="B97:D97" si="95">B96+25</f>
        <v>48547</v>
      </c>
      <c r="C97" s="79">
        <f t="shared" si="95"/>
        <v>48547</v>
      </c>
      <c r="D97" s="79">
        <f t="shared" si="95"/>
        <v>48547</v>
      </c>
      <c r="F97" s="1">
        <f>'Power Timeline (arch 1) (Beta A'!$F$9*(1/2)^(('Power Graphs'!B97-'Power Graphs'!B$2)*24/('Power Timeline (arch 1) (Beta A'!$G$9*365*24))</f>
        <v>9999.999936</v>
      </c>
      <c r="G97" s="1">
        <f>'Power Timeline (arch 1) (Beta A'!$F$10*(1/2)^(('Power Graphs'!C97-'Power Graphs'!C$2)*24/('Power Timeline (arch 1) (Beta A'!$G$10*365*24))</f>
        <v>474.9361889</v>
      </c>
      <c r="H97" s="1">
        <f>'Power Timeline (arch 1) (Beta A'!$F$11*(1/2)^(('Power Graphs'!D97-'Power Graphs'!D$2)*24/('Power Timeline (arch 1) (Beta A'!$G$11*365*24))</f>
        <v>474.9361889</v>
      </c>
    </row>
    <row r="98" ht="15.75" customHeight="1">
      <c r="B98" s="79">
        <f t="shared" ref="B98:D98" si="96">B97+25</f>
        <v>48572</v>
      </c>
      <c r="C98" s="79">
        <f t="shared" si="96"/>
        <v>48572</v>
      </c>
      <c r="D98" s="79">
        <f t="shared" si="96"/>
        <v>48572</v>
      </c>
      <c r="F98" s="1">
        <f>'Power Timeline (arch 1) (Beta A'!$F$9*(1/2)^(('Power Graphs'!B98-'Power Graphs'!B$2)*24/('Power Timeline (arch 1) (Beta A'!$G$9*365*24))</f>
        <v>9999.999935</v>
      </c>
      <c r="G98" s="1">
        <f>'Power Timeline (arch 1) (Beta A'!$F$10*(1/2)^(('Power Graphs'!C98-'Power Graphs'!C$2)*24/('Power Timeline (arch 1) (Beta A'!$G$10*365*24))</f>
        <v>474.6791548</v>
      </c>
      <c r="H98" s="1">
        <f>'Power Timeline (arch 1) (Beta A'!$F$11*(1/2)^(('Power Graphs'!D98-'Power Graphs'!D$2)*24/('Power Timeline (arch 1) (Beta A'!$G$11*365*24))</f>
        <v>474.6791548</v>
      </c>
    </row>
    <row r="99" ht="15.75" customHeight="1">
      <c r="B99" s="79">
        <f t="shared" ref="B99:D99" si="97">B98+25</f>
        <v>48597</v>
      </c>
      <c r="C99" s="79">
        <f t="shared" si="97"/>
        <v>48597</v>
      </c>
      <c r="D99" s="79">
        <f t="shared" si="97"/>
        <v>48597</v>
      </c>
      <c r="F99" s="1">
        <f>'Power Timeline (arch 1) (Beta A'!$F$9*(1/2)^(('Power Graphs'!B99-'Power Graphs'!B$2)*24/('Power Timeline (arch 1) (Beta A'!$G$9*365*24))</f>
        <v>9999.999934</v>
      </c>
      <c r="G99" s="1">
        <f>'Power Timeline (arch 1) (Beta A'!$F$10*(1/2)^(('Power Graphs'!C99-'Power Graphs'!C$2)*24/('Power Timeline (arch 1) (Beta A'!$G$10*365*24))</f>
        <v>474.4222598</v>
      </c>
      <c r="H99" s="1">
        <f>'Power Timeline (arch 1) (Beta A'!$F$11*(1/2)^(('Power Graphs'!D99-'Power Graphs'!D$2)*24/('Power Timeline (arch 1) (Beta A'!$G$11*365*24))</f>
        <v>474.4222598</v>
      </c>
    </row>
    <row r="100" ht="15.75" customHeight="1">
      <c r="B100" s="79">
        <f t="shared" ref="B100:D100" si="98">B99+25</f>
        <v>48622</v>
      </c>
      <c r="C100" s="79">
        <f t="shared" si="98"/>
        <v>48622</v>
      </c>
      <c r="D100" s="79">
        <f t="shared" si="98"/>
        <v>48622</v>
      </c>
      <c r="F100" s="1">
        <f>'Power Timeline (arch 1) (Beta A'!$F$9*(1/2)^(('Power Graphs'!B100-'Power Graphs'!B$2)*24/('Power Timeline (arch 1) (Beta A'!$G$9*365*24))</f>
        <v>9999.999934</v>
      </c>
      <c r="G100" s="1">
        <f>'Power Timeline (arch 1) (Beta A'!$F$10*(1/2)^(('Power Graphs'!C100-'Power Graphs'!C$2)*24/('Power Timeline (arch 1) (Beta A'!$G$10*365*24))</f>
        <v>474.1655038</v>
      </c>
      <c r="H100" s="1">
        <f>'Power Timeline (arch 1) (Beta A'!$F$11*(1/2)^(('Power Graphs'!D100-'Power Graphs'!D$2)*24/('Power Timeline (arch 1) (Beta A'!$G$11*365*24))</f>
        <v>474.1655038</v>
      </c>
    </row>
    <row r="101" ht="15.75" customHeight="1">
      <c r="B101" s="79">
        <f t="shared" ref="B101:D101" si="99">B100+25</f>
        <v>48647</v>
      </c>
      <c r="C101" s="79">
        <f t="shared" si="99"/>
        <v>48647</v>
      </c>
      <c r="D101" s="79">
        <f t="shared" si="99"/>
        <v>48647</v>
      </c>
      <c r="F101" s="1">
        <f>'Power Timeline (arch 1) (Beta A'!$F$9*(1/2)^(('Power Graphs'!B101-'Power Graphs'!B$2)*24/('Power Timeline (arch 1) (Beta A'!$G$9*365*24))</f>
        <v>9999.999933</v>
      </c>
      <c r="G101" s="1">
        <f>'Power Timeline (arch 1) (Beta A'!$F$10*(1/2)^(('Power Graphs'!C101-'Power Graphs'!C$2)*24/('Power Timeline (arch 1) (Beta A'!$G$10*365*24))</f>
        <v>473.9088869</v>
      </c>
      <c r="H101" s="1">
        <f>'Power Timeline (arch 1) (Beta A'!$F$11*(1/2)^(('Power Graphs'!D101-'Power Graphs'!D$2)*24/('Power Timeline (arch 1) (Beta A'!$G$11*365*24))</f>
        <v>473.9088869</v>
      </c>
    </row>
    <row r="102" ht="15.75" customHeight="1">
      <c r="B102" s="79">
        <f t="shared" ref="B102:D102" si="100">B101+25</f>
        <v>48672</v>
      </c>
      <c r="C102" s="79">
        <f t="shared" si="100"/>
        <v>48672</v>
      </c>
      <c r="D102" s="79">
        <f t="shared" si="100"/>
        <v>48672</v>
      </c>
      <c r="F102" s="1">
        <f>'Power Timeline (arch 1) (Beta A'!$F$9*(1/2)^(('Power Graphs'!B102-'Power Graphs'!B$2)*24/('Power Timeline (arch 1) (Beta A'!$G$9*365*24))</f>
        <v>9999.999932</v>
      </c>
      <c r="G102" s="1">
        <f>'Power Timeline (arch 1) (Beta A'!$F$10*(1/2)^(('Power Graphs'!C102-'Power Graphs'!C$2)*24/('Power Timeline (arch 1) (Beta A'!$G$10*365*24))</f>
        <v>473.6524087</v>
      </c>
      <c r="H102" s="1">
        <f>'Power Timeline (arch 1) (Beta A'!$F$11*(1/2)^(('Power Graphs'!D102-'Power Graphs'!D$2)*24/('Power Timeline (arch 1) (Beta A'!$G$11*365*24))</f>
        <v>473.6524087</v>
      </c>
    </row>
    <row r="103" ht="15.75" customHeight="1">
      <c r="B103" s="79">
        <f t="shared" ref="B103:D103" si="101">B102+25</f>
        <v>48697</v>
      </c>
      <c r="C103" s="79">
        <f t="shared" si="101"/>
        <v>48697</v>
      </c>
      <c r="D103" s="79">
        <f t="shared" si="101"/>
        <v>48697</v>
      </c>
      <c r="F103" s="1">
        <f>'Power Timeline (arch 1) (Beta A'!$F$9*(1/2)^(('Power Graphs'!B103-'Power Graphs'!B$2)*24/('Power Timeline (arch 1) (Beta A'!$G$9*365*24))</f>
        <v>9999.999931</v>
      </c>
      <c r="G103" s="1">
        <f>'Power Timeline (arch 1) (Beta A'!$F$10*(1/2)^(('Power Graphs'!C103-'Power Graphs'!C$2)*24/('Power Timeline (arch 1) (Beta A'!$G$10*365*24))</f>
        <v>473.3960694</v>
      </c>
      <c r="H103" s="1">
        <f>'Power Timeline (arch 1) (Beta A'!$F$11*(1/2)^(('Power Graphs'!D103-'Power Graphs'!D$2)*24/('Power Timeline (arch 1) (Beta A'!$G$11*365*24))</f>
        <v>473.3960694</v>
      </c>
    </row>
    <row r="104" ht="15.75" customHeight="1">
      <c r="B104" s="79">
        <f t="shared" ref="B104:D104" si="102">B103+25</f>
        <v>48722</v>
      </c>
      <c r="C104" s="79">
        <f t="shared" si="102"/>
        <v>48722</v>
      </c>
      <c r="D104" s="79">
        <f t="shared" si="102"/>
        <v>48722</v>
      </c>
      <c r="F104" s="1">
        <f>'Power Timeline (arch 1) (Beta A'!$F$9*(1/2)^(('Power Graphs'!B104-'Power Graphs'!B$2)*24/('Power Timeline (arch 1) (Beta A'!$G$9*365*24))</f>
        <v>9999.999931</v>
      </c>
      <c r="G104" s="1">
        <f>'Power Timeline (arch 1) (Beta A'!$F$10*(1/2)^(('Power Graphs'!C104-'Power Graphs'!C$2)*24/('Power Timeline (arch 1) (Beta A'!$G$10*365*24))</f>
        <v>473.1398688</v>
      </c>
      <c r="H104" s="1">
        <f>'Power Timeline (arch 1) (Beta A'!$F$11*(1/2)^(('Power Graphs'!D104-'Power Graphs'!D$2)*24/('Power Timeline (arch 1) (Beta A'!$G$11*365*24))</f>
        <v>473.1398688</v>
      </c>
    </row>
    <row r="105" ht="15.75" customHeight="1">
      <c r="B105" s="79">
        <f t="shared" ref="B105:D105" si="103">B104+25</f>
        <v>48747</v>
      </c>
      <c r="C105" s="79">
        <f t="shared" si="103"/>
        <v>48747</v>
      </c>
      <c r="D105" s="79">
        <f t="shared" si="103"/>
        <v>48747</v>
      </c>
      <c r="F105" s="1">
        <f>'Power Timeline (arch 1) (Beta A'!$F$9*(1/2)^(('Power Graphs'!B105-'Power Graphs'!B$2)*24/('Power Timeline (arch 1) (Beta A'!$G$9*365*24))</f>
        <v>9999.99993</v>
      </c>
      <c r="G105" s="1">
        <f>'Power Timeline (arch 1) (Beta A'!$F$10*(1/2)^(('Power Graphs'!C105-'Power Graphs'!C$2)*24/('Power Timeline (arch 1) (Beta A'!$G$10*365*24))</f>
        <v>472.8838069</v>
      </c>
      <c r="H105" s="1">
        <f>'Power Timeline (arch 1) (Beta A'!$F$11*(1/2)^(('Power Graphs'!D105-'Power Graphs'!D$2)*24/('Power Timeline (arch 1) (Beta A'!$G$11*365*24))</f>
        <v>472.8838069</v>
      </c>
    </row>
    <row r="106" ht="15.75" customHeight="1">
      <c r="B106" s="79">
        <f t="shared" ref="B106:D106" si="104">B105+25</f>
        <v>48772</v>
      </c>
      <c r="C106" s="79">
        <f t="shared" si="104"/>
        <v>48772</v>
      </c>
      <c r="D106" s="79">
        <f t="shared" si="104"/>
        <v>48772</v>
      </c>
      <c r="F106" s="1">
        <f>'Power Timeline (arch 1) (Beta A'!$F$9*(1/2)^(('Power Graphs'!B106-'Power Graphs'!B$2)*24/('Power Timeline (arch 1) (Beta A'!$G$9*365*24))</f>
        <v>9999.999929</v>
      </c>
      <c r="G106" s="1">
        <f>'Power Timeline (arch 1) (Beta A'!$F$10*(1/2)^(('Power Graphs'!C106-'Power Graphs'!C$2)*24/('Power Timeline (arch 1) (Beta A'!$G$10*365*24))</f>
        <v>472.6278836</v>
      </c>
      <c r="H106" s="1">
        <f>'Power Timeline (arch 1) (Beta A'!$F$11*(1/2)^(('Power Graphs'!D106-'Power Graphs'!D$2)*24/('Power Timeline (arch 1) (Beta A'!$G$11*365*24))</f>
        <v>472.6278836</v>
      </c>
    </row>
    <row r="107" ht="15.75" customHeight="1">
      <c r="B107" s="79">
        <f t="shared" ref="B107:D107" si="105">B106+25</f>
        <v>48797</v>
      </c>
      <c r="C107" s="79">
        <f t="shared" si="105"/>
        <v>48797</v>
      </c>
      <c r="D107" s="79">
        <f t="shared" si="105"/>
        <v>48797</v>
      </c>
      <c r="F107" s="1">
        <f>'Power Timeline (arch 1) (Beta A'!$F$9*(1/2)^(('Power Graphs'!B107-'Power Graphs'!B$2)*24/('Power Timeline (arch 1) (Beta A'!$G$9*365*24))</f>
        <v>9999.999929</v>
      </c>
      <c r="G107" s="1">
        <f>'Power Timeline (arch 1) (Beta A'!$F$10*(1/2)^(('Power Graphs'!C107-'Power Graphs'!C$2)*24/('Power Timeline (arch 1) (Beta A'!$G$10*365*24))</f>
        <v>472.3720987</v>
      </c>
      <c r="H107" s="1">
        <f>'Power Timeline (arch 1) (Beta A'!$F$11*(1/2)^(('Power Graphs'!D107-'Power Graphs'!D$2)*24/('Power Timeline (arch 1) (Beta A'!$G$11*365*24))</f>
        <v>472.3720987</v>
      </c>
    </row>
    <row r="108" ht="15.75" customHeight="1">
      <c r="B108" s="79">
        <f t="shared" ref="B108:D108" si="106">B107+25</f>
        <v>48822</v>
      </c>
      <c r="C108" s="79">
        <f t="shared" si="106"/>
        <v>48822</v>
      </c>
      <c r="D108" s="79">
        <f t="shared" si="106"/>
        <v>48822</v>
      </c>
      <c r="F108" s="1">
        <f>'Power Timeline (arch 1) (Beta A'!$F$9*(1/2)^(('Power Graphs'!B108-'Power Graphs'!B$2)*24/('Power Timeline (arch 1) (Beta A'!$G$9*365*24))</f>
        <v>9999.999928</v>
      </c>
      <c r="G108" s="1">
        <f>'Power Timeline (arch 1) (Beta A'!$F$10*(1/2)^(('Power Graphs'!C108-'Power Graphs'!C$2)*24/('Power Timeline (arch 1) (Beta A'!$G$10*365*24))</f>
        <v>472.1164523</v>
      </c>
      <c r="H108" s="1">
        <f>'Power Timeline (arch 1) (Beta A'!$F$11*(1/2)^(('Power Graphs'!D108-'Power Graphs'!D$2)*24/('Power Timeline (arch 1) (Beta A'!$G$11*365*24))</f>
        <v>472.1164523</v>
      </c>
    </row>
    <row r="109" ht="15.75" customHeight="1">
      <c r="B109" s="79">
        <f t="shared" ref="B109:D109" si="107">B108+25</f>
        <v>48847</v>
      </c>
      <c r="C109" s="79">
        <f t="shared" si="107"/>
        <v>48847</v>
      </c>
      <c r="D109" s="79">
        <f t="shared" si="107"/>
        <v>48847</v>
      </c>
      <c r="F109" s="1">
        <f>'Power Timeline (arch 1) (Beta A'!$F$9*(1/2)^(('Power Graphs'!B109-'Power Graphs'!B$2)*24/('Power Timeline (arch 1) (Beta A'!$G$9*365*24))</f>
        <v>9999.999927</v>
      </c>
      <c r="G109" s="1">
        <f>'Power Timeline (arch 1) (Beta A'!$F$10*(1/2)^(('Power Graphs'!C109-'Power Graphs'!C$2)*24/('Power Timeline (arch 1) (Beta A'!$G$10*365*24))</f>
        <v>471.8609442</v>
      </c>
      <c r="H109" s="1">
        <f>'Power Timeline (arch 1) (Beta A'!$F$11*(1/2)^(('Power Graphs'!D109-'Power Graphs'!D$2)*24/('Power Timeline (arch 1) (Beta A'!$G$11*365*24))</f>
        <v>471.8609442</v>
      </c>
    </row>
    <row r="110" ht="15.75" customHeight="1">
      <c r="B110" s="79">
        <f t="shared" ref="B110:D110" si="108">B109+25</f>
        <v>48872</v>
      </c>
      <c r="C110" s="79">
        <f t="shared" si="108"/>
        <v>48872</v>
      </c>
      <c r="D110" s="79">
        <f t="shared" si="108"/>
        <v>48872</v>
      </c>
      <c r="F110" s="1">
        <f>'Power Timeline (arch 1) (Beta A'!$F$9*(1/2)^(('Power Graphs'!B110-'Power Graphs'!B$2)*24/('Power Timeline (arch 1) (Beta A'!$G$9*365*24))</f>
        <v>9999.999927</v>
      </c>
      <c r="G110" s="1">
        <f>'Power Timeline (arch 1) (Beta A'!$F$10*(1/2)^(('Power Graphs'!C110-'Power Graphs'!C$2)*24/('Power Timeline (arch 1) (Beta A'!$G$10*365*24))</f>
        <v>471.6055745</v>
      </c>
      <c r="H110" s="1">
        <f>'Power Timeline (arch 1) (Beta A'!$F$11*(1/2)^(('Power Graphs'!D110-'Power Graphs'!D$2)*24/('Power Timeline (arch 1) (Beta A'!$G$11*365*24))</f>
        <v>471.6055745</v>
      </c>
    </row>
    <row r="111" ht="15.75" customHeight="1">
      <c r="B111" s="79">
        <f t="shared" ref="B111:D111" si="109">B110+25</f>
        <v>48897</v>
      </c>
      <c r="C111" s="79">
        <f t="shared" si="109"/>
        <v>48897</v>
      </c>
      <c r="D111" s="79">
        <f t="shared" si="109"/>
        <v>48897</v>
      </c>
      <c r="F111" s="1">
        <f>'Power Timeline (arch 1) (Beta A'!$F$9*(1/2)^(('Power Graphs'!B111-'Power Graphs'!B$2)*24/('Power Timeline (arch 1) (Beta A'!$G$9*365*24))</f>
        <v>9999.999926</v>
      </c>
      <c r="G111" s="1">
        <f>'Power Timeline (arch 1) (Beta A'!$F$10*(1/2)^(('Power Graphs'!C111-'Power Graphs'!C$2)*24/('Power Timeline (arch 1) (Beta A'!$G$10*365*24))</f>
        <v>471.3503429</v>
      </c>
      <c r="H111" s="1">
        <f>'Power Timeline (arch 1) (Beta A'!$F$11*(1/2)^(('Power Graphs'!D111-'Power Graphs'!D$2)*24/('Power Timeline (arch 1) (Beta A'!$G$11*365*24))</f>
        <v>471.3503429</v>
      </c>
    </row>
    <row r="112" ht="15.75" customHeight="1">
      <c r="B112" s="79">
        <f t="shared" ref="B112:D112" si="110">B111+25</f>
        <v>48922</v>
      </c>
      <c r="C112" s="79">
        <f t="shared" si="110"/>
        <v>48922</v>
      </c>
      <c r="D112" s="79">
        <f t="shared" si="110"/>
        <v>48922</v>
      </c>
      <c r="F112" s="1">
        <f>'Power Timeline (arch 1) (Beta A'!$F$9*(1/2)^(('Power Graphs'!B112-'Power Graphs'!B$2)*24/('Power Timeline (arch 1) (Beta A'!$G$9*365*24))</f>
        <v>9999.999925</v>
      </c>
      <c r="G112" s="1">
        <f>'Power Timeline (arch 1) (Beta A'!$F$10*(1/2)^(('Power Graphs'!C112-'Power Graphs'!C$2)*24/('Power Timeline (arch 1) (Beta A'!$G$10*365*24))</f>
        <v>471.0952495</v>
      </c>
      <c r="H112" s="1">
        <f>'Power Timeline (arch 1) (Beta A'!$F$11*(1/2)^(('Power Graphs'!D112-'Power Graphs'!D$2)*24/('Power Timeline (arch 1) (Beta A'!$G$11*365*24))</f>
        <v>471.0952495</v>
      </c>
    </row>
    <row r="113" ht="15.75" customHeight="1">
      <c r="B113" s="79">
        <f t="shared" ref="B113:D113" si="111">B112+25</f>
        <v>48947</v>
      </c>
      <c r="C113" s="79">
        <f t="shared" si="111"/>
        <v>48947</v>
      </c>
      <c r="D113" s="79">
        <f t="shared" si="111"/>
        <v>48947</v>
      </c>
      <c r="F113" s="1">
        <f>'Power Timeline (arch 1) (Beta A'!$F$9*(1/2)^(('Power Graphs'!B113-'Power Graphs'!B$2)*24/('Power Timeline (arch 1) (Beta A'!$G$9*365*24))</f>
        <v>9999.999925</v>
      </c>
      <c r="G113" s="1">
        <f>'Power Timeline (arch 1) (Beta A'!$F$10*(1/2)^(('Power Graphs'!C113-'Power Graphs'!C$2)*24/('Power Timeline (arch 1) (Beta A'!$G$10*365*24))</f>
        <v>470.8402941</v>
      </c>
      <c r="H113" s="1">
        <f>'Power Timeline (arch 1) (Beta A'!$F$11*(1/2)^(('Power Graphs'!D113-'Power Graphs'!D$2)*24/('Power Timeline (arch 1) (Beta A'!$G$11*365*24))</f>
        <v>470.8402941</v>
      </c>
    </row>
    <row r="114" ht="15.75" customHeight="1">
      <c r="B114" s="79">
        <f t="shared" ref="B114:D114" si="112">B113+25</f>
        <v>48972</v>
      </c>
      <c r="C114" s="79">
        <f t="shared" si="112"/>
        <v>48972</v>
      </c>
      <c r="D114" s="79">
        <f t="shared" si="112"/>
        <v>48972</v>
      </c>
      <c r="F114" s="1">
        <f>'Power Timeline (arch 1) (Beta A'!$F$9*(1/2)^(('Power Graphs'!B114-'Power Graphs'!B$2)*24/('Power Timeline (arch 1) (Beta A'!$G$9*365*24))</f>
        <v>9999.999924</v>
      </c>
      <c r="G114" s="1">
        <f>'Power Timeline (arch 1) (Beta A'!$F$10*(1/2)^(('Power Graphs'!C114-'Power Graphs'!C$2)*24/('Power Timeline (arch 1) (Beta A'!$G$10*365*24))</f>
        <v>470.5854767</v>
      </c>
      <c r="H114" s="1">
        <f>'Power Timeline (arch 1) (Beta A'!$F$11*(1/2)^(('Power Graphs'!D114-'Power Graphs'!D$2)*24/('Power Timeline (arch 1) (Beta A'!$G$11*365*24))</f>
        <v>470.5854767</v>
      </c>
    </row>
    <row r="115" ht="15.75" customHeight="1">
      <c r="B115" s="79">
        <f t="shared" ref="B115:D115" si="113">B114+25</f>
        <v>48997</v>
      </c>
      <c r="C115" s="79">
        <f t="shared" si="113"/>
        <v>48997</v>
      </c>
      <c r="D115" s="79">
        <f t="shared" si="113"/>
        <v>48997</v>
      </c>
      <c r="F115" s="1">
        <f>'Power Timeline (arch 1) (Beta A'!$F$9*(1/2)^(('Power Graphs'!B115-'Power Graphs'!B$2)*24/('Power Timeline (arch 1) (Beta A'!$G$9*365*24))</f>
        <v>9999.999923</v>
      </c>
      <c r="G115" s="1">
        <f>'Power Timeline (arch 1) (Beta A'!$F$10*(1/2)^(('Power Graphs'!C115-'Power Graphs'!C$2)*24/('Power Timeline (arch 1) (Beta A'!$G$10*365*24))</f>
        <v>470.3307972</v>
      </c>
      <c r="H115" s="1">
        <f>'Power Timeline (arch 1) (Beta A'!$F$11*(1/2)^(('Power Graphs'!D115-'Power Graphs'!D$2)*24/('Power Timeline (arch 1) (Beta A'!$G$11*365*24))</f>
        <v>470.3307972</v>
      </c>
    </row>
    <row r="116" ht="15.75" customHeight="1">
      <c r="B116" s="79">
        <f t="shared" ref="B116:D116" si="114">B115+25</f>
        <v>49022</v>
      </c>
      <c r="C116" s="79">
        <f t="shared" si="114"/>
        <v>49022</v>
      </c>
      <c r="D116" s="79">
        <f t="shared" si="114"/>
        <v>49022</v>
      </c>
      <c r="F116" s="1">
        <f>'Power Timeline (arch 1) (Beta A'!$F$9*(1/2)^(('Power Graphs'!B116-'Power Graphs'!B$2)*24/('Power Timeline (arch 1) (Beta A'!$G$9*365*24))</f>
        <v>9999.999923</v>
      </c>
      <c r="G116" s="1">
        <f>'Power Timeline (arch 1) (Beta A'!$F$10*(1/2)^(('Power Graphs'!C116-'Power Graphs'!C$2)*24/('Power Timeline (arch 1) (Beta A'!$G$10*365*24))</f>
        <v>470.0762555</v>
      </c>
      <c r="H116" s="1">
        <f>'Power Timeline (arch 1) (Beta A'!$F$11*(1/2)^(('Power Graphs'!D116-'Power Graphs'!D$2)*24/('Power Timeline (arch 1) (Beta A'!$G$11*365*24))</f>
        <v>470.0762555</v>
      </c>
    </row>
    <row r="117" ht="15.75" customHeight="1">
      <c r="B117" s="79">
        <f t="shared" ref="B117:D117" si="115">B116+25</f>
        <v>49047</v>
      </c>
      <c r="C117" s="79">
        <f t="shared" si="115"/>
        <v>49047</v>
      </c>
      <c r="D117" s="79">
        <f t="shared" si="115"/>
        <v>49047</v>
      </c>
      <c r="F117" s="1">
        <f>'Power Timeline (arch 1) (Beta A'!$F$9*(1/2)^(('Power Graphs'!B117-'Power Graphs'!B$2)*24/('Power Timeline (arch 1) (Beta A'!$G$9*365*24))</f>
        <v>9999.999922</v>
      </c>
      <c r="G117" s="1">
        <f>'Power Timeline (arch 1) (Beta A'!$F$10*(1/2)^(('Power Graphs'!C117-'Power Graphs'!C$2)*24/('Power Timeline (arch 1) (Beta A'!$G$10*365*24))</f>
        <v>469.8218516</v>
      </c>
      <c r="H117" s="1">
        <f>'Power Timeline (arch 1) (Beta A'!$F$11*(1/2)^(('Power Graphs'!D117-'Power Graphs'!D$2)*24/('Power Timeline (arch 1) (Beta A'!$G$11*365*24))</f>
        <v>469.8218516</v>
      </c>
    </row>
    <row r="118" ht="15.75" customHeight="1">
      <c r="B118" s="79">
        <f t="shared" ref="B118:D118" si="116">B117+25</f>
        <v>49072</v>
      </c>
      <c r="C118" s="79">
        <f t="shared" si="116"/>
        <v>49072</v>
      </c>
      <c r="D118" s="79">
        <f t="shared" si="116"/>
        <v>49072</v>
      </c>
      <c r="F118" s="1">
        <f>'Power Timeline (arch 1) (Beta A'!$F$9*(1/2)^(('Power Graphs'!B118-'Power Graphs'!B$2)*24/('Power Timeline (arch 1) (Beta A'!$G$9*365*24))</f>
        <v>9999.999921</v>
      </c>
      <c r="G118" s="1">
        <f>'Power Timeline (arch 1) (Beta A'!$F$10*(1/2)^(('Power Graphs'!C118-'Power Graphs'!C$2)*24/('Power Timeline (arch 1) (Beta A'!$G$10*365*24))</f>
        <v>469.5675854</v>
      </c>
      <c r="H118" s="1">
        <f>'Power Timeline (arch 1) (Beta A'!$F$11*(1/2)^(('Power Graphs'!D118-'Power Graphs'!D$2)*24/('Power Timeline (arch 1) (Beta A'!$G$11*365*24))</f>
        <v>469.5675854</v>
      </c>
    </row>
    <row r="119" ht="15.75" customHeight="1">
      <c r="B119" s="79">
        <f t="shared" ref="B119:D119" si="117">B118+25</f>
        <v>49097</v>
      </c>
      <c r="C119" s="79">
        <f t="shared" si="117"/>
        <v>49097</v>
      </c>
      <c r="D119" s="79">
        <f t="shared" si="117"/>
        <v>49097</v>
      </c>
      <c r="F119" s="1">
        <f>'Power Timeline (arch 1) (Beta A'!$F$9*(1/2)^(('Power Graphs'!B119-'Power Graphs'!B$2)*24/('Power Timeline (arch 1) (Beta A'!$G$9*365*24))</f>
        <v>9999.999921</v>
      </c>
      <c r="G119" s="1">
        <f>'Power Timeline (arch 1) (Beta A'!$F$10*(1/2)^(('Power Graphs'!C119-'Power Graphs'!C$2)*24/('Power Timeline (arch 1) (Beta A'!$G$10*365*24))</f>
        <v>469.3134567</v>
      </c>
      <c r="H119" s="1">
        <f>'Power Timeline (arch 1) (Beta A'!$F$11*(1/2)^(('Power Graphs'!D119-'Power Graphs'!D$2)*24/('Power Timeline (arch 1) (Beta A'!$G$11*365*24))</f>
        <v>469.3134567</v>
      </c>
    </row>
    <row r="120" ht="15.75" customHeight="1">
      <c r="B120" s="79">
        <f t="shared" ref="B120:D120" si="118">B119+25</f>
        <v>49122</v>
      </c>
      <c r="C120" s="79">
        <f t="shared" si="118"/>
        <v>49122</v>
      </c>
      <c r="D120" s="79">
        <f t="shared" si="118"/>
        <v>49122</v>
      </c>
      <c r="F120" s="1">
        <f>'Power Timeline (arch 1) (Beta A'!$F$9*(1/2)^(('Power Graphs'!B120-'Power Graphs'!B$2)*24/('Power Timeline (arch 1) (Beta A'!$G$9*365*24))</f>
        <v>9999.99992</v>
      </c>
      <c r="G120" s="1">
        <f>'Power Timeline (arch 1) (Beta A'!$F$10*(1/2)^(('Power Graphs'!C120-'Power Graphs'!C$2)*24/('Power Timeline (arch 1) (Beta A'!$G$10*365*24))</f>
        <v>469.0594657</v>
      </c>
      <c r="H120" s="1">
        <f>'Power Timeline (arch 1) (Beta A'!$F$11*(1/2)^(('Power Graphs'!D120-'Power Graphs'!D$2)*24/('Power Timeline (arch 1) (Beta A'!$G$11*365*24))</f>
        <v>469.0594657</v>
      </c>
    </row>
    <row r="121" ht="15.75" customHeight="1">
      <c r="B121" s="79">
        <f t="shared" ref="B121:D121" si="119">B120+25</f>
        <v>49147</v>
      </c>
      <c r="C121" s="79">
        <f t="shared" si="119"/>
        <v>49147</v>
      </c>
      <c r="D121" s="79">
        <f t="shared" si="119"/>
        <v>49147</v>
      </c>
      <c r="F121" s="1">
        <f>'Power Timeline (arch 1) (Beta A'!$F$9*(1/2)^(('Power Graphs'!B121-'Power Graphs'!B$2)*24/('Power Timeline (arch 1) (Beta A'!$G$9*365*24))</f>
        <v>9999.999919</v>
      </c>
      <c r="G121" s="1">
        <f>'Power Timeline (arch 1) (Beta A'!$F$10*(1/2)^(('Power Graphs'!C121-'Power Graphs'!C$2)*24/('Power Timeline (arch 1) (Beta A'!$G$10*365*24))</f>
        <v>468.805612</v>
      </c>
      <c r="H121" s="1">
        <f>'Power Timeline (arch 1) (Beta A'!$F$11*(1/2)^(('Power Graphs'!D121-'Power Graphs'!D$2)*24/('Power Timeline (arch 1) (Beta A'!$G$11*365*24))</f>
        <v>468.805612</v>
      </c>
    </row>
    <row r="122" ht="15.75" customHeight="1">
      <c r="B122" s="79">
        <f t="shared" ref="B122:D122" si="120">B121+25</f>
        <v>49172</v>
      </c>
      <c r="C122" s="79">
        <f t="shared" si="120"/>
        <v>49172</v>
      </c>
      <c r="D122" s="79">
        <f t="shared" si="120"/>
        <v>49172</v>
      </c>
      <c r="F122" s="1">
        <f>'Power Timeline (arch 1) (Beta A'!$F$9*(1/2)^(('Power Graphs'!B122-'Power Graphs'!B$2)*24/('Power Timeline (arch 1) (Beta A'!$G$9*365*24))</f>
        <v>9999.999919</v>
      </c>
      <c r="G122" s="1">
        <f>'Power Timeline (arch 1) (Beta A'!$F$10*(1/2)^(('Power Graphs'!C122-'Power Graphs'!C$2)*24/('Power Timeline (arch 1) (Beta A'!$G$10*365*24))</f>
        <v>468.5518958</v>
      </c>
      <c r="H122" s="1">
        <f>'Power Timeline (arch 1) (Beta A'!$F$11*(1/2)^(('Power Graphs'!D122-'Power Graphs'!D$2)*24/('Power Timeline (arch 1) (Beta A'!$G$11*365*24))</f>
        <v>468.5518958</v>
      </c>
    </row>
    <row r="123" ht="15.75" customHeight="1">
      <c r="B123" s="79">
        <f t="shared" ref="B123:D123" si="121">B122+25</f>
        <v>49197</v>
      </c>
      <c r="C123" s="79">
        <f t="shared" si="121"/>
        <v>49197</v>
      </c>
      <c r="D123" s="79">
        <f t="shared" si="121"/>
        <v>49197</v>
      </c>
      <c r="F123" s="1">
        <f>'Power Timeline (arch 1) (Beta A'!$F$9*(1/2)^(('Power Graphs'!B123-'Power Graphs'!B$2)*24/('Power Timeline (arch 1) (Beta A'!$G$9*365*24))</f>
        <v>9999.999918</v>
      </c>
      <c r="G123" s="1">
        <f>'Power Timeline (arch 1) (Beta A'!$F$10*(1/2)^(('Power Graphs'!C123-'Power Graphs'!C$2)*24/('Power Timeline (arch 1) (Beta A'!$G$10*365*24))</f>
        <v>468.2983169</v>
      </c>
      <c r="H123" s="1">
        <f>'Power Timeline (arch 1) (Beta A'!$F$11*(1/2)^(('Power Graphs'!D123-'Power Graphs'!D$2)*24/('Power Timeline (arch 1) (Beta A'!$G$11*365*24))</f>
        <v>468.2983169</v>
      </c>
    </row>
    <row r="124" ht="15.75" customHeight="1">
      <c r="B124" s="79">
        <f t="shared" ref="B124:D124" si="122">B123+25</f>
        <v>49222</v>
      </c>
      <c r="C124" s="79">
        <f t="shared" si="122"/>
        <v>49222</v>
      </c>
      <c r="D124" s="79">
        <f t="shared" si="122"/>
        <v>49222</v>
      </c>
      <c r="F124" s="1">
        <f>'Power Timeline (arch 1) (Beta A'!$F$9*(1/2)^(('Power Graphs'!B124-'Power Graphs'!B$2)*24/('Power Timeline (arch 1) (Beta A'!$G$9*365*24))</f>
        <v>9999.999917</v>
      </c>
      <c r="G124" s="1">
        <f>'Power Timeline (arch 1) (Beta A'!$F$10*(1/2)^(('Power Graphs'!C124-'Power Graphs'!C$2)*24/('Power Timeline (arch 1) (Beta A'!$G$10*365*24))</f>
        <v>468.0448752</v>
      </c>
      <c r="H124" s="1">
        <f>'Power Timeline (arch 1) (Beta A'!$F$11*(1/2)^(('Power Graphs'!D124-'Power Graphs'!D$2)*24/('Power Timeline (arch 1) (Beta A'!$G$11*365*24))</f>
        <v>468.0448752</v>
      </c>
    </row>
    <row r="125" ht="15.75" customHeight="1">
      <c r="B125" s="79">
        <f t="shared" ref="B125:D125" si="123">B124+25</f>
        <v>49247</v>
      </c>
      <c r="C125" s="79">
        <f t="shared" si="123"/>
        <v>49247</v>
      </c>
      <c r="D125" s="79">
        <f t="shared" si="123"/>
        <v>49247</v>
      </c>
      <c r="F125" s="1">
        <f>'Power Timeline (arch 1) (Beta A'!$F$9*(1/2)^(('Power Graphs'!B125-'Power Graphs'!B$2)*24/('Power Timeline (arch 1) (Beta A'!$G$9*365*24))</f>
        <v>9999.999917</v>
      </c>
      <c r="G125" s="1">
        <f>'Power Timeline (arch 1) (Beta A'!$F$10*(1/2)^(('Power Graphs'!C125-'Power Graphs'!C$2)*24/('Power Timeline (arch 1) (Beta A'!$G$10*365*24))</f>
        <v>467.7915706</v>
      </c>
      <c r="H125" s="1">
        <f>'Power Timeline (arch 1) (Beta A'!$F$11*(1/2)^(('Power Graphs'!D125-'Power Graphs'!D$2)*24/('Power Timeline (arch 1) (Beta A'!$G$11*365*24))</f>
        <v>467.7915706</v>
      </c>
    </row>
    <row r="126" ht="15.75" customHeight="1">
      <c r="B126" s="79">
        <f t="shared" ref="B126:D126" si="124">B125+25</f>
        <v>49272</v>
      </c>
      <c r="C126" s="79">
        <f t="shared" si="124"/>
        <v>49272</v>
      </c>
      <c r="D126" s="79">
        <f t="shared" si="124"/>
        <v>49272</v>
      </c>
      <c r="F126" s="1">
        <f>'Power Timeline (arch 1) (Beta A'!$F$9*(1/2)^(('Power Graphs'!B126-'Power Graphs'!B$2)*24/('Power Timeline (arch 1) (Beta A'!$G$9*365*24))</f>
        <v>9999.999916</v>
      </c>
      <c r="G126" s="1">
        <f>'Power Timeline (arch 1) (Beta A'!$F$10*(1/2)^(('Power Graphs'!C126-'Power Graphs'!C$2)*24/('Power Timeline (arch 1) (Beta A'!$G$10*365*24))</f>
        <v>467.5384032</v>
      </c>
      <c r="H126" s="1">
        <f>'Power Timeline (arch 1) (Beta A'!$F$11*(1/2)^(('Power Graphs'!D126-'Power Graphs'!D$2)*24/('Power Timeline (arch 1) (Beta A'!$G$11*365*24))</f>
        <v>467.5384032</v>
      </c>
    </row>
    <row r="127" ht="15.75" customHeight="1">
      <c r="B127" s="79">
        <f t="shared" ref="B127:D127" si="125">B126+25</f>
        <v>49297</v>
      </c>
      <c r="C127" s="79">
        <f t="shared" si="125"/>
        <v>49297</v>
      </c>
      <c r="D127" s="79">
        <f t="shared" si="125"/>
        <v>49297</v>
      </c>
      <c r="F127" s="1">
        <f>'Power Timeline (arch 1) (Beta A'!$F$9*(1/2)^(('Power Graphs'!B127-'Power Graphs'!B$2)*24/('Power Timeline (arch 1) (Beta A'!$G$9*365*24))</f>
        <v>9999.999915</v>
      </c>
      <c r="G127" s="1">
        <f>'Power Timeline (arch 1) (Beta A'!$F$10*(1/2)^(('Power Graphs'!C127-'Power Graphs'!C$2)*24/('Power Timeline (arch 1) (Beta A'!$G$10*365*24))</f>
        <v>467.2853728</v>
      </c>
      <c r="H127" s="1">
        <f>'Power Timeline (arch 1) (Beta A'!$F$11*(1/2)^(('Power Graphs'!D127-'Power Graphs'!D$2)*24/('Power Timeline (arch 1) (Beta A'!$G$11*365*24))</f>
        <v>467.2853728</v>
      </c>
    </row>
    <row r="128" ht="15.75" customHeight="1">
      <c r="B128" s="79">
        <f t="shared" ref="B128:D128" si="126">B127+25</f>
        <v>49322</v>
      </c>
      <c r="C128" s="79">
        <f t="shared" si="126"/>
        <v>49322</v>
      </c>
      <c r="D128" s="79">
        <f t="shared" si="126"/>
        <v>49322</v>
      </c>
      <c r="F128" s="1">
        <f>'Power Timeline (arch 1) (Beta A'!$F$9*(1/2)^(('Power Graphs'!B128-'Power Graphs'!B$2)*24/('Power Timeline (arch 1) (Beta A'!$G$9*365*24))</f>
        <v>9999.999915</v>
      </c>
      <c r="G128" s="1">
        <f>'Power Timeline (arch 1) (Beta A'!$F$10*(1/2)^(('Power Graphs'!C128-'Power Graphs'!C$2)*24/('Power Timeline (arch 1) (Beta A'!$G$10*365*24))</f>
        <v>467.0324793</v>
      </c>
      <c r="H128" s="1">
        <f>'Power Timeline (arch 1) (Beta A'!$F$11*(1/2)^(('Power Graphs'!D128-'Power Graphs'!D$2)*24/('Power Timeline (arch 1) (Beta A'!$G$11*365*24))</f>
        <v>467.0324793</v>
      </c>
    </row>
    <row r="129" ht="15.75" customHeight="1">
      <c r="B129" s="79">
        <f t="shared" ref="B129:D129" si="127">B128+25</f>
        <v>49347</v>
      </c>
      <c r="C129" s="79">
        <f t="shared" si="127"/>
        <v>49347</v>
      </c>
      <c r="D129" s="79">
        <f t="shared" si="127"/>
        <v>49347</v>
      </c>
      <c r="F129" s="1">
        <f>'Power Timeline (arch 1) (Beta A'!$F$9*(1/2)^(('Power Graphs'!B129-'Power Graphs'!B$2)*24/('Power Timeline (arch 1) (Beta A'!$G$9*365*24))</f>
        <v>9999.999914</v>
      </c>
      <c r="G129" s="1">
        <f>'Power Timeline (arch 1) (Beta A'!$F$10*(1/2)^(('Power Graphs'!C129-'Power Graphs'!C$2)*24/('Power Timeline (arch 1) (Beta A'!$G$10*365*24))</f>
        <v>466.7797226</v>
      </c>
      <c r="H129" s="1">
        <f>'Power Timeline (arch 1) (Beta A'!$F$11*(1/2)^(('Power Graphs'!D129-'Power Graphs'!D$2)*24/('Power Timeline (arch 1) (Beta A'!$G$11*365*24))</f>
        <v>466.7797226</v>
      </c>
    </row>
    <row r="130" ht="15.75" customHeight="1">
      <c r="B130" s="79">
        <f t="shared" ref="B130:D130" si="128">B129+25</f>
        <v>49372</v>
      </c>
      <c r="C130" s="79">
        <f t="shared" si="128"/>
        <v>49372</v>
      </c>
      <c r="D130" s="79">
        <f t="shared" si="128"/>
        <v>49372</v>
      </c>
      <c r="F130" s="1">
        <f>'Power Timeline (arch 1) (Beta A'!$F$9*(1/2)^(('Power Graphs'!B130-'Power Graphs'!B$2)*24/('Power Timeline (arch 1) (Beta A'!$G$9*365*24))</f>
        <v>9999.999913</v>
      </c>
      <c r="G130" s="1">
        <f>'Power Timeline (arch 1) (Beta A'!$F$10*(1/2)^(('Power Graphs'!C130-'Power Graphs'!C$2)*24/('Power Timeline (arch 1) (Beta A'!$G$10*365*24))</f>
        <v>466.5271028</v>
      </c>
      <c r="H130" s="1">
        <f>'Power Timeline (arch 1) (Beta A'!$F$11*(1/2)^(('Power Graphs'!D130-'Power Graphs'!D$2)*24/('Power Timeline (arch 1) (Beta A'!$G$11*365*24))</f>
        <v>466.5271028</v>
      </c>
    </row>
    <row r="131" ht="15.75" customHeight="1">
      <c r="B131" s="79">
        <f t="shared" ref="B131:D131" si="129">B130+25</f>
        <v>49397</v>
      </c>
      <c r="C131" s="79">
        <f t="shared" si="129"/>
        <v>49397</v>
      </c>
      <c r="D131" s="79">
        <f t="shared" si="129"/>
        <v>49397</v>
      </c>
      <c r="F131" s="1">
        <f>'Power Timeline (arch 1) (Beta A'!$F$9*(1/2)^(('Power Graphs'!B131-'Power Graphs'!B$2)*24/('Power Timeline (arch 1) (Beta A'!$G$9*365*24))</f>
        <v>9999.999913</v>
      </c>
      <c r="G131" s="1">
        <f>'Power Timeline (arch 1) (Beta A'!$F$10*(1/2)^(('Power Graphs'!C131-'Power Graphs'!C$2)*24/('Power Timeline (arch 1) (Beta A'!$G$10*365*24))</f>
        <v>466.2746197</v>
      </c>
      <c r="H131" s="1">
        <f>'Power Timeline (arch 1) (Beta A'!$F$11*(1/2)^(('Power Graphs'!D131-'Power Graphs'!D$2)*24/('Power Timeline (arch 1) (Beta A'!$G$11*365*24))</f>
        <v>466.2746197</v>
      </c>
    </row>
    <row r="132" ht="15.75" customHeight="1">
      <c r="B132" s="79">
        <f t="shared" ref="B132:D132" si="130">B131+25</f>
        <v>49422</v>
      </c>
      <c r="C132" s="79">
        <f t="shared" si="130"/>
        <v>49422</v>
      </c>
      <c r="D132" s="79">
        <f t="shared" si="130"/>
        <v>49422</v>
      </c>
      <c r="F132" s="1">
        <f>'Power Timeline (arch 1) (Beta A'!$F$9*(1/2)^(('Power Graphs'!B132-'Power Graphs'!B$2)*24/('Power Timeline (arch 1) (Beta A'!$G$9*365*24))</f>
        <v>9999.999912</v>
      </c>
      <c r="G132" s="1">
        <f>'Power Timeline (arch 1) (Beta A'!$F$10*(1/2)^(('Power Graphs'!C132-'Power Graphs'!C$2)*24/('Power Timeline (arch 1) (Beta A'!$G$10*365*24))</f>
        <v>466.0222732</v>
      </c>
      <c r="H132" s="1">
        <f>'Power Timeline (arch 1) (Beta A'!$F$11*(1/2)^(('Power Graphs'!D132-'Power Graphs'!D$2)*24/('Power Timeline (arch 1) (Beta A'!$G$11*365*24))</f>
        <v>466.0222732</v>
      </c>
    </row>
    <row r="133" ht="15.75" customHeight="1">
      <c r="B133" s="79">
        <f t="shared" ref="B133:D133" si="131">B132+25</f>
        <v>49447</v>
      </c>
      <c r="C133" s="79">
        <f t="shared" si="131"/>
        <v>49447</v>
      </c>
      <c r="D133" s="79">
        <f t="shared" si="131"/>
        <v>49447</v>
      </c>
      <c r="F133" s="1">
        <f>'Power Timeline (arch 1) (Beta A'!$F$9*(1/2)^(('Power Graphs'!B133-'Power Graphs'!B$2)*24/('Power Timeline (arch 1) (Beta A'!$G$9*365*24))</f>
        <v>9999.999911</v>
      </c>
      <c r="G133" s="1">
        <f>'Power Timeline (arch 1) (Beta A'!$F$10*(1/2)^(('Power Graphs'!C133-'Power Graphs'!C$2)*24/('Power Timeline (arch 1) (Beta A'!$G$10*365*24))</f>
        <v>465.7700633</v>
      </c>
      <c r="H133" s="1">
        <f>'Power Timeline (arch 1) (Beta A'!$F$11*(1/2)^(('Power Graphs'!D133-'Power Graphs'!D$2)*24/('Power Timeline (arch 1) (Beta A'!$G$11*365*24))</f>
        <v>465.7700633</v>
      </c>
    </row>
    <row r="134" ht="15.75" customHeight="1">
      <c r="B134" s="79">
        <f t="shared" ref="B134:D134" si="132">B133+25</f>
        <v>49472</v>
      </c>
      <c r="C134" s="79">
        <f t="shared" si="132"/>
        <v>49472</v>
      </c>
      <c r="D134" s="79">
        <f t="shared" si="132"/>
        <v>49472</v>
      </c>
      <c r="F134" s="1">
        <f>'Power Timeline (arch 1) (Beta A'!$F$9*(1/2)^(('Power Graphs'!B134-'Power Graphs'!B$2)*24/('Power Timeline (arch 1) (Beta A'!$G$9*365*24))</f>
        <v>9999.99991</v>
      </c>
      <c r="G134" s="1">
        <f>'Power Timeline (arch 1) (Beta A'!$F$10*(1/2)^(('Power Graphs'!C134-'Power Graphs'!C$2)*24/('Power Timeline (arch 1) (Beta A'!$G$10*365*24))</f>
        <v>465.5179899</v>
      </c>
      <c r="H134" s="1">
        <f>'Power Timeline (arch 1) (Beta A'!$F$11*(1/2)^(('Power Graphs'!D134-'Power Graphs'!D$2)*24/('Power Timeline (arch 1) (Beta A'!$G$11*365*24))</f>
        <v>465.5179899</v>
      </c>
    </row>
    <row r="135" ht="15.75" customHeight="1">
      <c r="B135" s="79">
        <f t="shared" ref="B135:D135" si="133">B134+25</f>
        <v>49497</v>
      </c>
      <c r="C135" s="79">
        <f t="shared" si="133"/>
        <v>49497</v>
      </c>
      <c r="D135" s="79">
        <f t="shared" si="133"/>
        <v>49497</v>
      </c>
      <c r="F135" s="1">
        <f>'Power Timeline (arch 1) (Beta A'!$F$9*(1/2)^(('Power Graphs'!B135-'Power Graphs'!B$2)*24/('Power Timeline (arch 1) (Beta A'!$G$9*365*24))</f>
        <v>9999.99991</v>
      </c>
      <c r="G135" s="1">
        <f>'Power Timeline (arch 1) (Beta A'!$F$10*(1/2)^(('Power Graphs'!C135-'Power Graphs'!C$2)*24/('Power Timeline (arch 1) (Beta A'!$G$10*365*24))</f>
        <v>465.2660529</v>
      </c>
      <c r="H135" s="1">
        <f>'Power Timeline (arch 1) (Beta A'!$F$11*(1/2)^(('Power Graphs'!D135-'Power Graphs'!D$2)*24/('Power Timeline (arch 1) (Beta A'!$G$11*365*24))</f>
        <v>465.2660529</v>
      </c>
    </row>
    <row r="136" ht="15.75" customHeight="1">
      <c r="B136" s="79">
        <f t="shared" ref="B136:D136" si="134">B135+25</f>
        <v>49522</v>
      </c>
      <c r="C136" s="79">
        <f t="shared" si="134"/>
        <v>49522</v>
      </c>
      <c r="D136" s="79">
        <f t="shared" si="134"/>
        <v>49522</v>
      </c>
      <c r="F136" s="1">
        <f>'Power Timeline (arch 1) (Beta A'!$F$9*(1/2)^(('Power Graphs'!B136-'Power Graphs'!B$2)*24/('Power Timeline (arch 1) (Beta A'!$G$9*365*24))</f>
        <v>9999.999909</v>
      </c>
      <c r="G136" s="1">
        <f>'Power Timeline (arch 1) (Beta A'!$F$10*(1/2)^(('Power Graphs'!C136-'Power Graphs'!C$2)*24/('Power Timeline (arch 1) (Beta A'!$G$10*365*24))</f>
        <v>465.0142523</v>
      </c>
      <c r="H136" s="1">
        <f>'Power Timeline (arch 1) (Beta A'!$F$11*(1/2)^(('Power Graphs'!D136-'Power Graphs'!D$2)*24/('Power Timeline (arch 1) (Beta A'!$G$11*365*24))</f>
        <v>465.0142523</v>
      </c>
    </row>
    <row r="137" ht="15.75" customHeight="1">
      <c r="B137" s="79">
        <f t="shared" ref="B137:D137" si="135">B136+25</f>
        <v>49547</v>
      </c>
      <c r="C137" s="79">
        <f t="shared" si="135"/>
        <v>49547</v>
      </c>
      <c r="D137" s="79">
        <f t="shared" si="135"/>
        <v>49547</v>
      </c>
      <c r="F137" s="1">
        <f>'Power Timeline (arch 1) (Beta A'!$F$9*(1/2)^(('Power Graphs'!B137-'Power Graphs'!B$2)*24/('Power Timeline (arch 1) (Beta A'!$G$9*365*24))</f>
        <v>9999.999908</v>
      </c>
      <c r="G137" s="1">
        <f>'Power Timeline (arch 1) (Beta A'!$F$10*(1/2)^(('Power Graphs'!C137-'Power Graphs'!C$2)*24/('Power Timeline (arch 1) (Beta A'!$G$10*365*24))</f>
        <v>464.7625879</v>
      </c>
      <c r="H137" s="1">
        <f>'Power Timeline (arch 1) (Beta A'!$F$11*(1/2)^(('Power Graphs'!D137-'Power Graphs'!D$2)*24/('Power Timeline (arch 1) (Beta A'!$G$11*365*24))</f>
        <v>464.7625879</v>
      </c>
    </row>
    <row r="138" ht="15.75" customHeight="1">
      <c r="B138" s="79">
        <f t="shared" ref="B138:D138" si="136">B137+25</f>
        <v>49572</v>
      </c>
      <c r="C138" s="79">
        <f t="shared" si="136"/>
        <v>49572</v>
      </c>
      <c r="D138" s="79">
        <f t="shared" si="136"/>
        <v>49572</v>
      </c>
      <c r="F138" s="1">
        <f>'Power Timeline (arch 1) (Beta A'!$F$9*(1/2)^(('Power Graphs'!B138-'Power Graphs'!B$2)*24/('Power Timeline (arch 1) (Beta A'!$G$9*365*24))</f>
        <v>9999.999908</v>
      </c>
      <c r="G138" s="1">
        <f>'Power Timeline (arch 1) (Beta A'!$F$10*(1/2)^(('Power Graphs'!C138-'Power Graphs'!C$2)*24/('Power Timeline (arch 1) (Beta A'!$G$10*365*24))</f>
        <v>464.5110597</v>
      </c>
      <c r="H138" s="1">
        <f>'Power Timeline (arch 1) (Beta A'!$F$11*(1/2)^(('Power Graphs'!D138-'Power Graphs'!D$2)*24/('Power Timeline (arch 1) (Beta A'!$G$11*365*24))</f>
        <v>464.5110597</v>
      </c>
    </row>
    <row r="139" ht="15.75" customHeight="1">
      <c r="B139" s="79">
        <f t="shared" ref="B139:D139" si="137">B138+25</f>
        <v>49597</v>
      </c>
      <c r="C139" s="79">
        <f t="shared" si="137"/>
        <v>49597</v>
      </c>
      <c r="D139" s="79">
        <f t="shared" si="137"/>
        <v>49597</v>
      </c>
      <c r="F139" s="1">
        <f>'Power Timeline (arch 1) (Beta A'!$F$9*(1/2)^(('Power Graphs'!B139-'Power Graphs'!B$2)*24/('Power Timeline (arch 1) (Beta A'!$G$9*365*24))</f>
        <v>9999.999907</v>
      </c>
      <c r="G139" s="1">
        <f>'Power Timeline (arch 1) (Beta A'!$F$10*(1/2)^(('Power Graphs'!C139-'Power Graphs'!C$2)*24/('Power Timeline (arch 1) (Beta A'!$G$10*365*24))</f>
        <v>464.2596677</v>
      </c>
      <c r="H139" s="1">
        <f>'Power Timeline (arch 1) (Beta A'!$F$11*(1/2)^(('Power Graphs'!D139-'Power Graphs'!D$2)*24/('Power Timeline (arch 1) (Beta A'!$G$11*365*24))</f>
        <v>464.2596677</v>
      </c>
    </row>
    <row r="140" ht="15.75" customHeight="1">
      <c r="B140" s="79">
        <f t="shared" ref="B140:D140" si="138">B139+25</f>
        <v>49622</v>
      </c>
      <c r="C140" s="79">
        <f t="shared" si="138"/>
        <v>49622</v>
      </c>
      <c r="D140" s="79">
        <f t="shared" si="138"/>
        <v>49622</v>
      </c>
      <c r="F140" s="1">
        <f>'Power Timeline (arch 1) (Beta A'!$F$9*(1/2)^(('Power Graphs'!B140-'Power Graphs'!B$2)*24/('Power Timeline (arch 1) (Beta A'!$G$9*365*24))</f>
        <v>9999.999906</v>
      </c>
      <c r="G140" s="1">
        <f>'Power Timeline (arch 1) (Beta A'!$F$10*(1/2)^(('Power Graphs'!C140-'Power Graphs'!C$2)*24/('Power Timeline (arch 1) (Beta A'!$G$10*365*24))</f>
        <v>464.0084117</v>
      </c>
      <c r="H140" s="1">
        <f>'Power Timeline (arch 1) (Beta A'!$F$11*(1/2)^(('Power Graphs'!D140-'Power Graphs'!D$2)*24/('Power Timeline (arch 1) (Beta A'!$G$11*365*24))</f>
        <v>464.0084117</v>
      </c>
    </row>
    <row r="141" ht="15.75" customHeight="1">
      <c r="B141" s="79">
        <f t="shared" ref="B141:D141" si="139">B140+25</f>
        <v>49647</v>
      </c>
      <c r="C141" s="79">
        <f t="shared" si="139"/>
        <v>49647</v>
      </c>
      <c r="D141" s="79">
        <f t="shared" si="139"/>
        <v>49647</v>
      </c>
      <c r="F141" s="1">
        <f>'Power Timeline (arch 1) (Beta A'!$F$9*(1/2)^(('Power Graphs'!B141-'Power Graphs'!B$2)*24/('Power Timeline (arch 1) (Beta A'!$G$9*365*24))</f>
        <v>9999.999906</v>
      </c>
      <c r="G141" s="1">
        <f>'Power Timeline (arch 1) (Beta A'!$F$10*(1/2)^(('Power Graphs'!C141-'Power Graphs'!C$2)*24/('Power Timeline (arch 1) (Beta A'!$G$10*365*24))</f>
        <v>463.7572917</v>
      </c>
      <c r="H141" s="1">
        <f>'Power Timeline (arch 1) (Beta A'!$F$11*(1/2)^(('Power Graphs'!D141-'Power Graphs'!D$2)*24/('Power Timeline (arch 1) (Beta A'!$G$11*365*24))</f>
        <v>463.7572917</v>
      </c>
    </row>
    <row r="142" ht="15.75" customHeight="1">
      <c r="B142" s="79">
        <f t="shared" ref="B142:D142" si="140">B141+25</f>
        <v>49672</v>
      </c>
      <c r="C142" s="79">
        <f t="shared" si="140"/>
        <v>49672</v>
      </c>
      <c r="D142" s="79">
        <f t="shared" si="140"/>
        <v>49672</v>
      </c>
      <c r="F142" s="1">
        <f>'Power Timeline (arch 1) (Beta A'!$F$9*(1/2)^(('Power Graphs'!B142-'Power Graphs'!B$2)*24/('Power Timeline (arch 1) (Beta A'!$G$9*365*24))</f>
        <v>9999.999905</v>
      </c>
      <c r="G142" s="1">
        <f>'Power Timeline (arch 1) (Beta A'!$F$10*(1/2)^(('Power Graphs'!C142-'Power Graphs'!C$2)*24/('Power Timeline (arch 1) (Beta A'!$G$10*365*24))</f>
        <v>463.5063076</v>
      </c>
      <c r="H142" s="1">
        <f>'Power Timeline (arch 1) (Beta A'!$F$11*(1/2)^(('Power Graphs'!D142-'Power Graphs'!D$2)*24/('Power Timeline (arch 1) (Beta A'!$G$11*365*24))</f>
        <v>463.5063076</v>
      </c>
    </row>
    <row r="143" ht="15.75" customHeight="1">
      <c r="B143" s="79">
        <f t="shared" ref="B143:D143" si="141">B142+25</f>
        <v>49697</v>
      </c>
      <c r="C143" s="79">
        <f t="shared" si="141"/>
        <v>49697</v>
      </c>
      <c r="D143" s="79">
        <f t="shared" si="141"/>
        <v>49697</v>
      </c>
      <c r="F143" s="1">
        <f>'Power Timeline (arch 1) (Beta A'!$F$9*(1/2)^(('Power Graphs'!B143-'Power Graphs'!B$2)*24/('Power Timeline (arch 1) (Beta A'!$G$9*365*24))</f>
        <v>9999.999904</v>
      </c>
      <c r="G143" s="1">
        <f>'Power Timeline (arch 1) (Beta A'!$F$10*(1/2)^(('Power Graphs'!C143-'Power Graphs'!C$2)*24/('Power Timeline (arch 1) (Beta A'!$G$10*365*24))</f>
        <v>463.2554593</v>
      </c>
      <c r="H143" s="1">
        <f>'Power Timeline (arch 1) (Beta A'!$F$11*(1/2)^(('Power Graphs'!D143-'Power Graphs'!D$2)*24/('Power Timeline (arch 1) (Beta A'!$G$11*365*24))</f>
        <v>463.2554593</v>
      </c>
    </row>
    <row r="144" ht="15.75" customHeight="1">
      <c r="B144" s="79">
        <f t="shared" ref="B144:D144" si="142">B143+25</f>
        <v>49722</v>
      </c>
      <c r="C144" s="79">
        <f t="shared" si="142"/>
        <v>49722</v>
      </c>
      <c r="D144" s="79">
        <f t="shared" si="142"/>
        <v>49722</v>
      </c>
      <c r="F144" s="1">
        <f>'Power Timeline (arch 1) (Beta A'!$F$9*(1/2)^(('Power Graphs'!B144-'Power Graphs'!B$2)*24/('Power Timeline (arch 1) (Beta A'!$G$9*365*24))</f>
        <v>9999.999904</v>
      </c>
      <c r="G144" s="1">
        <f>'Power Timeline (arch 1) (Beta A'!$F$10*(1/2)^(('Power Graphs'!C144-'Power Graphs'!C$2)*24/('Power Timeline (arch 1) (Beta A'!$G$10*365*24))</f>
        <v>463.0047468</v>
      </c>
      <c r="H144" s="1">
        <f>'Power Timeline (arch 1) (Beta A'!$F$11*(1/2)^(('Power Graphs'!D144-'Power Graphs'!D$2)*24/('Power Timeline (arch 1) (Beta A'!$G$11*365*24))</f>
        <v>463.0047468</v>
      </c>
    </row>
    <row r="145" ht="15.75" customHeight="1">
      <c r="B145" s="79">
        <f t="shared" ref="B145:D145" si="143">B144+25</f>
        <v>49747</v>
      </c>
      <c r="C145" s="79">
        <f t="shared" si="143"/>
        <v>49747</v>
      </c>
      <c r="D145" s="79">
        <f t="shared" si="143"/>
        <v>49747</v>
      </c>
      <c r="F145" s="1">
        <f>'Power Timeline (arch 1) (Beta A'!$F$9*(1/2)^(('Power Graphs'!B145-'Power Graphs'!B$2)*24/('Power Timeline (arch 1) (Beta A'!$G$9*365*24))</f>
        <v>9999.999903</v>
      </c>
      <c r="G145" s="1">
        <f>'Power Timeline (arch 1) (Beta A'!$F$10*(1/2)^(('Power Graphs'!C145-'Power Graphs'!C$2)*24/('Power Timeline (arch 1) (Beta A'!$G$10*365*24))</f>
        <v>462.75417</v>
      </c>
      <c r="H145" s="1">
        <f>'Power Timeline (arch 1) (Beta A'!$F$11*(1/2)^(('Power Graphs'!D145-'Power Graphs'!D$2)*24/('Power Timeline (arch 1) (Beta A'!$G$11*365*24))</f>
        <v>462.75417</v>
      </c>
    </row>
    <row r="146" ht="15.75" customHeight="1">
      <c r="B146" s="79">
        <f t="shared" ref="B146:D146" si="144">B145+25</f>
        <v>49772</v>
      </c>
      <c r="C146" s="79">
        <f t="shared" si="144"/>
        <v>49772</v>
      </c>
      <c r="D146" s="79">
        <f t="shared" si="144"/>
        <v>49772</v>
      </c>
      <c r="F146" s="1">
        <f>'Power Timeline (arch 1) (Beta A'!$F$9*(1/2)^(('Power Graphs'!B146-'Power Graphs'!B$2)*24/('Power Timeline (arch 1) (Beta A'!$G$9*365*24))</f>
        <v>9999.999902</v>
      </c>
      <c r="G146" s="1">
        <f>'Power Timeline (arch 1) (Beta A'!$F$10*(1/2)^(('Power Graphs'!C146-'Power Graphs'!C$2)*24/('Power Timeline (arch 1) (Beta A'!$G$10*365*24))</f>
        <v>462.5037288</v>
      </c>
      <c r="H146" s="1">
        <f>'Power Timeline (arch 1) (Beta A'!$F$11*(1/2)^(('Power Graphs'!D146-'Power Graphs'!D$2)*24/('Power Timeline (arch 1) (Beta A'!$G$11*365*24))</f>
        <v>462.5037288</v>
      </c>
    </row>
    <row r="147" ht="15.75" customHeight="1">
      <c r="B147" s="79">
        <f t="shared" ref="B147:D147" si="145">B146+25</f>
        <v>49797</v>
      </c>
      <c r="C147" s="79">
        <f t="shared" si="145"/>
        <v>49797</v>
      </c>
      <c r="D147" s="79">
        <f t="shared" si="145"/>
        <v>49797</v>
      </c>
      <c r="F147" s="1">
        <f>'Power Timeline (arch 1) (Beta A'!$F$9*(1/2)^(('Power Graphs'!B147-'Power Graphs'!B$2)*24/('Power Timeline (arch 1) (Beta A'!$G$9*365*24))</f>
        <v>9999.999902</v>
      </c>
      <c r="G147" s="1">
        <f>'Power Timeline (arch 1) (Beta A'!$F$10*(1/2)^(('Power Graphs'!C147-'Power Graphs'!C$2)*24/('Power Timeline (arch 1) (Beta A'!$G$10*365*24))</f>
        <v>462.2534231</v>
      </c>
      <c r="H147" s="1">
        <f>'Power Timeline (arch 1) (Beta A'!$F$11*(1/2)^(('Power Graphs'!D147-'Power Graphs'!D$2)*24/('Power Timeline (arch 1) (Beta A'!$G$11*365*24))</f>
        <v>462.2534231</v>
      </c>
    </row>
    <row r="148" ht="15.75" customHeight="1">
      <c r="B148" s="79">
        <f t="shared" ref="B148:D148" si="146">B147+25</f>
        <v>49822</v>
      </c>
      <c r="C148" s="79">
        <f t="shared" si="146"/>
        <v>49822</v>
      </c>
      <c r="D148" s="79">
        <f t="shared" si="146"/>
        <v>49822</v>
      </c>
      <c r="F148" s="1">
        <f>'Power Timeline (arch 1) (Beta A'!$F$9*(1/2)^(('Power Graphs'!B148-'Power Graphs'!B$2)*24/('Power Timeline (arch 1) (Beta A'!$G$9*365*24))</f>
        <v>9999.999901</v>
      </c>
      <c r="G148" s="1">
        <f>'Power Timeline (arch 1) (Beta A'!$F$10*(1/2)^(('Power Graphs'!C148-'Power Graphs'!C$2)*24/('Power Timeline (arch 1) (Beta A'!$G$10*365*24))</f>
        <v>462.0032529</v>
      </c>
      <c r="H148" s="1">
        <f>'Power Timeline (arch 1) (Beta A'!$F$11*(1/2)^(('Power Graphs'!D148-'Power Graphs'!D$2)*24/('Power Timeline (arch 1) (Beta A'!$G$11*365*24))</f>
        <v>462.0032529</v>
      </c>
    </row>
    <row r="149" ht="15.75" customHeight="1">
      <c r="B149" s="79">
        <f t="shared" ref="B149:D149" si="147">B148+25</f>
        <v>49847</v>
      </c>
      <c r="C149" s="79">
        <f t="shared" si="147"/>
        <v>49847</v>
      </c>
      <c r="D149" s="79">
        <f t="shared" si="147"/>
        <v>49847</v>
      </c>
      <c r="F149" s="1">
        <f>'Power Timeline (arch 1) (Beta A'!$F$9*(1/2)^(('Power Graphs'!B149-'Power Graphs'!B$2)*24/('Power Timeline (arch 1) (Beta A'!$G$9*365*24))</f>
        <v>9999.9999</v>
      </c>
      <c r="G149" s="1">
        <f>'Power Timeline (arch 1) (Beta A'!$F$10*(1/2)^(('Power Graphs'!C149-'Power Graphs'!C$2)*24/('Power Timeline (arch 1) (Beta A'!$G$10*365*24))</f>
        <v>461.753218</v>
      </c>
      <c r="H149" s="1">
        <f>'Power Timeline (arch 1) (Beta A'!$F$11*(1/2)^(('Power Graphs'!D149-'Power Graphs'!D$2)*24/('Power Timeline (arch 1) (Beta A'!$G$11*365*24))</f>
        <v>461.753218</v>
      </c>
    </row>
    <row r="150" ht="15.75" customHeight="1">
      <c r="B150" s="79">
        <f t="shared" ref="B150:D150" si="148">B149+25</f>
        <v>49872</v>
      </c>
      <c r="C150" s="79">
        <f t="shared" si="148"/>
        <v>49872</v>
      </c>
      <c r="D150" s="79">
        <f t="shared" si="148"/>
        <v>49872</v>
      </c>
      <c r="F150" s="1">
        <f>'Power Timeline (arch 1) (Beta A'!$F$9*(1/2)^(('Power Graphs'!B150-'Power Graphs'!B$2)*24/('Power Timeline (arch 1) (Beta A'!$G$9*365*24))</f>
        <v>9999.9999</v>
      </c>
      <c r="G150" s="1">
        <f>'Power Timeline (arch 1) (Beta A'!$F$10*(1/2)^(('Power Graphs'!C150-'Power Graphs'!C$2)*24/('Power Timeline (arch 1) (Beta A'!$G$10*365*24))</f>
        <v>461.5033185</v>
      </c>
      <c r="H150" s="1">
        <f>'Power Timeline (arch 1) (Beta A'!$F$11*(1/2)^(('Power Graphs'!D150-'Power Graphs'!D$2)*24/('Power Timeline (arch 1) (Beta A'!$G$11*365*24))</f>
        <v>461.5033185</v>
      </c>
    </row>
    <row r="151" ht="15.75" customHeight="1">
      <c r="B151" s="79">
        <f t="shared" ref="B151:D151" si="149">B150+25</f>
        <v>49897</v>
      </c>
      <c r="C151" s="79">
        <f t="shared" si="149"/>
        <v>49897</v>
      </c>
      <c r="D151" s="79">
        <f t="shared" si="149"/>
        <v>49897</v>
      </c>
      <c r="F151" s="1">
        <f>'Power Timeline (arch 1) (Beta A'!$F$9*(1/2)^(('Power Graphs'!B151-'Power Graphs'!B$2)*24/('Power Timeline (arch 1) (Beta A'!$G$9*365*24))</f>
        <v>9999.999899</v>
      </c>
      <c r="G151" s="1">
        <f>'Power Timeline (arch 1) (Beta A'!$F$10*(1/2)^(('Power Graphs'!C151-'Power Graphs'!C$2)*24/('Power Timeline (arch 1) (Beta A'!$G$10*365*24))</f>
        <v>461.2535543</v>
      </c>
      <c r="H151" s="1">
        <f>'Power Timeline (arch 1) (Beta A'!$F$11*(1/2)^(('Power Graphs'!D151-'Power Graphs'!D$2)*24/('Power Timeline (arch 1) (Beta A'!$G$11*365*24))</f>
        <v>461.2535543</v>
      </c>
    </row>
    <row r="152" ht="15.75" customHeight="1">
      <c r="B152" s="79">
        <f t="shared" ref="B152:D152" si="150">B151+25</f>
        <v>49922</v>
      </c>
      <c r="C152" s="79">
        <f t="shared" si="150"/>
        <v>49922</v>
      </c>
      <c r="D152" s="79">
        <f t="shared" si="150"/>
        <v>49922</v>
      </c>
      <c r="F152" s="1">
        <f>'Power Timeline (arch 1) (Beta A'!$F$9*(1/2)^(('Power Graphs'!B152-'Power Graphs'!B$2)*24/('Power Timeline (arch 1) (Beta A'!$G$9*365*24))</f>
        <v>9999.999898</v>
      </c>
      <c r="G152" s="1">
        <f>'Power Timeline (arch 1) (Beta A'!$F$10*(1/2)^(('Power Graphs'!C152-'Power Graphs'!C$2)*24/('Power Timeline (arch 1) (Beta A'!$G$10*365*24))</f>
        <v>461.0039252</v>
      </c>
      <c r="H152" s="1">
        <f>'Power Timeline (arch 1) (Beta A'!$F$11*(1/2)^(('Power Graphs'!D152-'Power Graphs'!D$2)*24/('Power Timeline (arch 1) (Beta A'!$G$11*365*24))</f>
        <v>461.0039252</v>
      </c>
    </row>
    <row r="153" ht="15.75" customHeight="1">
      <c r="B153" s="79">
        <f t="shared" ref="B153:D153" si="151">B152+25</f>
        <v>49947</v>
      </c>
      <c r="C153" s="79">
        <f t="shared" si="151"/>
        <v>49947</v>
      </c>
      <c r="D153" s="79">
        <f t="shared" si="151"/>
        <v>49947</v>
      </c>
      <c r="F153" s="1">
        <f>'Power Timeline (arch 1) (Beta A'!$F$9*(1/2)^(('Power Graphs'!B153-'Power Graphs'!B$2)*24/('Power Timeline (arch 1) (Beta A'!$G$9*365*24))</f>
        <v>9999.999898</v>
      </c>
      <c r="G153" s="1">
        <f>'Power Timeline (arch 1) (Beta A'!$F$10*(1/2)^(('Power Graphs'!C153-'Power Graphs'!C$2)*24/('Power Timeline (arch 1) (Beta A'!$G$10*365*24))</f>
        <v>460.7544312</v>
      </c>
      <c r="H153" s="1">
        <f>'Power Timeline (arch 1) (Beta A'!$F$11*(1/2)^(('Power Graphs'!D153-'Power Graphs'!D$2)*24/('Power Timeline (arch 1) (Beta A'!$G$11*365*24))</f>
        <v>460.7544312</v>
      </c>
    </row>
    <row r="154" ht="15.75" customHeight="1">
      <c r="B154" s="79">
        <f t="shared" ref="B154:D154" si="152">B153+25</f>
        <v>49972</v>
      </c>
      <c r="C154" s="79">
        <f t="shared" si="152"/>
        <v>49972</v>
      </c>
      <c r="D154" s="79">
        <f t="shared" si="152"/>
        <v>49972</v>
      </c>
      <c r="F154" s="1">
        <f>'Power Timeline (arch 1) (Beta A'!$F$9*(1/2)^(('Power Graphs'!B154-'Power Graphs'!B$2)*24/('Power Timeline (arch 1) (Beta A'!$G$9*365*24))</f>
        <v>9999.999897</v>
      </c>
      <c r="G154" s="1">
        <f>'Power Timeline (arch 1) (Beta A'!$F$10*(1/2)^(('Power Graphs'!C154-'Power Graphs'!C$2)*24/('Power Timeline (arch 1) (Beta A'!$G$10*365*24))</f>
        <v>460.5050722</v>
      </c>
      <c r="H154" s="1">
        <f>'Power Timeline (arch 1) (Beta A'!$F$11*(1/2)^(('Power Graphs'!D154-'Power Graphs'!D$2)*24/('Power Timeline (arch 1) (Beta A'!$G$11*365*24))</f>
        <v>460.5050722</v>
      </c>
    </row>
    <row r="155" ht="15.75" customHeight="1">
      <c r="B155" s="79">
        <f t="shared" ref="B155:D155" si="153">B154+25</f>
        <v>49997</v>
      </c>
      <c r="C155" s="79">
        <f t="shared" si="153"/>
        <v>49997</v>
      </c>
      <c r="D155" s="79">
        <f t="shared" si="153"/>
        <v>49997</v>
      </c>
      <c r="F155" s="1">
        <f>'Power Timeline (arch 1) (Beta A'!$F$9*(1/2)^(('Power Graphs'!B155-'Power Graphs'!B$2)*24/('Power Timeline (arch 1) (Beta A'!$G$9*365*24))</f>
        <v>9999.999896</v>
      </c>
      <c r="G155" s="1">
        <f>'Power Timeline (arch 1) (Beta A'!$F$10*(1/2)^(('Power Graphs'!C155-'Power Graphs'!C$2)*24/('Power Timeline (arch 1) (Beta A'!$G$10*365*24))</f>
        <v>460.2558482</v>
      </c>
      <c r="H155" s="1">
        <f>'Power Timeline (arch 1) (Beta A'!$F$11*(1/2)^(('Power Graphs'!D155-'Power Graphs'!D$2)*24/('Power Timeline (arch 1) (Beta A'!$G$11*365*24))</f>
        <v>460.2558482</v>
      </c>
    </row>
    <row r="156" ht="15.75" customHeight="1">
      <c r="B156" s="79">
        <f t="shared" ref="B156:D156" si="154">B155+25</f>
        <v>50022</v>
      </c>
      <c r="C156" s="79">
        <f t="shared" si="154"/>
        <v>50022</v>
      </c>
      <c r="D156" s="79">
        <f t="shared" si="154"/>
        <v>50022</v>
      </c>
      <c r="F156" s="1">
        <f>'Power Timeline (arch 1) (Beta A'!$F$9*(1/2)^(('Power Graphs'!B156-'Power Graphs'!B$2)*24/('Power Timeline (arch 1) (Beta A'!$G$9*365*24))</f>
        <v>9999.999896</v>
      </c>
      <c r="G156" s="1">
        <f>'Power Timeline (arch 1) (Beta A'!$F$10*(1/2)^(('Power Graphs'!C156-'Power Graphs'!C$2)*24/('Power Timeline (arch 1) (Beta A'!$G$10*365*24))</f>
        <v>460.0067591</v>
      </c>
      <c r="H156" s="1">
        <f>'Power Timeline (arch 1) (Beta A'!$F$11*(1/2)^(('Power Graphs'!D156-'Power Graphs'!D$2)*24/('Power Timeline (arch 1) (Beta A'!$G$11*365*24))</f>
        <v>460.0067591</v>
      </c>
    </row>
    <row r="157" ht="15.75" customHeight="1">
      <c r="B157" s="79">
        <f t="shared" ref="B157:D157" si="155">B156+25</f>
        <v>50047</v>
      </c>
      <c r="C157" s="79">
        <f t="shared" si="155"/>
        <v>50047</v>
      </c>
      <c r="D157" s="79">
        <f t="shared" si="155"/>
        <v>50047</v>
      </c>
      <c r="F157" s="1">
        <f>'Power Timeline (arch 1) (Beta A'!$F$9*(1/2)^(('Power Graphs'!B157-'Power Graphs'!B$2)*24/('Power Timeline (arch 1) (Beta A'!$G$9*365*24))</f>
        <v>9999.999895</v>
      </c>
      <c r="G157" s="1">
        <f>'Power Timeline (arch 1) (Beta A'!$F$10*(1/2)^(('Power Graphs'!C157-'Power Graphs'!C$2)*24/('Power Timeline (arch 1) (Beta A'!$G$10*365*24))</f>
        <v>459.7578048</v>
      </c>
      <c r="H157" s="1">
        <f>'Power Timeline (arch 1) (Beta A'!$F$11*(1/2)^(('Power Graphs'!D157-'Power Graphs'!D$2)*24/('Power Timeline (arch 1) (Beta A'!$G$11*365*24))</f>
        <v>459.7578048</v>
      </c>
    </row>
    <row r="158" ht="15.75" customHeight="1">
      <c r="B158" s="79">
        <f t="shared" ref="B158:D158" si="156">B157+25</f>
        <v>50072</v>
      </c>
      <c r="C158" s="79">
        <f t="shared" si="156"/>
        <v>50072</v>
      </c>
      <c r="D158" s="79">
        <f t="shared" si="156"/>
        <v>50072</v>
      </c>
      <c r="F158" s="1">
        <f>'Power Timeline (arch 1) (Beta A'!$F$9*(1/2)^(('Power Graphs'!B158-'Power Graphs'!B$2)*24/('Power Timeline (arch 1) (Beta A'!$G$9*365*24))</f>
        <v>9999.999894</v>
      </c>
      <c r="G158" s="1">
        <f>'Power Timeline (arch 1) (Beta A'!$F$10*(1/2)^(('Power Graphs'!C158-'Power Graphs'!C$2)*24/('Power Timeline (arch 1) (Beta A'!$G$10*365*24))</f>
        <v>459.5089852</v>
      </c>
      <c r="H158" s="1">
        <f>'Power Timeline (arch 1) (Beta A'!$F$11*(1/2)^(('Power Graphs'!D158-'Power Graphs'!D$2)*24/('Power Timeline (arch 1) (Beta A'!$G$11*365*24))</f>
        <v>459.5089852</v>
      </c>
    </row>
    <row r="159" ht="15.75" customHeight="1">
      <c r="B159" s="79">
        <f t="shared" ref="B159:D159" si="157">B158+25</f>
        <v>50097</v>
      </c>
      <c r="C159" s="79">
        <f t="shared" si="157"/>
        <v>50097</v>
      </c>
      <c r="D159" s="79">
        <f t="shared" si="157"/>
        <v>50097</v>
      </c>
      <c r="F159" s="1">
        <f>'Power Timeline (arch 1) (Beta A'!$F$9*(1/2)^(('Power Graphs'!B159-'Power Graphs'!B$2)*24/('Power Timeline (arch 1) (Beta A'!$G$9*365*24))</f>
        <v>9999.999894</v>
      </c>
      <c r="G159" s="1">
        <f>'Power Timeline (arch 1) (Beta A'!$F$10*(1/2)^(('Power Graphs'!C159-'Power Graphs'!C$2)*24/('Power Timeline (arch 1) (Beta A'!$G$10*365*24))</f>
        <v>459.2603002</v>
      </c>
      <c r="H159" s="1">
        <f>'Power Timeline (arch 1) (Beta A'!$F$11*(1/2)^(('Power Graphs'!D159-'Power Graphs'!D$2)*24/('Power Timeline (arch 1) (Beta A'!$G$11*365*24))</f>
        <v>459.2603002</v>
      </c>
    </row>
    <row r="160" ht="15.75" customHeight="1">
      <c r="B160" s="79">
        <f t="shared" ref="B160:D160" si="158">B159+25</f>
        <v>50122</v>
      </c>
      <c r="C160" s="79">
        <f t="shared" si="158"/>
        <v>50122</v>
      </c>
      <c r="D160" s="79">
        <f t="shared" si="158"/>
        <v>50122</v>
      </c>
      <c r="F160" s="1">
        <f>'Power Timeline (arch 1) (Beta A'!$F$9*(1/2)^(('Power Graphs'!B160-'Power Graphs'!B$2)*24/('Power Timeline (arch 1) (Beta A'!$G$9*365*24))</f>
        <v>9999.999893</v>
      </c>
      <c r="G160" s="1">
        <f>'Power Timeline (arch 1) (Beta A'!$F$10*(1/2)^(('Power Graphs'!C160-'Power Graphs'!C$2)*24/('Power Timeline (arch 1) (Beta A'!$G$10*365*24))</f>
        <v>459.0117499</v>
      </c>
      <c r="H160" s="1">
        <f>'Power Timeline (arch 1) (Beta A'!$F$11*(1/2)^(('Power Graphs'!D160-'Power Graphs'!D$2)*24/('Power Timeline (arch 1) (Beta A'!$G$11*365*24))</f>
        <v>459.0117499</v>
      </c>
    </row>
    <row r="161" ht="15.75" customHeight="1">
      <c r="B161" s="79">
        <f t="shared" ref="B161:D161" si="159">B160+25</f>
        <v>50147</v>
      </c>
      <c r="C161" s="79">
        <f t="shared" si="159"/>
        <v>50147</v>
      </c>
      <c r="D161" s="79">
        <f t="shared" si="159"/>
        <v>50147</v>
      </c>
      <c r="F161" s="1">
        <f>'Power Timeline (arch 1) (Beta A'!$F$9*(1/2)^(('Power Graphs'!B161-'Power Graphs'!B$2)*24/('Power Timeline (arch 1) (Beta A'!$G$9*365*24))</f>
        <v>9999.999892</v>
      </c>
      <c r="G161" s="1">
        <f>'Power Timeline (arch 1) (Beta A'!$F$10*(1/2)^(('Power Graphs'!C161-'Power Graphs'!C$2)*24/('Power Timeline (arch 1) (Beta A'!$G$10*365*24))</f>
        <v>458.7633341</v>
      </c>
      <c r="H161" s="1">
        <f>'Power Timeline (arch 1) (Beta A'!$F$11*(1/2)^(('Power Graphs'!D161-'Power Graphs'!D$2)*24/('Power Timeline (arch 1) (Beta A'!$G$11*365*24))</f>
        <v>458.7633341</v>
      </c>
    </row>
    <row r="162" ht="15.75" customHeight="1">
      <c r="B162" s="79">
        <f t="shared" ref="B162:D162" si="160">B161+25</f>
        <v>50172</v>
      </c>
      <c r="C162" s="79">
        <f t="shared" si="160"/>
        <v>50172</v>
      </c>
      <c r="D162" s="79">
        <f t="shared" si="160"/>
        <v>50172</v>
      </c>
      <c r="F162" s="1">
        <f>'Power Timeline (arch 1) (Beta A'!$F$9*(1/2)^(('Power Graphs'!B162-'Power Graphs'!B$2)*24/('Power Timeline (arch 1) (Beta A'!$G$9*365*24))</f>
        <v>9999.999891</v>
      </c>
      <c r="G162" s="1">
        <f>'Power Timeline (arch 1) (Beta A'!$F$10*(1/2)^(('Power Graphs'!C162-'Power Graphs'!C$2)*24/('Power Timeline (arch 1) (Beta A'!$G$10*365*24))</f>
        <v>458.5150527</v>
      </c>
      <c r="H162" s="1">
        <f>'Power Timeline (arch 1) (Beta A'!$F$11*(1/2)^(('Power Graphs'!D162-'Power Graphs'!D$2)*24/('Power Timeline (arch 1) (Beta A'!$G$11*365*24))</f>
        <v>458.5150527</v>
      </c>
    </row>
    <row r="163" ht="15.75" customHeight="1">
      <c r="B163" s="79">
        <f t="shared" ref="B163:D163" si="161">B162+25</f>
        <v>50197</v>
      </c>
      <c r="C163" s="79">
        <f t="shared" si="161"/>
        <v>50197</v>
      </c>
      <c r="D163" s="79">
        <f t="shared" si="161"/>
        <v>50197</v>
      </c>
      <c r="F163" s="1">
        <f>'Power Timeline (arch 1) (Beta A'!$F$9*(1/2)^(('Power Graphs'!B163-'Power Graphs'!B$2)*24/('Power Timeline (arch 1) (Beta A'!$G$9*365*24))</f>
        <v>9999.999891</v>
      </c>
      <c r="G163" s="1">
        <f>'Power Timeline (arch 1) (Beta A'!$F$10*(1/2)^(('Power Graphs'!C163-'Power Graphs'!C$2)*24/('Power Timeline (arch 1) (Beta A'!$G$10*365*24))</f>
        <v>458.2669056</v>
      </c>
      <c r="H163" s="1">
        <f>'Power Timeline (arch 1) (Beta A'!$F$11*(1/2)^(('Power Graphs'!D163-'Power Graphs'!D$2)*24/('Power Timeline (arch 1) (Beta A'!$G$11*365*24))</f>
        <v>458.2669056</v>
      </c>
    </row>
    <row r="164" ht="15.75" customHeight="1">
      <c r="B164" s="79">
        <f t="shared" ref="B164:D164" si="162">B163+25</f>
        <v>50222</v>
      </c>
      <c r="C164" s="79">
        <f t="shared" si="162"/>
        <v>50222</v>
      </c>
      <c r="D164" s="79">
        <f t="shared" si="162"/>
        <v>50222</v>
      </c>
      <c r="F164" s="1">
        <f>'Power Timeline (arch 1) (Beta A'!$F$9*(1/2)^(('Power Graphs'!B164-'Power Graphs'!B$2)*24/('Power Timeline (arch 1) (Beta A'!$G$9*365*24))</f>
        <v>9999.99989</v>
      </c>
      <c r="G164" s="1">
        <f>'Power Timeline (arch 1) (Beta A'!$F$10*(1/2)^(('Power Graphs'!C164-'Power Graphs'!C$2)*24/('Power Timeline (arch 1) (Beta A'!$G$10*365*24))</f>
        <v>458.0188929</v>
      </c>
      <c r="H164" s="1">
        <f>'Power Timeline (arch 1) (Beta A'!$F$11*(1/2)^(('Power Graphs'!D164-'Power Graphs'!D$2)*24/('Power Timeline (arch 1) (Beta A'!$G$11*365*24))</f>
        <v>458.0188929</v>
      </c>
    </row>
    <row r="165" ht="15.75" customHeight="1">
      <c r="B165" s="79">
        <f t="shared" ref="B165:D165" si="163">B164+25</f>
        <v>50247</v>
      </c>
      <c r="C165" s="79">
        <f t="shared" si="163"/>
        <v>50247</v>
      </c>
      <c r="D165" s="79">
        <f t="shared" si="163"/>
        <v>50247</v>
      </c>
      <c r="F165" s="1">
        <f>'Power Timeline (arch 1) (Beta A'!$F$9*(1/2)^(('Power Graphs'!B165-'Power Graphs'!B$2)*24/('Power Timeline (arch 1) (Beta A'!$G$9*365*24))</f>
        <v>9999.999889</v>
      </c>
      <c r="G165" s="1">
        <f>'Power Timeline (arch 1) (Beta A'!$F$10*(1/2)^(('Power Graphs'!C165-'Power Graphs'!C$2)*24/('Power Timeline (arch 1) (Beta A'!$G$10*365*24))</f>
        <v>457.7710144</v>
      </c>
      <c r="H165" s="1">
        <f>'Power Timeline (arch 1) (Beta A'!$F$11*(1/2)^(('Power Graphs'!D165-'Power Graphs'!D$2)*24/('Power Timeline (arch 1) (Beta A'!$G$11*365*24))</f>
        <v>457.7710144</v>
      </c>
    </row>
    <row r="166" ht="15.75" customHeight="1">
      <c r="B166" s="79">
        <f t="shared" ref="B166:D166" si="164">B165+25</f>
        <v>50272</v>
      </c>
      <c r="C166" s="79">
        <f t="shared" si="164"/>
        <v>50272</v>
      </c>
      <c r="D166" s="79">
        <f t="shared" si="164"/>
        <v>50272</v>
      </c>
      <c r="F166" s="1">
        <f>'Power Timeline (arch 1) (Beta A'!$F$9*(1/2)^(('Power Graphs'!B166-'Power Graphs'!B$2)*24/('Power Timeline (arch 1) (Beta A'!$G$9*365*24))</f>
        <v>9999.999889</v>
      </c>
      <c r="G166" s="1">
        <f>'Power Timeline (arch 1) (Beta A'!$F$10*(1/2)^(('Power Graphs'!C166-'Power Graphs'!C$2)*24/('Power Timeline (arch 1) (Beta A'!$G$10*365*24))</f>
        <v>457.5232701</v>
      </c>
      <c r="H166" s="1">
        <f>'Power Timeline (arch 1) (Beta A'!$F$11*(1/2)^(('Power Graphs'!D166-'Power Graphs'!D$2)*24/('Power Timeline (arch 1) (Beta A'!$G$11*365*24))</f>
        <v>457.5232701</v>
      </c>
    </row>
    <row r="167" ht="15.75" customHeight="1">
      <c r="B167" s="79">
        <f t="shared" ref="B167:D167" si="165">B166+25</f>
        <v>50297</v>
      </c>
      <c r="C167" s="79">
        <f t="shared" si="165"/>
        <v>50297</v>
      </c>
      <c r="D167" s="79">
        <f t="shared" si="165"/>
        <v>50297</v>
      </c>
      <c r="F167" s="1">
        <f>'Power Timeline (arch 1) (Beta A'!$F$9*(1/2)^(('Power Graphs'!B167-'Power Graphs'!B$2)*24/('Power Timeline (arch 1) (Beta A'!$G$9*365*24))</f>
        <v>9999.999888</v>
      </c>
      <c r="G167" s="1">
        <f>'Power Timeline (arch 1) (Beta A'!$F$10*(1/2)^(('Power Graphs'!C167-'Power Graphs'!C$2)*24/('Power Timeline (arch 1) (Beta A'!$G$10*365*24))</f>
        <v>457.2756598</v>
      </c>
      <c r="H167" s="1">
        <f>'Power Timeline (arch 1) (Beta A'!$F$11*(1/2)^(('Power Graphs'!D167-'Power Graphs'!D$2)*24/('Power Timeline (arch 1) (Beta A'!$G$11*365*24))</f>
        <v>457.2756598</v>
      </c>
    </row>
    <row r="168" ht="15.75" customHeight="1">
      <c r="B168" s="79">
        <f t="shared" ref="B168:D168" si="166">B167+25</f>
        <v>50322</v>
      </c>
      <c r="C168" s="79">
        <f t="shared" si="166"/>
        <v>50322</v>
      </c>
      <c r="D168" s="79">
        <f t="shared" si="166"/>
        <v>50322</v>
      </c>
      <c r="F168" s="1">
        <f>'Power Timeline (arch 1) (Beta A'!$F$9*(1/2)^(('Power Graphs'!B168-'Power Graphs'!B$2)*24/('Power Timeline (arch 1) (Beta A'!$G$9*365*24))</f>
        <v>9999.999887</v>
      </c>
      <c r="G168" s="1">
        <f>'Power Timeline (arch 1) (Beta A'!$F$10*(1/2)^(('Power Graphs'!C168-'Power Graphs'!C$2)*24/('Power Timeline (arch 1) (Beta A'!$G$10*365*24))</f>
        <v>457.0281835</v>
      </c>
      <c r="H168" s="1">
        <f>'Power Timeline (arch 1) (Beta A'!$F$11*(1/2)^(('Power Graphs'!D168-'Power Graphs'!D$2)*24/('Power Timeline (arch 1) (Beta A'!$G$11*365*24))</f>
        <v>457.0281835</v>
      </c>
    </row>
    <row r="169" ht="15.75" customHeight="1">
      <c r="B169" s="79">
        <f t="shared" ref="B169:D169" si="167">B168+25</f>
        <v>50347</v>
      </c>
      <c r="C169" s="79">
        <f t="shared" si="167"/>
        <v>50347</v>
      </c>
      <c r="D169" s="79">
        <f t="shared" si="167"/>
        <v>50347</v>
      </c>
      <c r="F169" s="1">
        <f>'Power Timeline (arch 1) (Beta A'!$F$9*(1/2)^(('Power Graphs'!B169-'Power Graphs'!B$2)*24/('Power Timeline (arch 1) (Beta A'!$G$9*365*24))</f>
        <v>9999.999887</v>
      </c>
      <c r="G169" s="1">
        <f>'Power Timeline (arch 1) (Beta A'!$F$10*(1/2)^(('Power Graphs'!C169-'Power Graphs'!C$2)*24/('Power Timeline (arch 1) (Beta A'!$G$10*365*24))</f>
        <v>456.7808412</v>
      </c>
      <c r="H169" s="1">
        <f>'Power Timeline (arch 1) (Beta A'!$F$11*(1/2)^(('Power Graphs'!D169-'Power Graphs'!D$2)*24/('Power Timeline (arch 1) (Beta A'!$G$11*365*24))</f>
        <v>456.7808412</v>
      </c>
    </row>
    <row r="170" ht="15.75" customHeight="1">
      <c r="B170" s="79">
        <f t="shared" ref="B170:D170" si="168">B169+25</f>
        <v>50372</v>
      </c>
      <c r="C170" s="79">
        <f t="shared" si="168"/>
        <v>50372</v>
      </c>
      <c r="D170" s="79">
        <f t="shared" si="168"/>
        <v>50372</v>
      </c>
      <c r="F170" s="1">
        <f>'Power Timeline (arch 1) (Beta A'!$F$9*(1/2)^(('Power Graphs'!B170-'Power Graphs'!B$2)*24/('Power Timeline (arch 1) (Beta A'!$G$9*365*24))</f>
        <v>9999.999886</v>
      </c>
      <c r="G170" s="1">
        <f>'Power Timeline (arch 1) (Beta A'!$F$10*(1/2)^(('Power Graphs'!C170-'Power Graphs'!C$2)*24/('Power Timeline (arch 1) (Beta A'!$G$10*365*24))</f>
        <v>456.5336327</v>
      </c>
      <c r="H170" s="1">
        <f>'Power Timeline (arch 1) (Beta A'!$F$11*(1/2)^(('Power Graphs'!D170-'Power Graphs'!D$2)*24/('Power Timeline (arch 1) (Beta A'!$G$11*365*24))</f>
        <v>456.5336327</v>
      </c>
    </row>
    <row r="171" ht="15.75" customHeight="1">
      <c r="B171" s="79">
        <f t="shared" ref="B171:D171" si="169">B170+25</f>
        <v>50397</v>
      </c>
      <c r="C171" s="79">
        <f t="shared" si="169"/>
        <v>50397</v>
      </c>
      <c r="D171" s="79">
        <f t="shared" si="169"/>
        <v>50397</v>
      </c>
      <c r="F171" s="1">
        <f>'Power Timeline (arch 1) (Beta A'!$F$9*(1/2)^(('Power Graphs'!B171-'Power Graphs'!B$2)*24/('Power Timeline (arch 1) (Beta A'!$G$9*365*24))</f>
        <v>9999.999885</v>
      </c>
      <c r="G171" s="1">
        <f>'Power Timeline (arch 1) (Beta A'!$F$10*(1/2)^(('Power Graphs'!C171-'Power Graphs'!C$2)*24/('Power Timeline (arch 1) (Beta A'!$G$10*365*24))</f>
        <v>456.2865581</v>
      </c>
      <c r="H171" s="1">
        <f>'Power Timeline (arch 1) (Beta A'!$F$11*(1/2)^(('Power Graphs'!D171-'Power Graphs'!D$2)*24/('Power Timeline (arch 1) (Beta A'!$G$11*365*24))</f>
        <v>456.2865581</v>
      </c>
    </row>
    <row r="172" ht="15.75" customHeight="1">
      <c r="B172" s="79">
        <f t="shared" ref="B172:D172" si="170">B171+25</f>
        <v>50422</v>
      </c>
      <c r="C172" s="79">
        <f t="shared" si="170"/>
        <v>50422</v>
      </c>
      <c r="D172" s="79">
        <f t="shared" si="170"/>
        <v>50422</v>
      </c>
      <c r="F172" s="1">
        <f>'Power Timeline (arch 1) (Beta A'!$F$9*(1/2)^(('Power Graphs'!B172-'Power Graphs'!B$2)*24/('Power Timeline (arch 1) (Beta A'!$G$9*365*24))</f>
        <v>9999.999885</v>
      </c>
      <c r="G172" s="1">
        <f>'Power Timeline (arch 1) (Beta A'!$F$10*(1/2)^(('Power Graphs'!C172-'Power Graphs'!C$2)*24/('Power Timeline (arch 1) (Beta A'!$G$10*365*24))</f>
        <v>456.0396171</v>
      </c>
      <c r="H172" s="1">
        <f>'Power Timeline (arch 1) (Beta A'!$F$11*(1/2)^(('Power Graphs'!D172-'Power Graphs'!D$2)*24/('Power Timeline (arch 1) (Beta A'!$G$11*365*24))</f>
        <v>456.0396171</v>
      </c>
    </row>
    <row r="173" ht="15.75" customHeight="1">
      <c r="B173" s="79">
        <f t="shared" ref="B173:D173" si="171">B172+25</f>
        <v>50447</v>
      </c>
      <c r="C173" s="79">
        <f t="shared" si="171"/>
        <v>50447</v>
      </c>
      <c r="D173" s="79">
        <f t="shared" si="171"/>
        <v>50447</v>
      </c>
      <c r="F173" s="1">
        <f>'Power Timeline (arch 1) (Beta A'!$F$9*(1/2)^(('Power Graphs'!B173-'Power Graphs'!B$2)*24/('Power Timeline (arch 1) (Beta A'!$G$9*365*24))</f>
        <v>9999.999884</v>
      </c>
      <c r="G173" s="1">
        <f>'Power Timeline (arch 1) (Beta A'!$F$10*(1/2)^(('Power Graphs'!C173-'Power Graphs'!C$2)*24/('Power Timeline (arch 1) (Beta A'!$G$10*365*24))</f>
        <v>455.7928098</v>
      </c>
      <c r="H173" s="1">
        <f>'Power Timeline (arch 1) (Beta A'!$F$11*(1/2)^(('Power Graphs'!D173-'Power Graphs'!D$2)*24/('Power Timeline (arch 1) (Beta A'!$G$11*365*24))</f>
        <v>455.7928098</v>
      </c>
    </row>
    <row r="174" ht="15.75" customHeight="1">
      <c r="B174" s="79">
        <f t="shared" ref="B174:D174" si="172">B173+25</f>
        <v>50472</v>
      </c>
      <c r="C174" s="79">
        <f t="shared" si="172"/>
        <v>50472</v>
      </c>
      <c r="D174" s="79">
        <f t="shared" si="172"/>
        <v>50472</v>
      </c>
      <c r="F174" s="1">
        <f>'Power Timeline (arch 1) (Beta A'!$F$9*(1/2)^(('Power Graphs'!B174-'Power Graphs'!B$2)*24/('Power Timeline (arch 1) (Beta A'!$G$9*365*24))</f>
        <v>9999.999883</v>
      </c>
      <c r="G174" s="1">
        <f>'Power Timeline (arch 1) (Beta A'!$F$10*(1/2)^(('Power Graphs'!C174-'Power Graphs'!C$2)*24/('Power Timeline (arch 1) (Beta A'!$G$10*365*24))</f>
        <v>455.546136</v>
      </c>
      <c r="H174" s="1">
        <f>'Power Timeline (arch 1) (Beta A'!$F$11*(1/2)^(('Power Graphs'!D174-'Power Graphs'!D$2)*24/('Power Timeline (arch 1) (Beta A'!$G$11*365*24))</f>
        <v>455.546136</v>
      </c>
    </row>
    <row r="175" ht="15.75" customHeight="1">
      <c r="B175" s="79">
        <f t="shared" ref="B175:D175" si="173">B174+25</f>
        <v>50497</v>
      </c>
      <c r="C175" s="79">
        <f t="shared" si="173"/>
        <v>50497</v>
      </c>
      <c r="D175" s="79">
        <f t="shared" si="173"/>
        <v>50497</v>
      </c>
      <c r="F175" s="1">
        <f>'Power Timeline (arch 1) (Beta A'!$F$9*(1/2)^(('Power Graphs'!B175-'Power Graphs'!B$2)*24/('Power Timeline (arch 1) (Beta A'!$G$9*365*24))</f>
        <v>9999.999883</v>
      </c>
      <c r="G175" s="1">
        <f>'Power Timeline (arch 1) (Beta A'!$F$10*(1/2)^(('Power Graphs'!C175-'Power Graphs'!C$2)*24/('Power Timeline (arch 1) (Beta A'!$G$10*365*24))</f>
        <v>455.2995958</v>
      </c>
      <c r="H175" s="1">
        <f>'Power Timeline (arch 1) (Beta A'!$F$11*(1/2)^(('Power Graphs'!D175-'Power Graphs'!D$2)*24/('Power Timeline (arch 1) (Beta A'!$G$11*365*24))</f>
        <v>455.2995958</v>
      </c>
    </row>
    <row r="176" ht="15.75" customHeight="1">
      <c r="B176" s="79">
        <f t="shared" ref="B176:D176" si="174">B175+25</f>
        <v>50522</v>
      </c>
      <c r="C176" s="79">
        <f t="shared" si="174"/>
        <v>50522</v>
      </c>
      <c r="D176" s="79">
        <f t="shared" si="174"/>
        <v>50522</v>
      </c>
      <c r="F176" s="1">
        <f>'Power Timeline (arch 1) (Beta A'!$F$9*(1/2)^(('Power Graphs'!B176-'Power Graphs'!B$2)*24/('Power Timeline (arch 1) (Beta A'!$G$9*365*24))</f>
        <v>9999.999882</v>
      </c>
      <c r="G176" s="1">
        <f>'Power Timeline (arch 1) (Beta A'!$F$10*(1/2)^(('Power Graphs'!C176-'Power Graphs'!C$2)*24/('Power Timeline (arch 1) (Beta A'!$G$10*365*24))</f>
        <v>455.0531889</v>
      </c>
      <c r="H176" s="1">
        <f>'Power Timeline (arch 1) (Beta A'!$F$11*(1/2)^(('Power Graphs'!D176-'Power Graphs'!D$2)*24/('Power Timeline (arch 1) (Beta A'!$G$11*365*24))</f>
        <v>455.0531889</v>
      </c>
    </row>
    <row r="177" ht="15.75" customHeight="1">
      <c r="B177" s="79">
        <f t="shared" ref="B177:D177" si="175">B176+25</f>
        <v>50547</v>
      </c>
      <c r="C177" s="79">
        <f t="shared" si="175"/>
        <v>50547</v>
      </c>
      <c r="D177" s="79">
        <f t="shared" si="175"/>
        <v>50547</v>
      </c>
      <c r="F177" s="1">
        <f>'Power Timeline (arch 1) (Beta A'!$F$9*(1/2)^(('Power Graphs'!B177-'Power Graphs'!B$2)*24/('Power Timeline (arch 1) (Beta A'!$G$9*365*24))</f>
        <v>9999.999881</v>
      </c>
      <c r="G177" s="1">
        <f>'Power Timeline (arch 1) (Beta A'!$F$10*(1/2)^(('Power Graphs'!C177-'Power Graphs'!C$2)*24/('Power Timeline (arch 1) (Beta A'!$G$10*365*24))</f>
        <v>454.8069155</v>
      </c>
      <c r="H177" s="1">
        <f>'Power Timeline (arch 1) (Beta A'!$F$11*(1/2)^(('Power Graphs'!D177-'Power Graphs'!D$2)*24/('Power Timeline (arch 1) (Beta A'!$G$11*365*24))</f>
        <v>454.8069155</v>
      </c>
    </row>
    <row r="178" ht="15.75" customHeight="1">
      <c r="B178" s="79">
        <f t="shared" ref="B178:D178" si="176">B177+25</f>
        <v>50572</v>
      </c>
      <c r="C178" s="79">
        <f t="shared" si="176"/>
        <v>50572</v>
      </c>
      <c r="D178" s="79">
        <f t="shared" si="176"/>
        <v>50572</v>
      </c>
      <c r="F178" s="1">
        <f>'Power Timeline (arch 1) (Beta A'!$F$9*(1/2)^(('Power Graphs'!B178-'Power Graphs'!B$2)*24/('Power Timeline (arch 1) (Beta A'!$G$9*365*24))</f>
        <v>9999.999881</v>
      </c>
      <c r="G178" s="1">
        <f>'Power Timeline (arch 1) (Beta A'!$F$10*(1/2)^(('Power Graphs'!C178-'Power Graphs'!C$2)*24/('Power Timeline (arch 1) (Beta A'!$G$10*365*24))</f>
        <v>454.5607753</v>
      </c>
      <c r="H178" s="1">
        <f>'Power Timeline (arch 1) (Beta A'!$F$11*(1/2)^(('Power Graphs'!D178-'Power Graphs'!D$2)*24/('Power Timeline (arch 1) (Beta A'!$G$11*365*24))</f>
        <v>454.5607753</v>
      </c>
    </row>
    <row r="179" ht="15.75" customHeight="1">
      <c r="B179" s="79">
        <f t="shared" ref="B179:D179" si="177">B178+25</f>
        <v>50597</v>
      </c>
      <c r="C179" s="79">
        <f t="shared" si="177"/>
        <v>50597</v>
      </c>
      <c r="D179" s="79">
        <f t="shared" si="177"/>
        <v>50597</v>
      </c>
      <c r="F179" s="1">
        <f>'Power Timeline (arch 1) (Beta A'!$F$9*(1/2)^(('Power Graphs'!B179-'Power Graphs'!B$2)*24/('Power Timeline (arch 1) (Beta A'!$G$9*365*24))</f>
        <v>9999.99988</v>
      </c>
      <c r="G179" s="1">
        <f>'Power Timeline (arch 1) (Beta A'!$F$10*(1/2)^(('Power Graphs'!C179-'Power Graphs'!C$2)*24/('Power Timeline (arch 1) (Beta A'!$G$10*365*24))</f>
        <v>454.3147683</v>
      </c>
      <c r="H179" s="1">
        <f>'Power Timeline (arch 1) (Beta A'!$F$11*(1/2)^(('Power Graphs'!D179-'Power Graphs'!D$2)*24/('Power Timeline (arch 1) (Beta A'!$G$11*365*24))</f>
        <v>454.3147683</v>
      </c>
    </row>
    <row r="180" ht="15.75" customHeight="1">
      <c r="B180" s="79">
        <f t="shared" ref="B180:D180" si="178">B179+25</f>
        <v>50622</v>
      </c>
      <c r="C180" s="79">
        <f t="shared" si="178"/>
        <v>50622</v>
      </c>
      <c r="D180" s="79">
        <f t="shared" si="178"/>
        <v>50622</v>
      </c>
      <c r="F180" s="1">
        <f>'Power Timeline (arch 1) (Beta A'!$F$9*(1/2)^(('Power Graphs'!B180-'Power Graphs'!B$2)*24/('Power Timeline (arch 1) (Beta A'!$G$9*365*24))</f>
        <v>9999.999879</v>
      </c>
      <c r="G180" s="1">
        <f>'Power Timeline (arch 1) (Beta A'!$F$10*(1/2)^(('Power Graphs'!C180-'Power Graphs'!C$2)*24/('Power Timeline (arch 1) (Beta A'!$G$10*365*24))</f>
        <v>454.0688945</v>
      </c>
      <c r="H180" s="1">
        <f>'Power Timeline (arch 1) (Beta A'!$F$11*(1/2)^(('Power Graphs'!D180-'Power Graphs'!D$2)*24/('Power Timeline (arch 1) (Beta A'!$G$11*365*24))</f>
        <v>454.0688945</v>
      </c>
    </row>
    <row r="181" ht="15.75" customHeight="1">
      <c r="B181" s="79">
        <f t="shared" ref="B181:D181" si="179">B180+25</f>
        <v>50647</v>
      </c>
      <c r="C181" s="79">
        <f t="shared" si="179"/>
        <v>50647</v>
      </c>
      <c r="D181" s="79">
        <f t="shared" si="179"/>
        <v>50647</v>
      </c>
      <c r="F181" s="1">
        <f>'Power Timeline (arch 1) (Beta A'!$F$9*(1/2)^(('Power Graphs'!B181-'Power Graphs'!B$2)*24/('Power Timeline (arch 1) (Beta A'!$G$9*365*24))</f>
        <v>9999.999879</v>
      </c>
      <c r="G181" s="1">
        <f>'Power Timeline (arch 1) (Beta A'!$F$10*(1/2)^(('Power Graphs'!C181-'Power Graphs'!C$2)*24/('Power Timeline (arch 1) (Beta A'!$G$10*365*24))</f>
        <v>453.8231537</v>
      </c>
      <c r="H181" s="1">
        <f>'Power Timeline (arch 1) (Beta A'!$F$11*(1/2)^(('Power Graphs'!D181-'Power Graphs'!D$2)*24/('Power Timeline (arch 1) (Beta A'!$G$11*365*24))</f>
        <v>453.8231537</v>
      </c>
    </row>
    <row r="182" ht="15.75" customHeight="1">
      <c r="B182" s="79">
        <f t="shared" ref="B182:D182" si="180">B181+25</f>
        <v>50672</v>
      </c>
      <c r="C182" s="79">
        <f t="shared" si="180"/>
        <v>50672</v>
      </c>
      <c r="D182" s="79">
        <f t="shared" si="180"/>
        <v>50672</v>
      </c>
      <c r="F182" s="1">
        <f>'Power Timeline (arch 1) (Beta A'!$F$9*(1/2)^(('Power Graphs'!B182-'Power Graphs'!B$2)*24/('Power Timeline (arch 1) (Beta A'!$G$9*365*24))</f>
        <v>9999.999878</v>
      </c>
      <c r="G182" s="1">
        <f>'Power Timeline (arch 1) (Beta A'!$F$10*(1/2)^(('Power Graphs'!C182-'Power Graphs'!C$2)*24/('Power Timeline (arch 1) (Beta A'!$G$10*365*24))</f>
        <v>453.5775459</v>
      </c>
      <c r="H182" s="1">
        <f>'Power Timeline (arch 1) (Beta A'!$F$11*(1/2)^(('Power Graphs'!D182-'Power Graphs'!D$2)*24/('Power Timeline (arch 1) (Beta A'!$G$11*365*24))</f>
        <v>453.5775459</v>
      </c>
    </row>
    <row r="183" ht="15.75" customHeight="1">
      <c r="B183" s="79">
        <f t="shared" ref="B183:D183" si="181">B182+25</f>
        <v>50697</v>
      </c>
      <c r="C183" s="79">
        <f t="shared" si="181"/>
        <v>50697</v>
      </c>
      <c r="D183" s="79">
        <f t="shared" si="181"/>
        <v>50697</v>
      </c>
      <c r="F183" s="1">
        <f>'Power Timeline (arch 1) (Beta A'!$F$9*(1/2)^(('Power Graphs'!B183-'Power Graphs'!B$2)*24/('Power Timeline (arch 1) (Beta A'!$G$9*365*24))</f>
        <v>9999.999877</v>
      </c>
      <c r="G183" s="1">
        <f>'Power Timeline (arch 1) (Beta A'!$F$10*(1/2)^(('Power Graphs'!C183-'Power Graphs'!C$2)*24/('Power Timeline (arch 1) (Beta A'!$G$10*365*24))</f>
        <v>453.3320711</v>
      </c>
      <c r="H183" s="1">
        <f>'Power Timeline (arch 1) (Beta A'!$F$11*(1/2)^(('Power Graphs'!D183-'Power Graphs'!D$2)*24/('Power Timeline (arch 1) (Beta A'!$G$11*365*24))</f>
        <v>453.3320711</v>
      </c>
    </row>
    <row r="184" ht="15.75" customHeight="1">
      <c r="B184" s="79">
        <f t="shared" ref="B184:D184" si="182">B183+25</f>
        <v>50722</v>
      </c>
      <c r="C184" s="79">
        <f t="shared" si="182"/>
        <v>50722</v>
      </c>
      <c r="D184" s="79">
        <f t="shared" si="182"/>
        <v>50722</v>
      </c>
      <c r="F184" s="1">
        <f>'Power Timeline (arch 1) (Beta A'!$F$9*(1/2)^(('Power Graphs'!B184-'Power Graphs'!B$2)*24/('Power Timeline (arch 1) (Beta A'!$G$9*365*24))</f>
        <v>9999.999877</v>
      </c>
      <c r="G184" s="1">
        <f>'Power Timeline (arch 1) (Beta A'!$F$10*(1/2)^(('Power Graphs'!C184-'Power Graphs'!C$2)*24/('Power Timeline (arch 1) (Beta A'!$G$10*365*24))</f>
        <v>453.0867291</v>
      </c>
      <c r="H184" s="1">
        <f>'Power Timeline (arch 1) (Beta A'!$F$11*(1/2)^(('Power Graphs'!D184-'Power Graphs'!D$2)*24/('Power Timeline (arch 1) (Beta A'!$G$11*365*24))</f>
        <v>453.0867291</v>
      </c>
    </row>
    <row r="185" ht="15.75" customHeight="1">
      <c r="B185" s="79">
        <f t="shared" ref="B185:D185" si="183">B184+25</f>
        <v>50747</v>
      </c>
      <c r="C185" s="79">
        <f t="shared" si="183"/>
        <v>50747</v>
      </c>
      <c r="D185" s="79">
        <f t="shared" si="183"/>
        <v>50747</v>
      </c>
      <c r="F185" s="1">
        <f>'Power Timeline (arch 1) (Beta A'!$F$9*(1/2)^(('Power Graphs'!B185-'Power Graphs'!B$2)*24/('Power Timeline (arch 1) (Beta A'!$G$9*365*24))</f>
        <v>9999.999876</v>
      </c>
      <c r="G185" s="1">
        <f>'Power Timeline (arch 1) (Beta A'!$F$10*(1/2)^(('Power Graphs'!C185-'Power Graphs'!C$2)*24/('Power Timeline (arch 1) (Beta A'!$G$10*365*24))</f>
        <v>452.8415198</v>
      </c>
      <c r="H185" s="1">
        <f>'Power Timeline (arch 1) (Beta A'!$F$11*(1/2)^(('Power Graphs'!D185-'Power Graphs'!D$2)*24/('Power Timeline (arch 1) (Beta A'!$G$11*365*24))</f>
        <v>452.8415198</v>
      </c>
    </row>
    <row r="186" ht="15.75" customHeight="1">
      <c r="B186" s="79">
        <f t="shared" ref="B186:D186" si="184">B185+25</f>
        <v>50772</v>
      </c>
      <c r="C186" s="79">
        <f t="shared" si="184"/>
        <v>50772</v>
      </c>
      <c r="D186" s="79">
        <f t="shared" si="184"/>
        <v>50772</v>
      </c>
      <c r="F186" s="1">
        <f>'Power Timeline (arch 1) (Beta A'!$F$9*(1/2)^(('Power Graphs'!B186-'Power Graphs'!B$2)*24/('Power Timeline (arch 1) (Beta A'!$G$9*365*24))</f>
        <v>9999.999875</v>
      </c>
      <c r="G186" s="1">
        <f>'Power Timeline (arch 1) (Beta A'!$F$10*(1/2)^(('Power Graphs'!C186-'Power Graphs'!C$2)*24/('Power Timeline (arch 1) (Beta A'!$G$10*365*24))</f>
        <v>452.5964433</v>
      </c>
      <c r="H186" s="1">
        <f>'Power Timeline (arch 1) (Beta A'!$F$11*(1/2)^(('Power Graphs'!D186-'Power Graphs'!D$2)*24/('Power Timeline (arch 1) (Beta A'!$G$11*365*24))</f>
        <v>452.5964433</v>
      </c>
    </row>
    <row r="187" ht="15.75" customHeight="1">
      <c r="B187" s="79">
        <f t="shared" ref="B187:D187" si="185">B186+25</f>
        <v>50797</v>
      </c>
      <c r="C187" s="79">
        <f t="shared" si="185"/>
        <v>50797</v>
      </c>
      <c r="D187" s="79">
        <f t="shared" si="185"/>
        <v>50797</v>
      </c>
      <c r="F187" s="1">
        <f>'Power Timeline (arch 1) (Beta A'!$F$9*(1/2)^(('Power Graphs'!B187-'Power Graphs'!B$2)*24/('Power Timeline (arch 1) (Beta A'!$G$9*365*24))</f>
        <v>9999.999875</v>
      </c>
      <c r="G187" s="1">
        <f>'Power Timeline (arch 1) (Beta A'!$F$10*(1/2)^(('Power Graphs'!C187-'Power Graphs'!C$2)*24/('Power Timeline (arch 1) (Beta A'!$G$10*365*24))</f>
        <v>452.3514994</v>
      </c>
      <c r="H187" s="1">
        <f>'Power Timeline (arch 1) (Beta A'!$F$11*(1/2)^(('Power Graphs'!D187-'Power Graphs'!D$2)*24/('Power Timeline (arch 1) (Beta A'!$G$11*365*24))</f>
        <v>452.3514994</v>
      </c>
    </row>
    <row r="188" ht="15.75" customHeight="1">
      <c r="B188" s="79">
        <f t="shared" ref="B188:D188" si="186">B187+25</f>
        <v>50822</v>
      </c>
      <c r="C188" s="79">
        <f t="shared" si="186"/>
        <v>50822</v>
      </c>
      <c r="D188" s="79">
        <f t="shared" si="186"/>
        <v>50822</v>
      </c>
      <c r="F188" s="1">
        <f>'Power Timeline (arch 1) (Beta A'!$F$9*(1/2)^(('Power Graphs'!B188-'Power Graphs'!B$2)*24/('Power Timeline (arch 1) (Beta A'!$G$9*365*24))</f>
        <v>9999.999874</v>
      </c>
      <c r="G188" s="1">
        <f>'Power Timeline (arch 1) (Beta A'!$F$10*(1/2)^(('Power Graphs'!C188-'Power Graphs'!C$2)*24/('Power Timeline (arch 1) (Beta A'!$G$10*365*24))</f>
        <v>452.1066881</v>
      </c>
      <c r="H188" s="1">
        <f>'Power Timeline (arch 1) (Beta A'!$F$11*(1/2)^(('Power Graphs'!D188-'Power Graphs'!D$2)*24/('Power Timeline (arch 1) (Beta A'!$G$11*365*24))</f>
        <v>452.1066881</v>
      </c>
    </row>
    <row r="189" ht="15.75" customHeight="1">
      <c r="B189" s="79">
        <f t="shared" ref="B189:D189" si="187">B188+25</f>
        <v>50847</v>
      </c>
      <c r="C189" s="79">
        <f t="shared" si="187"/>
        <v>50847</v>
      </c>
      <c r="D189" s="79">
        <f t="shared" si="187"/>
        <v>50847</v>
      </c>
      <c r="F189" s="1">
        <f>'Power Timeline (arch 1) (Beta A'!$F$9*(1/2)^(('Power Graphs'!B189-'Power Graphs'!B$2)*24/('Power Timeline (arch 1) (Beta A'!$G$9*365*24))</f>
        <v>9999.999873</v>
      </c>
      <c r="G189" s="1">
        <f>'Power Timeline (arch 1) (Beta A'!$F$10*(1/2)^(('Power Graphs'!C189-'Power Graphs'!C$2)*24/('Power Timeline (arch 1) (Beta A'!$G$10*365*24))</f>
        <v>451.8620093</v>
      </c>
      <c r="H189" s="1">
        <f>'Power Timeline (arch 1) (Beta A'!$F$11*(1/2)^(('Power Graphs'!D189-'Power Graphs'!D$2)*24/('Power Timeline (arch 1) (Beta A'!$G$11*365*24))</f>
        <v>451.8620093</v>
      </c>
    </row>
    <row r="190" ht="15.75" customHeight="1">
      <c r="B190" s="79">
        <f t="shared" ref="B190:D190" si="188">B189+25</f>
        <v>50872</v>
      </c>
      <c r="C190" s="79">
        <f t="shared" si="188"/>
        <v>50872</v>
      </c>
      <c r="D190" s="79">
        <f t="shared" si="188"/>
        <v>50872</v>
      </c>
      <c r="F190" s="1">
        <f>'Power Timeline (arch 1) (Beta A'!$F$9*(1/2)^(('Power Graphs'!B190-'Power Graphs'!B$2)*24/('Power Timeline (arch 1) (Beta A'!$G$9*365*24))</f>
        <v>9999.999872</v>
      </c>
      <c r="G190" s="1">
        <f>'Power Timeline (arch 1) (Beta A'!$F$10*(1/2)^(('Power Graphs'!C190-'Power Graphs'!C$2)*24/('Power Timeline (arch 1) (Beta A'!$G$10*365*24))</f>
        <v>451.6174629</v>
      </c>
      <c r="H190" s="1">
        <f>'Power Timeline (arch 1) (Beta A'!$F$11*(1/2)^(('Power Graphs'!D190-'Power Graphs'!D$2)*24/('Power Timeline (arch 1) (Beta A'!$G$11*365*24))</f>
        <v>451.6174629</v>
      </c>
    </row>
    <row r="191" ht="15.75" customHeight="1">
      <c r="B191" s="79">
        <f t="shared" ref="B191:D191" si="189">B190+25</f>
        <v>50897</v>
      </c>
      <c r="C191" s="79">
        <f t="shared" si="189"/>
        <v>50897</v>
      </c>
      <c r="D191" s="79">
        <f t="shared" si="189"/>
        <v>50897</v>
      </c>
      <c r="F191" s="1">
        <f>'Power Timeline (arch 1) (Beta A'!$F$9*(1/2)^(('Power Graphs'!B191-'Power Graphs'!B$2)*24/('Power Timeline (arch 1) (Beta A'!$G$9*365*24))</f>
        <v>9999.999872</v>
      </c>
      <c r="G191" s="1">
        <f>'Power Timeline (arch 1) (Beta A'!$F$10*(1/2)^(('Power Graphs'!C191-'Power Graphs'!C$2)*24/('Power Timeline (arch 1) (Beta A'!$G$10*365*24))</f>
        <v>451.3730488</v>
      </c>
      <c r="H191" s="1">
        <f>'Power Timeline (arch 1) (Beta A'!$F$11*(1/2)^(('Power Graphs'!D191-'Power Graphs'!D$2)*24/('Power Timeline (arch 1) (Beta A'!$G$11*365*24))</f>
        <v>451.3730488</v>
      </c>
    </row>
    <row r="192" ht="15.75" customHeight="1">
      <c r="B192" s="79">
        <f t="shared" ref="B192:D192" si="190">B191+25</f>
        <v>50922</v>
      </c>
      <c r="C192" s="79">
        <f t="shared" si="190"/>
        <v>50922</v>
      </c>
      <c r="D192" s="79">
        <f t="shared" si="190"/>
        <v>50922</v>
      </c>
      <c r="F192" s="1">
        <f>'Power Timeline (arch 1) (Beta A'!$F$9*(1/2)^(('Power Graphs'!B192-'Power Graphs'!B$2)*24/('Power Timeline (arch 1) (Beta A'!$G$9*365*24))</f>
        <v>9999.999871</v>
      </c>
      <c r="G192" s="1">
        <f>'Power Timeline (arch 1) (Beta A'!$F$10*(1/2)^(('Power Graphs'!C192-'Power Graphs'!C$2)*24/('Power Timeline (arch 1) (Beta A'!$G$10*365*24))</f>
        <v>451.128767</v>
      </c>
      <c r="H192" s="1">
        <f>'Power Timeline (arch 1) (Beta A'!$F$11*(1/2)^(('Power Graphs'!D192-'Power Graphs'!D$2)*24/('Power Timeline (arch 1) (Beta A'!$G$11*365*24))</f>
        <v>451.128767</v>
      </c>
    </row>
    <row r="193" ht="15.75" customHeight="1">
      <c r="B193" s="79">
        <f t="shared" ref="B193:D193" si="191">B192+25</f>
        <v>50947</v>
      </c>
      <c r="C193" s="79">
        <f t="shared" si="191"/>
        <v>50947</v>
      </c>
      <c r="D193" s="79">
        <f t="shared" si="191"/>
        <v>50947</v>
      </c>
      <c r="F193" s="1">
        <f>'Power Timeline (arch 1) (Beta A'!$F$9*(1/2)^(('Power Graphs'!B193-'Power Graphs'!B$2)*24/('Power Timeline (arch 1) (Beta A'!$G$9*365*24))</f>
        <v>9999.99987</v>
      </c>
      <c r="G193" s="1">
        <f>'Power Timeline (arch 1) (Beta A'!$F$10*(1/2)^(('Power Graphs'!C193-'Power Graphs'!C$2)*24/('Power Timeline (arch 1) (Beta A'!$G$10*365*24))</f>
        <v>450.8846174</v>
      </c>
      <c r="H193" s="1">
        <f>'Power Timeline (arch 1) (Beta A'!$F$11*(1/2)^(('Power Graphs'!D193-'Power Graphs'!D$2)*24/('Power Timeline (arch 1) (Beta A'!$G$11*365*24))</f>
        <v>450.8846174</v>
      </c>
    </row>
    <row r="194" ht="15.75" customHeight="1">
      <c r="B194" s="79">
        <f t="shared" ref="B194:D194" si="192">B193+25</f>
        <v>50972</v>
      </c>
      <c r="C194" s="79">
        <f t="shared" si="192"/>
        <v>50972</v>
      </c>
      <c r="D194" s="79">
        <f t="shared" si="192"/>
        <v>50972</v>
      </c>
      <c r="F194" s="1">
        <f>'Power Timeline (arch 1) (Beta A'!$F$9*(1/2)^(('Power Graphs'!B194-'Power Graphs'!B$2)*24/('Power Timeline (arch 1) (Beta A'!$G$9*365*24))</f>
        <v>9999.99987</v>
      </c>
      <c r="G194" s="1">
        <f>'Power Timeline (arch 1) (Beta A'!$F$10*(1/2)^(('Power Graphs'!C194-'Power Graphs'!C$2)*24/('Power Timeline (arch 1) (Beta A'!$G$10*365*24))</f>
        <v>450.6406</v>
      </c>
      <c r="H194" s="1">
        <f>'Power Timeline (arch 1) (Beta A'!$F$11*(1/2)^(('Power Graphs'!D194-'Power Graphs'!D$2)*24/('Power Timeline (arch 1) (Beta A'!$G$11*365*24))</f>
        <v>450.6406</v>
      </c>
    </row>
    <row r="195" ht="15.75" customHeight="1">
      <c r="B195" s="79">
        <f t="shared" ref="B195:D195" si="193">B194+25</f>
        <v>50997</v>
      </c>
      <c r="C195" s="79">
        <f t="shared" si="193"/>
        <v>50997</v>
      </c>
      <c r="D195" s="79">
        <f t="shared" si="193"/>
        <v>50997</v>
      </c>
      <c r="F195" s="1">
        <f>'Power Timeline (arch 1) (Beta A'!$F$9*(1/2)^(('Power Graphs'!B195-'Power Graphs'!B$2)*24/('Power Timeline (arch 1) (Beta A'!$G$9*365*24))</f>
        <v>9999.999869</v>
      </c>
      <c r="G195" s="1">
        <f>'Power Timeline (arch 1) (Beta A'!$F$10*(1/2)^(('Power Graphs'!C195-'Power Graphs'!C$2)*24/('Power Timeline (arch 1) (Beta A'!$G$10*365*24))</f>
        <v>450.3967146</v>
      </c>
      <c r="H195" s="1">
        <f>'Power Timeline (arch 1) (Beta A'!$F$11*(1/2)^(('Power Graphs'!D195-'Power Graphs'!D$2)*24/('Power Timeline (arch 1) (Beta A'!$G$11*365*24))</f>
        <v>450.3967146</v>
      </c>
    </row>
    <row r="196" ht="15.75" customHeight="1">
      <c r="B196" s="79">
        <f t="shared" ref="B196:D196" si="194">B195+25</f>
        <v>51022</v>
      </c>
      <c r="C196" s="79">
        <f t="shared" si="194"/>
        <v>51022</v>
      </c>
      <c r="D196" s="79">
        <f t="shared" si="194"/>
        <v>51022</v>
      </c>
      <c r="F196" s="1">
        <f>'Power Timeline (arch 1) (Beta A'!$F$9*(1/2)^(('Power Graphs'!B196-'Power Graphs'!B$2)*24/('Power Timeline (arch 1) (Beta A'!$G$9*365*24))</f>
        <v>9999.999868</v>
      </c>
      <c r="G196" s="1">
        <f>'Power Timeline (arch 1) (Beta A'!$F$10*(1/2)^(('Power Graphs'!C196-'Power Graphs'!C$2)*24/('Power Timeline (arch 1) (Beta A'!$G$10*365*24))</f>
        <v>450.1529612</v>
      </c>
      <c r="H196" s="1">
        <f>'Power Timeline (arch 1) (Beta A'!$F$11*(1/2)^(('Power Graphs'!D196-'Power Graphs'!D$2)*24/('Power Timeline (arch 1) (Beta A'!$G$11*365*24))</f>
        <v>450.1529612</v>
      </c>
    </row>
    <row r="197" ht="15.75" customHeight="1">
      <c r="B197" s="79">
        <f t="shared" ref="B197:D197" si="195">B196+25</f>
        <v>51047</v>
      </c>
      <c r="C197" s="79">
        <f t="shared" si="195"/>
        <v>51047</v>
      </c>
      <c r="D197" s="79">
        <f t="shared" si="195"/>
        <v>51047</v>
      </c>
      <c r="F197" s="1">
        <f>'Power Timeline (arch 1) (Beta A'!$F$9*(1/2)^(('Power Graphs'!B197-'Power Graphs'!B$2)*24/('Power Timeline (arch 1) (Beta A'!$G$9*365*24))</f>
        <v>9999.999868</v>
      </c>
      <c r="G197" s="1">
        <f>'Power Timeline (arch 1) (Beta A'!$F$10*(1/2)^(('Power Graphs'!C197-'Power Graphs'!C$2)*24/('Power Timeline (arch 1) (Beta A'!$G$10*365*24))</f>
        <v>449.9093397</v>
      </c>
      <c r="H197" s="1">
        <f>'Power Timeline (arch 1) (Beta A'!$F$11*(1/2)^(('Power Graphs'!D197-'Power Graphs'!D$2)*24/('Power Timeline (arch 1) (Beta A'!$G$11*365*24))</f>
        <v>449.9093397</v>
      </c>
    </row>
    <row r="198" ht="15.75" customHeight="1">
      <c r="B198" s="79">
        <f t="shared" ref="B198:D198" si="196">B197+25</f>
        <v>51072</v>
      </c>
      <c r="C198" s="79">
        <f t="shared" si="196"/>
        <v>51072</v>
      </c>
      <c r="D198" s="79">
        <f t="shared" si="196"/>
        <v>51072</v>
      </c>
      <c r="F198" s="1">
        <f>'Power Timeline (arch 1) (Beta A'!$F$9*(1/2)^(('Power Graphs'!B198-'Power Graphs'!B$2)*24/('Power Timeline (arch 1) (Beta A'!$G$9*365*24))</f>
        <v>9999.999867</v>
      </c>
      <c r="G198" s="1">
        <f>'Power Timeline (arch 1) (Beta A'!$F$10*(1/2)^(('Power Graphs'!C198-'Power Graphs'!C$2)*24/('Power Timeline (arch 1) (Beta A'!$G$10*365*24))</f>
        <v>449.6658501</v>
      </c>
      <c r="H198" s="1">
        <f>'Power Timeline (arch 1) (Beta A'!$F$11*(1/2)^(('Power Graphs'!D198-'Power Graphs'!D$2)*24/('Power Timeline (arch 1) (Beta A'!$G$11*365*24))</f>
        <v>449.6658501</v>
      </c>
    </row>
    <row r="199" ht="15.75" customHeight="1">
      <c r="B199" s="79">
        <f t="shared" ref="B199:D199" si="197">B198+25</f>
        <v>51097</v>
      </c>
      <c r="C199" s="79">
        <f t="shared" si="197"/>
        <v>51097</v>
      </c>
      <c r="D199" s="79">
        <f t="shared" si="197"/>
        <v>51097</v>
      </c>
      <c r="F199" s="1">
        <f>'Power Timeline (arch 1) (Beta A'!$F$9*(1/2)^(('Power Graphs'!B199-'Power Graphs'!B$2)*24/('Power Timeline (arch 1) (Beta A'!$G$9*365*24))</f>
        <v>9999.999866</v>
      </c>
      <c r="G199" s="1">
        <f>'Power Timeline (arch 1) (Beta A'!$F$10*(1/2)^(('Power Graphs'!C199-'Power Graphs'!C$2)*24/('Power Timeline (arch 1) (Beta A'!$G$10*365*24))</f>
        <v>449.4224922</v>
      </c>
      <c r="H199" s="1">
        <f>'Power Timeline (arch 1) (Beta A'!$F$11*(1/2)^(('Power Graphs'!D199-'Power Graphs'!D$2)*24/('Power Timeline (arch 1) (Beta A'!$G$11*365*24))</f>
        <v>449.4224922</v>
      </c>
    </row>
    <row r="200" ht="15.75" customHeight="1">
      <c r="B200" s="79">
        <f t="shared" ref="B200:D200" si="198">B199+25</f>
        <v>51122</v>
      </c>
      <c r="C200" s="79">
        <f t="shared" si="198"/>
        <v>51122</v>
      </c>
      <c r="D200" s="79">
        <f t="shared" si="198"/>
        <v>51122</v>
      </c>
      <c r="F200" s="1">
        <f>'Power Timeline (arch 1) (Beta A'!$F$9*(1/2)^(('Power Graphs'!B200-'Power Graphs'!B$2)*24/('Power Timeline (arch 1) (Beta A'!$G$9*365*24))</f>
        <v>9999.999866</v>
      </c>
      <c r="G200" s="1">
        <f>'Power Timeline (arch 1) (Beta A'!$F$10*(1/2)^(('Power Graphs'!C200-'Power Graphs'!C$2)*24/('Power Timeline (arch 1) (Beta A'!$G$10*365*24))</f>
        <v>449.1792661</v>
      </c>
      <c r="H200" s="1">
        <f>'Power Timeline (arch 1) (Beta A'!$F$11*(1/2)^(('Power Graphs'!D200-'Power Graphs'!D$2)*24/('Power Timeline (arch 1) (Beta A'!$G$11*365*24))</f>
        <v>449.1792661</v>
      </c>
    </row>
    <row r="201" ht="15.75" customHeight="1">
      <c r="B201" s="79">
        <f t="shared" ref="B201:D201" si="199">B200+25</f>
        <v>51147</v>
      </c>
      <c r="C201" s="79">
        <f t="shared" si="199"/>
        <v>51147</v>
      </c>
      <c r="D201" s="79">
        <f t="shared" si="199"/>
        <v>51147</v>
      </c>
      <c r="F201" s="1">
        <f>'Power Timeline (arch 1) (Beta A'!$F$9*(1/2)^(('Power Graphs'!B201-'Power Graphs'!B$2)*24/('Power Timeline (arch 1) (Beta A'!$G$9*365*24))</f>
        <v>9999.999865</v>
      </c>
      <c r="G201" s="1">
        <f>'Power Timeline (arch 1) (Beta A'!$F$10*(1/2)^(('Power Graphs'!C201-'Power Graphs'!C$2)*24/('Power Timeline (arch 1) (Beta A'!$G$10*365*24))</f>
        <v>448.9361716</v>
      </c>
      <c r="H201" s="1">
        <f>'Power Timeline (arch 1) (Beta A'!$F$11*(1/2)^(('Power Graphs'!D201-'Power Graphs'!D$2)*24/('Power Timeline (arch 1) (Beta A'!$G$11*365*24))</f>
        <v>448.9361716</v>
      </c>
    </row>
    <row r="202" ht="15.75" customHeight="1">
      <c r="B202" s="79">
        <f t="shared" ref="B202:D202" si="200">B201+25</f>
        <v>51172</v>
      </c>
      <c r="C202" s="79">
        <f t="shared" si="200"/>
        <v>51172</v>
      </c>
      <c r="D202" s="79">
        <f t="shared" si="200"/>
        <v>51172</v>
      </c>
      <c r="F202" s="1">
        <f>'Power Timeline (arch 1) (Beta A'!$F$9*(1/2)^(('Power Graphs'!B202-'Power Graphs'!B$2)*24/('Power Timeline (arch 1) (Beta A'!$G$9*365*24))</f>
        <v>9999.999864</v>
      </c>
      <c r="G202" s="1">
        <f>'Power Timeline (arch 1) (Beta A'!$F$10*(1/2)^(('Power Graphs'!C202-'Power Graphs'!C$2)*24/('Power Timeline (arch 1) (Beta A'!$G$10*365*24))</f>
        <v>448.6932086</v>
      </c>
      <c r="H202" s="1">
        <f>'Power Timeline (arch 1) (Beta A'!$F$11*(1/2)^(('Power Graphs'!D202-'Power Graphs'!D$2)*24/('Power Timeline (arch 1) (Beta A'!$G$11*365*24))</f>
        <v>448.6932086</v>
      </c>
    </row>
    <row r="203" ht="15.75" customHeight="1">
      <c r="B203" s="79">
        <f t="shared" ref="B203:D203" si="201">B202+25</f>
        <v>51197</v>
      </c>
      <c r="C203" s="79">
        <f t="shared" si="201"/>
        <v>51197</v>
      </c>
      <c r="D203" s="79">
        <f t="shared" si="201"/>
        <v>51197</v>
      </c>
      <c r="F203" s="1">
        <f>'Power Timeline (arch 1) (Beta A'!$F$9*(1/2)^(('Power Graphs'!B203-'Power Graphs'!B$2)*24/('Power Timeline (arch 1) (Beta A'!$G$9*365*24))</f>
        <v>9999.999864</v>
      </c>
      <c r="G203" s="1">
        <f>'Power Timeline (arch 1) (Beta A'!$F$10*(1/2)^(('Power Graphs'!C203-'Power Graphs'!C$2)*24/('Power Timeline (arch 1) (Beta A'!$G$10*365*24))</f>
        <v>448.4503771</v>
      </c>
      <c r="H203" s="1">
        <f>'Power Timeline (arch 1) (Beta A'!$F$11*(1/2)^(('Power Graphs'!D203-'Power Graphs'!D$2)*24/('Power Timeline (arch 1) (Beta A'!$G$11*365*24))</f>
        <v>448.4503771</v>
      </c>
    </row>
    <row r="204" ht="15.75" customHeight="1">
      <c r="B204" s="79">
        <f t="shared" ref="B204:D204" si="202">B203+25</f>
        <v>51222</v>
      </c>
      <c r="C204" s="79">
        <f t="shared" si="202"/>
        <v>51222</v>
      </c>
      <c r="D204" s="79">
        <f t="shared" si="202"/>
        <v>51222</v>
      </c>
      <c r="F204" s="1">
        <f>'Power Timeline (arch 1) (Beta A'!$F$9*(1/2)^(('Power Graphs'!B204-'Power Graphs'!B$2)*24/('Power Timeline (arch 1) (Beta A'!$G$9*365*24))</f>
        <v>9999.999863</v>
      </c>
      <c r="G204" s="1">
        <f>'Power Timeline (arch 1) (Beta A'!$F$10*(1/2)^(('Power Graphs'!C204-'Power Graphs'!C$2)*24/('Power Timeline (arch 1) (Beta A'!$G$10*365*24))</f>
        <v>448.2076771</v>
      </c>
      <c r="H204" s="1">
        <f>'Power Timeline (arch 1) (Beta A'!$F$11*(1/2)^(('Power Graphs'!D204-'Power Graphs'!D$2)*24/('Power Timeline (arch 1) (Beta A'!$G$11*365*24))</f>
        <v>448.2076771</v>
      </c>
    </row>
    <row r="205" ht="15.75" customHeight="1">
      <c r="B205" s="79">
        <f t="shared" ref="B205:D205" si="203">B204+25</f>
        <v>51247</v>
      </c>
      <c r="C205" s="79">
        <f t="shared" si="203"/>
        <v>51247</v>
      </c>
      <c r="D205" s="79">
        <f t="shared" si="203"/>
        <v>51247</v>
      </c>
      <c r="F205" s="1">
        <f>'Power Timeline (arch 1) (Beta A'!$F$9*(1/2)^(('Power Graphs'!B205-'Power Graphs'!B$2)*24/('Power Timeline (arch 1) (Beta A'!$G$9*365*24))</f>
        <v>9999.999862</v>
      </c>
      <c r="G205" s="1">
        <f>'Power Timeline (arch 1) (Beta A'!$F$10*(1/2)^(('Power Graphs'!C205-'Power Graphs'!C$2)*24/('Power Timeline (arch 1) (Beta A'!$G$10*365*24))</f>
        <v>447.9651084</v>
      </c>
      <c r="H205" s="1">
        <f>'Power Timeline (arch 1) (Beta A'!$F$11*(1/2)^(('Power Graphs'!D205-'Power Graphs'!D$2)*24/('Power Timeline (arch 1) (Beta A'!$G$11*365*24))</f>
        <v>447.9651084</v>
      </c>
    </row>
    <row r="206" ht="15.75" customHeight="1">
      <c r="B206" s="79">
        <f t="shared" ref="B206:D206" si="204">B205+25</f>
        <v>51272</v>
      </c>
      <c r="C206" s="79">
        <f t="shared" si="204"/>
        <v>51272</v>
      </c>
      <c r="D206" s="79">
        <f t="shared" si="204"/>
        <v>51272</v>
      </c>
      <c r="F206" s="1">
        <f>'Power Timeline (arch 1) (Beta A'!$F$9*(1/2)^(('Power Graphs'!B206-'Power Graphs'!B$2)*24/('Power Timeline (arch 1) (Beta A'!$G$9*365*24))</f>
        <v>9999.999862</v>
      </c>
      <c r="G206" s="1">
        <f>'Power Timeline (arch 1) (Beta A'!$F$10*(1/2)^(('Power Graphs'!C206-'Power Graphs'!C$2)*24/('Power Timeline (arch 1) (Beta A'!$G$10*365*24))</f>
        <v>447.722671</v>
      </c>
      <c r="H206" s="1">
        <f>'Power Timeline (arch 1) (Beta A'!$F$11*(1/2)^(('Power Graphs'!D206-'Power Graphs'!D$2)*24/('Power Timeline (arch 1) (Beta A'!$G$11*365*24))</f>
        <v>447.722671</v>
      </c>
    </row>
    <row r="207" ht="15.75" customHeight="1">
      <c r="B207" s="79">
        <f t="shared" ref="B207:D207" si="205">B206+25</f>
        <v>51297</v>
      </c>
      <c r="C207" s="79">
        <f t="shared" si="205"/>
        <v>51297</v>
      </c>
      <c r="D207" s="79">
        <f t="shared" si="205"/>
        <v>51297</v>
      </c>
      <c r="F207" s="1">
        <f>'Power Timeline (arch 1) (Beta A'!$F$9*(1/2)^(('Power Graphs'!B207-'Power Graphs'!B$2)*24/('Power Timeline (arch 1) (Beta A'!$G$9*365*24))</f>
        <v>9999.999861</v>
      </c>
      <c r="G207" s="1">
        <f>'Power Timeline (arch 1) (Beta A'!$F$10*(1/2)^(('Power Graphs'!C207-'Power Graphs'!C$2)*24/('Power Timeline (arch 1) (Beta A'!$G$10*365*24))</f>
        <v>447.4803648</v>
      </c>
      <c r="H207" s="1">
        <f>'Power Timeline (arch 1) (Beta A'!$F$11*(1/2)^(('Power Graphs'!D207-'Power Graphs'!D$2)*24/('Power Timeline (arch 1) (Beta A'!$G$11*365*24))</f>
        <v>447.4803648</v>
      </c>
    </row>
    <row r="208" ht="15.75" customHeight="1">
      <c r="B208" s="79">
        <f t="shared" ref="B208:D208" si="206">B207+25</f>
        <v>51322</v>
      </c>
      <c r="C208" s="79">
        <f t="shared" si="206"/>
        <v>51322</v>
      </c>
      <c r="D208" s="79">
        <f t="shared" si="206"/>
        <v>51322</v>
      </c>
      <c r="F208" s="1">
        <f>'Power Timeline (arch 1) (Beta A'!$F$9*(1/2)^(('Power Graphs'!B208-'Power Graphs'!B$2)*24/('Power Timeline (arch 1) (Beta A'!$G$9*365*24))</f>
        <v>9999.99986</v>
      </c>
      <c r="G208" s="1">
        <f>'Power Timeline (arch 1) (Beta A'!$F$10*(1/2)^(('Power Graphs'!C208-'Power Graphs'!C$2)*24/('Power Timeline (arch 1) (Beta A'!$G$10*365*24))</f>
        <v>447.2381897</v>
      </c>
      <c r="H208" s="1">
        <f>'Power Timeline (arch 1) (Beta A'!$F$11*(1/2)^(('Power Graphs'!D208-'Power Graphs'!D$2)*24/('Power Timeline (arch 1) (Beta A'!$G$11*365*24))</f>
        <v>447.2381897</v>
      </c>
    </row>
    <row r="209" ht="15.75" customHeight="1">
      <c r="B209" s="79">
        <f t="shared" ref="B209:D209" si="207">B208+25</f>
        <v>51347</v>
      </c>
      <c r="C209" s="79">
        <f t="shared" si="207"/>
        <v>51347</v>
      </c>
      <c r="D209" s="79">
        <f t="shared" si="207"/>
        <v>51347</v>
      </c>
      <c r="F209" s="1">
        <f>'Power Timeline (arch 1) (Beta A'!$F$9*(1/2)^(('Power Graphs'!B209-'Power Graphs'!B$2)*24/('Power Timeline (arch 1) (Beta A'!$G$9*365*24))</f>
        <v>9999.99986</v>
      </c>
      <c r="G209" s="1">
        <f>'Power Timeline (arch 1) (Beta A'!$F$10*(1/2)^(('Power Graphs'!C209-'Power Graphs'!C$2)*24/('Power Timeline (arch 1) (Beta A'!$G$10*365*24))</f>
        <v>446.9961457</v>
      </c>
      <c r="H209" s="1">
        <f>'Power Timeline (arch 1) (Beta A'!$F$11*(1/2)^(('Power Graphs'!D209-'Power Graphs'!D$2)*24/('Power Timeline (arch 1) (Beta A'!$G$11*365*24))</f>
        <v>446.9961457</v>
      </c>
    </row>
    <row r="210" ht="15.75" customHeight="1">
      <c r="B210" s="79">
        <f t="shared" ref="B210:D210" si="208">B209+25</f>
        <v>51372</v>
      </c>
      <c r="C210" s="79">
        <f t="shared" si="208"/>
        <v>51372</v>
      </c>
      <c r="D210" s="79">
        <f t="shared" si="208"/>
        <v>51372</v>
      </c>
      <c r="F210" s="1">
        <f>'Power Timeline (arch 1) (Beta A'!$F$9*(1/2)^(('Power Graphs'!B210-'Power Graphs'!B$2)*24/('Power Timeline (arch 1) (Beta A'!$G$9*365*24))</f>
        <v>9999.999859</v>
      </c>
      <c r="G210" s="1">
        <f>'Power Timeline (arch 1) (Beta A'!$F$10*(1/2)^(('Power Graphs'!C210-'Power Graphs'!C$2)*24/('Power Timeline (arch 1) (Beta A'!$G$10*365*24))</f>
        <v>446.7542326</v>
      </c>
      <c r="H210" s="1">
        <f>'Power Timeline (arch 1) (Beta A'!$F$11*(1/2)^(('Power Graphs'!D210-'Power Graphs'!D$2)*24/('Power Timeline (arch 1) (Beta A'!$G$11*365*24))</f>
        <v>446.7542326</v>
      </c>
    </row>
    <row r="211" ht="15.75" customHeight="1">
      <c r="B211" s="79">
        <f t="shared" ref="B211:D211" si="209">B210+25</f>
        <v>51397</v>
      </c>
      <c r="C211" s="79">
        <f t="shared" si="209"/>
        <v>51397</v>
      </c>
      <c r="D211" s="79">
        <f t="shared" si="209"/>
        <v>51397</v>
      </c>
      <c r="F211" s="1">
        <f>'Power Timeline (arch 1) (Beta A'!$F$9*(1/2)^(('Power Graphs'!B211-'Power Graphs'!B$2)*24/('Power Timeline (arch 1) (Beta A'!$G$9*365*24))</f>
        <v>9999.999858</v>
      </c>
      <c r="G211" s="1">
        <f>'Power Timeline (arch 1) (Beta A'!$F$10*(1/2)^(('Power Graphs'!C211-'Power Graphs'!C$2)*24/('Power Timeline (arch 1) (Beta A'!$G$10*365*24))</f>
        <v>446.5124505</v>
      </c>
      <c r="H211" s="1">
        <f>'Power Timeline (arch 1) (Beta A'!$F$11*(1/2)^(('Power Graphs'!D211-'Power Graphs'!D$2)*24/('Power Timeline (arch 1) (Beta A'!$G$11*365*24))</f>
        <v>446.5124505</v>
      </c>
    </row>
    <row r="212" ht="15.75" customHeight="1">
      <c r="B212" s="79">
        <f t="shared" ref="B212:D212" si="210">B211+25</f>
        <v>51422</v>
      </c>
      <c r="C212" s="79">
        <f t="shared" si="210"/>
        <v>51422</v>
      </c>
      <c r="D212" s="79">
        <f t="shared" si="210"/>
        <v>51422</v>
      </c>
      <c r="F212" s="1">
        <f>'Power Timeline (arch 1) (Beta A'!$F$9*(1/2)^(('Power Graphs'!B212-'Power Graphs'!B$2)*24/('Power Timeline (arch 1) (Beta A'!$G$9*365*24))</f>
        <v>9999.999858</v>
      </c>
      <c r="G212" s="1">
        <f>'Power Timeline (arch 1) (Beta A'!$F$10*(1/2)^(('Power Graphs'!C212-'Power Graphs'!C$2)*24/('Power Timeline (arch 1) (Beta A'!$G$10*365*24))</f>
        <v>446.2707993</v>
      </c>
      <c r="H212" s="1">
        <f>'Power Timeline (arch 1) (Beta A'!$F$11*(1/2)^(('Power Graphs'!D212-'Power Graphs'!D$2)*24/('Power Timeline (arch 1) (Beta A'!$G$11*365*24))</f>
        <v>446.2707993</v>
      </c>
    </row>
    <row r="213" ht="15.75" customHeight="1">
      <c r="B213" s="79">
        <f t="shared" ref="B213:D213" si="211">B212+25</f>
        <v>51447</v>
      </c>
      <c r="C213" s="79">
        <f t="shared" si="211"/>
        <v>51447</v>
      </c>
      <c r="D213" s="79">
        <f t="shared" si="211"/>
        <v>51447</v>
      </c>
      <c r="F213" s="1">
        <f>'Power Timeline (arch 1) (Beta A'!$F$9*(1/2)^(('Power Graphs'!B213-'Power Graphs'!B$2)*24/('Power Timeline (arch 1) (Beta A'!$G$9*365*24))</f>
        <v>9999.999857</v>
      </c>
      <c r="G213" s="1">
        <f>'Power Timeline (arch 1) (Beta A'!$F$10*(1/2)^(('Power Graphs'!C213-'Power Graphs'!C$2)*24/('Power Timeline (arch 1) (Beta A'!$G$10*365*24))</f>
        <v>446.0292788</v>
      </c>
      <c r="H213" s="1">
        <f>'Power Timeline (arch 1) (Beta A'!$F$11*(1/2)^(('Power Graphs'!D213-'Power Graphs'!D$2)*24/('Power Timeline (arch 1) (Beta A'!$G$11*365*24))</f>
        <v>446.0292788</v>
      </c>
    </row>
    <row r="214" ht="15.75" customHeight="1">
      <c r="B214" s="79">
        <f t="shared" ref="B214:D214" si="212">B213+25</f>
        <v>51472</v>
      </c>
      <c r="C214" s="79">
        <f t="shared" si="212"/>
        <v>51472</v>
      </c>
      <c r="D214" s="79">
        <f t="shared" si="212"/>
        <v>51472</v>
      </c>
      <c r="F214" s="1">
        <f>'Power Timeline (arch 1) (Beta A'!$F$9*(1/2)^(('Power Graphs'!B214-'Power Graphs'!B$2)*24/('Power Timeline (arch 1) (Beta A'!$G$9*365*24))</f>
        <v>9999.999856</v>
      </c>
      <c r="G214" s="1">
        <f>'Power Timeline (arch 1) (Beta A'!$F$10*(1/2)^(('Power Graphs'!C214-'Power Graphs'!C$2)*24/('Power Timeline (arch 1) (Beta A'!$G$10*365*24))</f>
        <v>445.7878891</v>
      </c>
      <c r="H214" s="1">
        <f>'Power Timeline (arch 1) (Beta A'!$F$11*(1/2)^(('Power Graphs'!D214-'Power Graphs'!D$2)*24/('Power Timeline (arch 1) (Beta A'!$G$11*365*24))</f>
        <v>445.7878891</v>
      </c>
    </row>
    <row r="215" ht="15.75" customHeight="1">
      <c r="B215" s="79">
        <f t="shared" ref="B215:D215" si="213">B214+25</f>
        <v>51497</v>
      </c>
      <c r="C215" s="79">
        <f t="shared" si="213"/>
        <v>51497</v>
      </c>
      <c r="D215" s="79">
        <f t="shared" si="213"/>
        <v>51497</v>
      </c>
      <c r="F215" s="1">
        <f>'Power Timeline (arch 1) (Beta A'!$F$9*(1/2)^(('Power Graphs'!B215-'Power Graphs'!B$2)*24/('Power Timeline (arch 1) (Beta A'!$G$9*365*24))</f>
        <v>9999.999856</v>
      </c>
      <c r="G215" s="1">
        <f>'Power Timeline (arch 1) (Beta A'!$F$10*(1/2)^(('Power Graphs'!C215-'Power Graphs'!C$2)*24/('Power Timeline (arch 1) (Beta A'!$G$10*365*24))</f>
        <v>445.54663</v>
      </c>
      <c r="H215" s="1">
        <f>'Power Timeline (arch 1) (Beta A'!$F$11*(1/2)^(('Power Graphs'!D215-'Power Graphs'!D$2)*24/('Power Timeline (arch 1) (Beta A'!$G$11*365*24))</f>
        <v>445.54663</v>
      </c>
    </row>
    <row r="216" ht="15.75" customHeight="1">
      <c r="B216" s="79">
        <f t="shared" ref="B216:D216" si="214">B215+25</f>
        <v>51522</v>
      </c>
      <c r="C216" s="79">
        <f t="shared" si="214"/>
        <v>51522</v>
      </c>
      <c r="D216" s="79">
        <f t="shared" si="214"/>
        <v>51522</v>
      </c>
      <c r="F216" s="1">
        <f>'Power Timeline (arch 1) (Beta A'!$F$9*(1/2)^(('Power Graphs'!B216-'Power Graphs'!B$2)*24/('Power Timeline (arch 1) (Beta A'!$G$9*365*24))</f>
        <v>9999.999855</v>
      </c>
      <c r="G216" s="1">
        <f>'Power Timeline (arch 1) (Beta A'!$F$10*(1/2)^(('Power Graphs'!C216-'Power Graphs'!C$2)*24/('Power Timeline (arch 1) (Beta A'!$G$10*365*24))</f>
        <v>445.3055014</v>
      </c>
      <c r="H216" s="1">
        <f>'Power Timeline (arch 1) (Beta A'!$F$11*(1/2)^(('Power Graphs'!D216-'Power Graphs'!D$2)*24/('Power Timeline (arch 1) (Beta A'!$G$11*365*24))</f>
        <v>445.3055014</v>
      </c>
    </row>
    <row r="217" ht="15.75" customHeight="1">
      <c r="B217" s="79">
        <f t="shared" ref="B217:D217" si="215">B216+25</f>
        <v>51547</v>
      </c>
      <c r="C217" s="79">
        <f t="shared" si="215"/>
        <v>51547</v>
      </c>
      <c r="D217" s="79">
        <f t="shared" si="215"/>
        <v>51547</v>
      </c>
      <c r="F217" s="1">
        <f>'Power Timeline (arch 1) (Beta A'!$F$9*(1/2)^(('Power Graphs'!B217-'Power Graphs'!B$2)*24/('Power Timeline (arch 1) (Beta A'!$G$9*365*24))</f>
        <v>9999.999854</v>
      </c>
      <c r="G217" s="1">
        <f>'Power Timeline (arch 1) (Beta A'!$F$10*(1/2)^(('Power Graphs'!C217-'Power Graphs'!C$2)*24/('Power Timeline (arch 1) (Beta A'!$G$10*365*24))</f>
        <v>445.0645034</v>
      </c>
      <c r="H217" s="1">
        <f>'Power Timeline (arch 1) (Beta A'!$F$11*(1/2)^(('Power Graphs'!D217-'Power Graphs'!D$2)*24/('Power Timeline (arch 1) (Beta A'!$G$11*365*24))</f>
        <v>445.0645034</v>
      </c>
    </row>
    <row r="218" ht="15.75" customHeight="1">
      <c r="B218" s="79">
        <f t="shared" ref="B218:D218" si="216">B217+25</f>
        <v>51572</v>
      </c>
      <c r="C218" s="79">
        <f t="shared" si="216"/>
        <v>51572</v>
      </c>
      <c r="D218" s="79">
        <f t="shared" si="216"/>
        <v>51572</v>
      </c>
      <c r="F218" s="1">
        <f>'Power Timeline (arch 1) (Beta A'!$F$9*(1/2)^(('Power Graphs'!B218-'Power Graphs'!B$2)*24/('Power Timeline (arch 1) (Beta A'!$G$9*365*24))</f>
        <v>9999.999854</v>
      </c>
      <c r="G218" s="1">
        <f>'Power Timeline (arch 1) (Beta A'!$F$10*(1/2)^(('Power Graphs'!C218-'Power Graphs'!C$2)*24/('Power Timeline (arch 1) (Beta A'!$G$10*365*24))</f>
        <v>444.8236357</v>
      </c>
      <c r="H218" s="1">
        <f>'Power Timeline (arch 1) (Beta A'!$F$11*(1/2)^(('Power Graphs'!D218-'Power Graphs'!D$2)*24/('Power Timeline (arch 1) (Beta A'!$G$11*365*24))</f>
        <v>444.8236357</v>
      </c>
    </row>
    <row r="219" ht="15.75" customHeight="1">
      <c r="B219" s="79">
        <f t="shared" ref="B219:D219" si="217">B218+25</f>
        <v>51597</v>
      </c>
      <c r="C219" s="79">
        <f t="shared" si="217"/>
        <v>51597</v>
      </c>
      <c r="D219" s="79">
        <f t="shared" si="217"/>
        <v>51597</v>
      </c>
      <c r="F219" s="1">
        <f>'Power Timeline (arch 1) (Beta A'!$F$9*(1/2)^(('Power Graphs'!B219-'Power Graphs'!B$2)*24/('Power Timeline (arch 1) (Beta A'!$G$9*365*24))</f>
        <v>9999.999853</v>
      </c>
      <c r="G219" s="1">
        <f>'Power Timeline (arch 1) (Beta A'!$F$10*(1/2)^(('Power Graphs'!C219-'Power Graphs'!C$2)*24/('Power Timeline (arch 1) (Beta A'!$G$10*365*24))</f>
        <v>444.5828985</v>
      </c>
      <c r="H219" s="1">
        <f>'Power Timeline (arch 1) (Beta A'!$F$11*(1/2)^(('Power Graphs'!D219-'Power Graphs'!D$2)*24/('Power Timeline (arch 1) (Beta A'!$G$11*365*24))</f>
        <v>444.5828985</v>
      </c>
    </row>
    <row r="220" ht="15.75" customHeight="1">
      <c r="B220" s="79">
        <f t="shared" ref="B220:D220" si="218">B219+25</f>
        <v>51622</v>
      </c>
      <c r="C220" s="79">
        <f t="shared" si="218"/>
        <v>51622</v>
      </c>
      <c r="D220" s="79">
        <f t="shared" si="218"/>
        <v>51622</v>
      </c>
      <c r="F220" s="1">
        <f>'Power Timeline (arch 1) (Beta A'!$F$9*(1/2)^(('Power Graphs'!B220-'Power Graphs'!B$2)*24/('Power Timeline (arch 1) (Beta A'!$G$9*365*24))</f>
        <v>9999.999852</v>
      </c>
      <c r="G220" s="1">
        <f>'Power Timeline (arch 1) (Beta A'!$F$10*(1/2)^(('Power Graphs'!C220-'Power Graphs'!C$2)*24/('Power Timeline (arch 1) (Beta A'!$G$10*365*24))</f>
        <v>444.3422915</v>
      </c>
      <c r="H220" s="1">
        <f>'Power Timeline (arch 1) (Beta A'!$F$11*(1/2)^(('Power Graphs'!D220-'Power Graphs'!D$2)*24/('Power Timeline (arch 1) (Beta A'!$G$11*365*24))</f>
        <v>444.3422915</v>
      </c>
    </row>
    <row r="221" ht="15.75" customHeight="1">
      <c r="B221" s="79">
        <f t="shared" ref="B221:D221" si="219">B220+25</f>
        <v>51647</v>
      </c>
      <c r="C221" s="79">
        <f t="shared" si="219"/>
        <v>51647</v>
      </c>
      <c r="D221" s="79">
        <f t="shared" si="219"/>
        <v>51647</v>
      </c>
      <c r="F221" s="1">
        <f>'Power Timeline (arch 1) (Beta A'!$F$9*(1/2)^(('Power Graphs'!B221-'Power Graphs'!B$2)*24/('Power Timeline (arch 1) (Beta A'!$G$9*365*24))</f>
        <v>9999.999851</v>
      </c>
      <c r="G221" s="1">
        <f>'Power Timeline (arch 1) (Beta A'!$F$10*(1/2)^(('Power Graphs'!C221-'Power Graphs'!C$2)*24/('Power Timeline (arch 1) (Beta A'!$G$10*365*24))</f>
        <v>444.1018147</v>
      </c>
      <c r="H221" s="1">
        <f>'Power Timeline (arch 1) (Beta A'!$F$11*(1/2)^(('Power Graphs'!D221-'Power Graphs'!D$2)*24/('Power Timeline (arch 1) (Beta A'!$G$11*365*24))</f>
        <v>444.1018147</v>
      </c>
    </row>
    <row r="222" ht="15.75" customHeight="1">
      <c r="B222" s="79">
        <f t="shared" ref="B222:D222" si="220">B221+25</f>
        <v>51672</v>
      </c>
      <c r="C222" s="79">
        <f t="shared" si="220"/>
        <v>51672</v>
      </c>
      <c r="D222" s="79">
        <f t="shared" si="220"/>
        <v>51672</v>
      </c>
      <c r="F222" s="1">
        <f>'Power Timeline (arch 1) (Beta A'!$F$9*(1/2)^(('Power Graphs'!B222-'Power Graphs'!B$2)*24/('Power Timeline (arch 1) (Beta A'!$G$9*365*24))</f>
        <v>9999.999851</v>
      </c>
      <c r="G222" s="1">
        <f>'Power Timeline (arch 1) (Beta A'!$F$10*(1/2)^(('Power Graphs'!C222-'Power Graphs'!C$2)*24/('Power Timeline (arch 1) (Beta A'!$G$10*365*24))</f>
        <v>443.8614681</v>
      </c>
      <c r="H222" s="1">
        <f>'Power Timeline (arch 1) (Beta A'!$F$11*(1/2)^(('Power Graphs'!D222-'Power Graphs'!D$2)*24/('Power Timeline (arch 1) (Beta A'!$G$11*365*24))</f>
        <v>443.8614681</v>
      </c>
    </row>
    <row r="223" ht="15.75" customHeight="1">
      <c r="B223" s="79">
        <f t="shared" ref="B223:D223" si="221">B222+25</f>
        <v>51697</v>
      </c>
      <c r="C223" s="79">
        <f t="shared" si="221"/>
        <v>51697</v>
      </c>
      <c r="D223" s="79">
        <f t="shared" si="221"/>
        <v>51697</v>
      </c>
      <c r="F223" s="1">
        <f>'Power Timeline (arch 1) (Beta A'!$F$9*(1/2)^(('Power Graphs'!B223-'Power Graphs'!B$2)*24/('Power Timeline (arch 1) (Beta A'!$G$9*365*24))</f>
        <v>9999.99985</v>
      </c>
      <c r="G223" s="1">
        <f>'Power Timeline (arch 1) (Beta A'!$F$10*(1/2)^(('Power Graphs'!C223-'Power Graphs'!C$2)*24/('Power Timeline (arch 1) (Beta A'!$G$10*365*24))</f>
        <v>443.6212516</v>
      </c>
      <c r="H223" s="1">
        <f>'Power Timeline (arch 1) (Beta A'!$F$11*(1/2)^(('Power Graphs'!D223-'Power Graphs'!D$2)*24/('Power Timeline (arch 1) (Beta A'!$G$11*365*24))</f>
        <v>443.6212516</v>
      </c>
    </row>
    <row r="224" ht="15.75" customHeight="1">
      <c r="B224" s="79">
        <f t="shared" ref="B224:D224" si="222">B223+25</f>
        <v>51722</v>
      </c>
      <c r="C224" s="79">
        <f t="shared" si="222"/>
        <v>51722</v>
      </c>
      <c r="D224" s="79">
        <f t="shared" si="222"/>
        <v>51722</v>
      </c>
      <c r="F224" s="1">
        <f>'Power Timeline (arch 1) (Beta A'!$F$9*(1/2)^(('Power Graphs'!B224-'Power Graphs'!B$2)*24/('Power Timeline (arch 1) (Beta A'!$G$9*365*24))</f>
        <v>9999.999849</v>
      </c>
      <c r="G224" s="1">
        <f>'Power Timeline (arch 1) (Beta A'!$F$10*(1/2)^(('Power Graphs'!C224-'Power Graphs'!C$2)*24/('Power Timeline (arch 1) (Beta A'!$G$10*365*24))</f>
        <v>443.381165</v>
      </c>
      <c r="H224" s="1">
        <f>'Power Timeline (arch 1) (Beta A'!$F$11*(1/2)^(('Power Graphs'!D224-'Power Graphs'!D$2)*24/('Power Timeline (arch 1) (Beta A'!$G$11*365*24))</f>
        <v>443.381165</v>
      </c>
    </row>
    <row r="225" ht="15.75" customHeight="1">
      <c r="B225" s="79">
        <f t="shared" ref="B225:D225" si="223">B224+25</f>
        <v>51747</v>
      </c>
      <c r="C225" s="79">
        <f t="shared" si="223"/>
        <v>51747</v>
      </c>
      <c r="D225" s="79">
        <f t="shared" si="223"/>
        <v>51747</v>
      </c>
      <c r="F225" s="1">
        <f>'Power Timeline (arch 1) (Beta A'!$F$9*(1/2)^(('Power Graphs'!B225-'Power Graphs'!B$2)*24/('Power Timeline (arch 1) (Beta A'!$G$9*365*24))</f>
        <v>9999.999849</v>
      </c>
      <c r="G225" s="1">
        <f>'Power Timeline (arch 1) (Beta A'!$F$10*(1/2)^(('Power Graphs'!C225-'Power Graphs'!C$2)*24/('Power Timeline (arch 1) (Beta A'!$G$10*365*24))</f>
        <v>443.1412084</v>
      </c>
      <c r="H225" s="1">
        <f>'Power Timeline (arch 1) (Beta A'!$F$11*(1/2)^(('Power Graphs'!D225-'Power Graphs'!D$2)*24/('Power Timeline (arch 1) (Beta A'!$G$11*365*24))</f>
        <v>443.1412084</v>
      </c>
    </row>
    <row r="226" ht="15.75" customHeight="1">
      <c r="B226" s="79">
        <f t="shared" ref="B226:D226" si="224">B225+25</f>
        <v>51772</v>
      </c>
      <c r="C226" s="79">
        <f t="shared" si="224"/>
        <v>51772</v>
      </c>
      <c r="D226" s="79">
        <f t="shared" si="224"/>
        <v>51772</v>
      </c>
      <c r="F226" s="1">
        <f>'Power Timeline (arch 1) (Beta A'!$F$9*(1/2)^(('Power Graphs'!B226-'Power Graphs'!B$2)*24/('Power Timeline (arch 1) (Beta A'!$G$9*365*24))</f>
        <v>9999.999848</v>
      </c>
      <c r="G226" s="1">
        <f>'Power Timeline (arch 1) (Beta A'!$F$10*(1/2)^(('Power Graphs'!C226-'Power Graphs'!C$2)*24/('Power Timeline (arch 1) (Beta A'!$G$10*365*24))</f>
        <v>442.9013817</v>
      </c>
      <c r="H226" s="1">
        <f>'Power Timeline (arch 1) (Beta A'!$F$11*(1/2)^(('Power Graphs'!D226-'Power Graphs'!D$2)*24/('Power Timeline (arch 1) (Beta A'!$G$11*365*24))</f>
        <v>442.9013817</v>
      </c>
    </row>
    <row r="227" ht="15.75" customHeight="1">
      <c r="B227" s="79">
        <f t="shared" ref="B227:D227" si="225">B226+25</f>
        <v>51797</v>
      </c>
      <c r="C227" s="79">
        <f t="shared" si="225"/>
        <v>51797</v>
      </c>
      <c r="D227" s="79">
        <f t="shared" si="225"/>
        <v>51797</v>
      </c>
      <c r="F227" s="1">
        <f>'Power Timeline (arch 1) (Beta A'!$F$9*(1/2)^(('Power Graphs'!B227-'Power Graphs'!B$2)*24/('Power Timeline (arch 1) (Beta A'!$G$9*365*24))</f>
        <v>9999.999847</v>
      </c>
      <c r="G227" s="1">
        <f>'Power Timeline (arch 1) (Beta A'!$F$10*(1/2)^(('Power Graphs'!C227-'Power Graphs'!C$2)*24/('Power Timeline (arch 1) (Beta A'!$G$10*365*24))</f>
        <v>442.6616847</v>
      </c>
      <c r="H227" s="1">
        <f>'Power Timeline (arch 1) (Beta A'!$F$11*(1/2)^(('Power Graphs'!D227-'Power Graphs'!D$2)*24/('Power Timeline (arch 1) (Beta A'!$G$11*365*24))</f>
        <v>442.6616847</v>
      </c>
    </row>
    <row r="228" ht="15.75" customHeight="1">
      <c r="B228" s="79">
        <f t="shared" ref="B228:D228" si="226">B227+25</f>
        <v>51822</v>
      </c>
      <c r="C228" s="79">
        <f t="shared" si="226"/>
        <v>51822</v>
      </c>
      <c r="D228" s="79">
        <f t="shared" si="226"/>
        <v>51822</v>
      </c>
      <c r="F228" s="1">
        <f>'Power Timeline (arch 1) (Beta A'!$F$9*(1/2)^(('Power Graphs'!B228-'Power Graphs'!B$2)*24/('Power Timeline (arch 1) (Beta A'!$G$9*365*24))</f>
        <v>9999.999847</v>
      </c>
      <c r="G228" s="1">
        <f>'Power Timeline (arch 1) (Beta A'!$F$10*(1/2)^(('Power Graphs'!C228-'Power Graphs'!C$2)*24/('Power Timeline (arch 1) (Beta A'!$G$10*365*24))</f>
        <v>442.4221175</v>
      </c>
      <c r="H228" s="1">
        <f>'Power Timeline (arch 1) (Beta A'!$F$11*(1/2)^(('Power Graphs'!D228-'Power Graphs'!D$2)*24/('Power Timeline (arch 1) (Beta A'!$G$11*365*24))</f>
        <v>442.4221175</v>
      </c>
    </row>
    <row r="229" ht="15.75" customHeight="1">
      <c r="B229" s="79">
        <f t="shared" ref="B229:D229" si="227">B228+25</f>
        <v>51847</v>
      </c>
      <c r="C229" s="79">
        <f t="shared" si="227"/>
        <v>51847</v>
      </c>
      <c r="D229" s="79">
        <f t="shared" si="227"/>
        <v>51847</v>
      </c>
      <c r="F229" s="1">
        <f>'Power Timeline (arch 1) (Beta A'!$F$9*(1/2)^(('Power Graphs'!B229-'Power Graphs'!B$2)*24/('Power Timeline (arch 1) (Beta A'!$G$9*365*24))</f>
        <v>9999.999846</v>
      </c>
      <c r="G229" s="1">
        <f>'Power Timeline (arch 1) (Beta A'!$F$10*(1/2)^(('Power Graphs'!C229-'Power Graphs'!C$2)*24/('Power Timeline (arch 1) (Beta A'!$G$10*365*24))</f>
        <v>442.18268</v>
      </c>
      <c r="H229" s="1">
        <f>'Power Timeline (arch 1) (Beta A'!$F$11*(1/2)^(('Power Graphs'!D229-'Power Graphs'!D$2)*24/('Power Timeline (arch 1) (Beta A'!$G$11*365*24))</f>
        <v>442.18268</v>
      </c>
    </row>
    <row r="230" ht="15.75" customHeight="1">
      <c r="B230" s="79">
        <f t="shared" ref="B230:D230" si="228">B229+25</f>
        <v>51872</v>
      </c>
      <c r="C230" s="79">
        <f t="shared" si="228"/>
        <v>51872</v>
      </c>
      <c r="D230" s="79">
        <f t="shared" si="228"/>
        <v>51872</v>
      </c>
      <c r="F230" s="1">
        <f>'Power Timeline (arch 1) (Beta A'!$F$9*(1/2)^(('Power Graphs'!B230-'Power Graphs'!B$2)*24/('Power Timeline (arch 1) (Beta A'!$G$9*365*24))</f>
        <v>9999.999845</v>
      </c>
      <c r="G230" s="1">
        <f>'Power Timeline (arch 1) (Beta A'!$F$10*(1/2)^(('Power Graphs'!C230-'Power Graphs'!C$2)*24/('Power Timeline (arch 1) (Beta A'!$G$10*365*24))</f>
        <v>441.943372</v>
      </c>
      <c r="H230" s="1">
        <f>'Power Timeline (arch 1) (Beta A'!$F$11*(1/2)^(('Power Graphs'!D230-'Power Graphs'!D$2)*24/('Power Timeline (arch 1) (Beta A'!$G$11*365*24))</f>
        <v>441.943372</v>
      </c>
    </row>
    <row r="231" ht="15.75" customHeight="1">
      <c r="B231" s="79">
        <f t="shared" ref="B231:D231" si="229">B230+25</f>
        <v>51897</v>
      </c>
      <c r="C231" s="79">
        <f t="shared" si="229"/>
        <v>51897</v>
      </c>
      <c r="D231" s="79">
        <f t="shared" si="229"/>
        <v>51897</v>
      </c>
      <c r="F231" s="1">
        <f>'Power Timeline (arch 1) (Beta A'!$F$9*(1/2)^(('Power Graphs'!B231-'Power Graphs'!B$2)*24/('Power Timeline (arch 1) (Beta A'!$G$9*365*24))</f>
        <v>9999.999845</v>
      </c>
      <c r="G231" s="1">
        <f>'Power Timeline (arch 1) (Beta A'!$F$10*(1/2)^(('Power Graphs'!C231-'Power Graphs'!C$2)*24/('Power Timeline (arch 1) (Beta A'!$G$10*365*24))</f>
        <v>441.7041935</v>
      </c>
      <c r="H231" s="1">
        <f>'Power Timeline (arch 1) (Beta A'!$F$11*(1/2)^(('Power Graphs'!D231-'Power Graphs'!D$2)*24/('Power Timeline (arch 1) (Beta A'!$G$11*365*24))</f>
        <v>441.7041935</v>
      </c>
    </row>
    <row r="232" ht="15.75" customHeight="1">
      <c r="B232" s="79">
        <f t="shared" ref="B232:D232" si="230">B231+25</f>
        <v>51922</v>
      </c>
      <c r="C232" s="79">
        <f t="shared" si="230"/>
        <v>51922</v>
      </c>
      <c r="D232" s="79">
        <f t="shared" si="230"/>
        <v>51922</v>
      </c>
      <c r="F232" s="1">
        <f>'Power Timeline (arch 1) (Beta A'!$F$9*(1/2)^(('Power Graphs'!B232-'Power Graphs'!B$2)*24/('Power Timeline (arch 1) (Beta A'!$G$9*365*24))</f>
        <v>9999.999844</v>
      </c>
      <c r="G232" s="1">
        <f>'Power Timeline (arch 1) (Beta A'!$F$10*(1/2)^(('Power Graphs'!C232-'Power Graphs'!C$2)*24/('Power Timeline (arch 1) (Beta A'!$G$10*365*24))</f>
        <v>441.4651445</v>
      </c>
      <c r="H232" s="1">
        <f>'Power Timeline (arch 1) (Beta A'!$F$11*(1/2)^(('Power Graphs'!D232-'Power Graphs'!D$2)*24/('Power Timeline (arch 1) (Beta A'!$G$11*365*24))</f>
        <v>441.4651445</v>
      </c>
    </row>
    <row r="233" ht="15.75" customHeight="1">
      <c r="B233" s="79">
        <f t="shared" ref="B233:D233" si="231">B232+25</f>
        <v>51947</v>
      </c>
      <c r="C233" s="79">
        <f t="shared" si="231"/>
        <v>51947</v>
      </c>
      <c r="D233" s="79">
        <f t="shared" si="231"/>
        <v>51947</v>
      </c>
      <c r="F233" s="1">
        <f>'Power Timeline (arch 1) (Beta A'!$F$9*(1/2)^(('Power Graphs'!B233-'Power Graphs'!B$2)*24/('Power Timeline (arch 1) (Beta A'!$G$9*365*24))</f>
        <v>9999.999843</v>
      </c>
      <c r="G233" s="1">
        <f>'Power Timeline (arch 1) (Beta A'!$F$10*(1/2)^(('Power Graphs'!C233-'Power Graphs'!C$2)*24/('Power Timeline (arch 1) (Beta A'!$G$10*365*24))</f>
        <v>441.2262248</v>
      </c>
      <c r="H233" s="1">
        <f>'Power Timeline (arch 1) (Beta A'!$F$11*(1/2)^(('Power Graphs'!D233-'Power Graphs'!D$2)*24/('Power Timeline (arch 1) (Beta A'!$G$11*365*24))</f>
        <v>441.2262248</v>
      </c>
    </row>
    <row r="234" ht="15.75" customHeight="1">
      <c r="B234" s="79">
        <f t="shared" ref="B234:D234" si="232">B233+25</f>
        <v>51972</v>
      </c>
      <c r="C234" s="79">
        <f t="shared" si="232"/>
        <v>51972</v>
      </c>
      <c r="D234" s="79">
        <f t="shared" si="232"/>
        <v>51972</v>
      </c>
      <c r="F234" s="1">
        <f>'Power Timeline (arch 1) (Beta A'!$F$9*(1/2)^(('Power Graphs'!B234-'Power Graphs'!B$2)*24/('Power Timeline (arch 1) (Beta A'!$G$9*365*24))</f>
        <v>9999.999843</v>
      </c>
      <c r="G234" s="1">
        <f>'Power Timeline (arch 1) (Beta A'!$F$10*(1/2)^(('Power Graphs'!C234-'Power Graphs'!C$2)*24/('Power Timeline (arch 1) (Beta A'!$G$10*365*24))</f>
        <v>440.9874344</v>
      </c>
      <c r="H234" s="1">
        <f>'Power Timeline (arch 1) (Beta A'!$F$11*(1/2)^(('Power Graphs'!D234-'Power Graphs'!D$2)*24/('Power Timeline (arch 1) (Beta A'!$G$11*365*24))</f>
        <v>440.9874344</v>
      </c>
    </row>
    <row r="235" ht="15.75" customHeight="1">
      <c r="B235" s="79">
        <f t="shared" ref="B235:D235" si="233">B234+25</f>
        <v>51997</v>
      </c>
      <c r="C235" s="79">
        <f t="shared" si="233"/>
        <v>51997</v>
      </c>
      <c r="D235" s="79">
        <f t="shared" si="233"/>
        <v>51997</v>
      </c>
      <c r="F235" s="1">
        <f>'Power Timeline (arch 1) (Beta A'!$F$9*(1/2)^(('Power Graphs'!B235-'Power Graphs'!B$2)*24/('Power Timeline (arch 1) (Beta A'!$G$9*365*24))</f>
        <v>9999.999842</v>
      </c>
      <c r="G235" s="1">
        <f>'Power Timeline (arch 1) (Beta A'!$F$10*(1/2)^(('Power Graphs'!C235-'Power Graphs'!C$2)*24/('Power Timeline (arch 1) (Beta A'!$G$10*365*24))</f>
        <v>440.7487733</v>
      </c>
      <c r="H235" s="1">
        <f>'Power Timeline (arch 1) (Beta A'!$F$11*(1/2)^(('Power Graphs'!D235-'Power Graphs'!D$2)*24/('Power Timeline (arch 1) (Beta A'!$G$11*365*24))</f>
        <v>440.7487733</v>
      </c>
    </row>
    <row r="236" ht="15.75" customHeight="1">
      <c r="B236" s="79">
        <f t="shared" ref="B236:D236" si="234">B235+25</f>
        <v>52022</v>
      </c>
      <c r="C236" s="79">
        <f t="shared" si="234"/>
        <v>52022</v>
      </c>
      <c r="D236" s="79">
        <f t="shared" si="234"/>
        <v>52022</v>
      </c>
      <c r="F236" s="1">
        <f>'Power Timeline (arch 1) (Beta A'!$F$9*(1/2)^(('Power Graphs'!B236-'Power Graphs'!B$2)*24/('Power Timeline (arch 1) (Beta A'!$G$9*365*24))</f>
        <v>9999.999841</v>
      </c>
      <c r="G236" s="1">
        <f>'Power Timeline (arch 1) (Beta A'!$F$10*(1/2)^(('Power Graphs'!C236-'Power Graphs'!C$2)*24/('Power Timeline (arch 1) (Beta A'!$G$10*365*24))</f>
        <v>440.5102414</v>
      </c>
      <c r="H236" s="1">
        <f>'Power Timeline (arch 1) (Beta A'!$F$11*(1/2)^(('Power Graphs'!D236-'Power Graphs'!D$2)*24/('Power Timeline (arch 1) (Beta A'!$G$11*365*24))</f>
        <v>440.5102414</v>
      </c>
    </row>
    <row r="237" ht="15.75" customHeight="1">
      <c r="B237" s="79">
        <f t="shared" ref="B237:D237" si="235">B236+25</f>
        <v>52047</v>
      </c>
      <c r="C237" s="79">
        <f t="shared" si="235"/>
        <v>52047</v>
      </c>
      <c r="D237" s="79">
        <f t="shared" si="235"/>
        <v>52047</v>
      </c>
      <c r="F237" s="1">
        <f>'Power Timeline (arch 1) (Beta A'!$F$9*(1/2)^(('Power Graphs'!B237-'Power Graphs'!B$2)*24/('Power Timeline (arch 1) (Beta A'!$G$9*365*24))</f>
        <v>9999.999841</v>
      </c>
      <c r="G237" s="1">
        <f>'Power Timeline (arch 1) (Beta A'!$F$10*(1/2)^(('Power Graphs'!C237-'Power Graphs'!C$2)*24/('Power Timeline (arch 1) (Beta A'!$G$10*365*24))</f>
        <v>440.2718385</v>
      </c>
      <c r="H237" s="1">
        <f>'Power Timeline (arch 1) (Beta A'!$F$11*(1/2)^(('Power Graphs'!D237-'Power Graphs'!D$2)*24/('Power Timeline (arch 1) (Beta A'!$G$11*365*24))</f>
        <v>440.2718385</v>
      </c>
    </row>
    <row r="238" ht="15.75" customHeight="1">
      <c r="B238" s="79">
        <f t="shared" ref="B238:D238" si="236">B237+25</f>
        <v>52072</v>
      </c>
      <c r="C238" s="79">
        <f t="shared" si="236"/>
        <v>52072</v>
      </c>
      <c r="D238" s="79">
        <f t="shared" si="236"/>
        <v>52072</v>
      </c>
      <c r="F238" s="1">
        <f>'Power Timeline (arch 1) (Beta A'!$F$9*(1/2)^(('Power Graphs'!B238-'Power Graphs'!B$2)*24/('Power Timeline (arch 1) (Beta A'!$G$9*365*24))</f>
        <v>9999.99984</v>
      </c>
      <c r="G238" s="1">
        <f>'Power Timeline (arch 1) (Beta A'!$F$10*(1/2)^(('Power Graphs'!C238-'Power Graphs'!C$2)*24/('Power Timeline (arch 1) (Beta A'!$G$10*365*24))</f>
        <v>440.0335647</v>
      </c>
      <c r="H238" s="1">
        <f>'Power Timeline (arch 1) (Beta A'!$F$11*(1/2)^(('Power Graphs'!D238-'Power Graphs'!D$2)*24/('Power Timeline (arch 1) (Beta A'!$G$11*365*24))</f>
        <v>440.0335647</v>
      </c>
    </row>
    <row r="239" ht="15.75" customHeight="1">
      <c r="B239" s="79">
        <f t="shared" ref="B239:D239" si="237">B238+25</f>
        <v>52097</v>
      </c>
      <c r="C239" s="79">
        <f t="shared" si="237"/>
        <v>52097</v>
      </c>
      <c r="D239" s="79">
        <f t="shared" si="237"/>
        <v>52097</v>
      </c>
      <c r="F239" s="1">
        <f>'Power Timeline (arch 1) (Beta A'!$F$9*(1/2)^(('Power Graphs'!B239-'Power Graphs'!B$2)*24/('Power Timeline (arch 1) (Beta A'!$G$9*365*24))</f>
        <v>9999.999839</v>
      </c>
      <c r="G239" s="1">
        <f>'Power Timeline (arch 1) (Beta A'!$F$10*(1/2)^(('Power Graphs'!C239-'Power Graphs'!C$2)*24/('Power Timeline (arch 1) (Beta A'!$G$10*365*24))</f>
        <v>439.7954198</v>
      </c>
      <c r="H239" s="1">
        <f>'Power Timeline (arch 1) (Beta A'!$F$11*(1/2)^(('Power Graphs'!D239-'Power Graphs'!D$2)*24/('Power Timeline (arch 1) (Beta A'!$G$11*365*24))</f>
        <v>439.7954198</v>
      </c>
    </row>
    <row r="240" ht="15.75" customHeight="1">
      <c r="B240" s="79">
        <f t="shared" ref="B240:D240" si="238">B239+25</f>
        <v>52122</v>
      </c>
      <c r="C240" s="79">
        <f t="shared" si="238"/>
        <v>52122</v>
      </c>
      <c r="D240" s="79">
        <f t="shared" si="238"/>
        <v>52122</v>
      </c>
      <c r="F240" s="1">
        <f>'Power Timeline (arch 1) (Beta A'!$F$9*(1/2)^(('Power Graphs'!B240-'Power Graphs'!B$2)*24/('Power Timeline (arch 1) (Beta A'!$G$9*365*24))</f>
        <v>9999.999839</v>
      </c>
      <c r="G240" s="1">
        <f>'Power Timeline (arch 1) (Beta A'!$F$10*(1/2)^(('Power Graphs'!C240-'Power Graphs'!C$2)*24/('Power Timeline (arch 1) (Beta A'!$G$10*365*24))</f>
        <v>439.5574038</v>
      </c>
      <c r="H240" s="1">
        <f>'Power Timeline (arch 1) (Beta A'!$F$11*(1/2)^(('Power Graphs'!D240-'Power Graphs'!D$2)*24/('Power Timeline (arch 1) (Beta A'!$G$11*365*24))</f>
        <v>439.5574038</v>
      </c>
    </row>
    <row r="241" ht="15.75" customHeight="1">
      <c r="B241" s="79">
        <f t="shared" ref="B241:D241" si="239">B240+25</f>
        <v>52147</v>
      </c>
      <c r="C241" s="79">
        <f t="shared" si="239"/>
        <v>52147</v>
      </c>
      <c r="D241" s="79">
        <f t="shared" si="239"/>
        <v>52147</v>
      </c>
      <c r="F241" s="1">
        <f>'Power Timeline (arch 1) (Beta A'!$F$9*(1/2)^(('Power Graphs'!B241-'Power Graphs'!B$2)*24/('Power Timeline (arch 1) (Beta A'!$G$9*365*24))</f>
        <v>9999.999838</v>
      </c>
      <c r="G241" s="1">
        <f>'Power Timeline (arch 1) (Beta A'!$F$10*(1/2)^(('Power Graphs'!C241-'Power Graphs'!C$2)*24/('Power Timeline (arch 1) (Beta A'!$G$10*365*24))</f>
        <v>439.3195166</v>
      </c>
      <c r="H241" s="1">
        <f>'Power Timeline (arch 1) (Beta A'!$F$11*(1/2)^(('Power Graphs'!D241-'Power Graphs'!D$2)*24/('Power Timeline (arch 1) (Beta A'!$G$11*365*24))</f>
        <v>439.3195166</v>
      </c>
    </row>
    <row r="242" ht="15.75" customHeight="1">
      <c r="B242" s="79">
        <f t="shared" ref="B242:D242" si="240">B241+25</f>
        <v>52172</v>
      </c>
      <c r="C242" s="79">
        <f t="shared" si="240"/>
        <v>52172</v>
      </c>
      <c r="D242" s="79">
        <f t="shared" si="240"/>
        <v>52172</v>
      </c>
      <c r="F242" s="1">
        <f>'Power Timeline (arch 1) (Beta A'!$F$9*(1/2)^(('Power Graphs'!B242-'Power Graphs'!B$2)*24/('Power Timeline (arch 1) (Beta A'!$G$9*365*24))</f>
        <v>9999.999837</v>
      </c>
      <c r="G242" s="1">
        <f>'Power Timeline (arch 1) (Beta A'!$F$10*(1/2)^(('Power Graphs'!C242-'Power Graphs'!C$2)*24/('Power Timeline (arch 1) (Beta A'!$G$10*365*24))</f>
        <v>439.0817581</v>
      </c>
      <c r="H242" s="1">
        <f>'Power Timeline (arch 1) (Beta A'!$F$11*(1/2)^(('Power Graphs'!D242-'Power Graphs'!D$2)*24/('Power Timeline (arch 1) (Beta A'!$G$11*365*24))</f>
        <v>439.0817581</v>
      </c>
    </row>
    <row r="243" ht="15.75" customHeight="1">
      <c r="B243" s="79">
        <f t="shared" ref="B243:D243" si="241">B242+25</f>
        <v>52197</v>
      </c>
      <c r="C243" s="79">
        <f t="shared" si="241"/>
        <v>52197</v>
      </c>
      <c r="D243" s="79">
        <f t="shared" si="241"/>
        <v>52197</v>
      </c>
      <c r="F243" s="1">
        <f>'Power Timeline (arch 1) (Beta A'!$F$9*(1/2)^(('Power Graphs'!B243-'Power Graphs'!B$2)*24/('Power Timeline (arch 1) (Beta A'!$G$9*365*24))</f>
        <v>9999.999837</v>
      </c>
      <c r="G243" s="1">
        <f>'Power Timeline (arch 1) (Beta A'!$F$10*(1/2)^(('Power Graphs'!C243-'Power Graphs'!C$2)*24/('Power Timeline (arch 1) (Beta A'!$G$10*365*24))</f>
        <v>438.8441283</v>
      </c>
      <c r="H243" s="1">
        <f>'Power Timeline (arch 1) (Beta A'!$F$11*(1/2)^(('Power Graphs'!D243-'Power Graphs'!D$2)*24/('Power Timeline (arch 1) (Beta A'!$G$11*365*24))</f>
        <v>438.8441283</v>
      </c>
    </row>
    <row r="244" ht="15.75" customHeight="1">
      <c r="B244" s="79">
        <f t="shared" ref="B244:D244" si="242">B243+25</f>
        <v>52222</v>
      </c>
      <c r="C244" s="79">
        <f t="shared" si="242"/>
        <v>52222</v>
      </c>
      <c r="D244" s="79">
        <f t="shared" si="242"/>
        <v>52222</v>
      </c>
      <c r="F244" s="1">
        <f>'Power Timeline (arch 1) (Beta A'!$F$9*(1/2)^(('Power Graphs'!B244-'Power Graphs'!B$2)*24/('Power Timeline (arch 1) (Beta A'!$G$9*365*24))</f>
        <v>9999.999836</v>
      </c>
      <c r="G244" s="1">
        <f>'Power Timeline (arch 1) (Beta A'!$F$10*(1/2)^(('Power Graphs'!C244-'Power Graphs'!C$2)*24/('Power Timeline (arch 1) (Beta A'!$G$10*365*24))</f>
        <v>438.6066272</v>
      </c>
      <c r="H244" s="1">
        <f>'Power Timeline (arch 1) (Beta A'!$F$11*(1/2)^(('Power Graphs'!D244-'Power Graphs'!D$2)*24/('Power Timeline (arch 1) (Beta A'!$G$11*365*24))</f>
        <v>438.6066272</v>
      </c>
    </row>
    <row r="245" ht="15.75" customHeight="1">
      <c r="B245" s="79">
        <f t="shared" ref="B245:D245" si="243">B244+25</f>
        <v>52247</v>
      </c>
      <c r="C245" s="79">
        <f t="shared" si="243"/>
        <v>52247</v>
      </c>
      <c r="D245" s="79">
        <f t="shared" si="243"/>
        <v>52247</v>
      </c>
      <c r="F245" s="1">
        <f>'Power Timeline (arch 1) (Beta A'!$F$9*(1/2)^(('Power Graphs'!B245-'Power Graphs'!B$2)*24/('Power Timeline (arch 1) (Beta A'!$G$9*365*24))</f>
        <v>9999.999835</v>
      </c>
      <c r="G245" s="1">
        <f>'Power Timeline (arch 1) (Beta A'!$F$10*(1/2)^(('Power Graphs'!C245-'Power Graphs'!C$2)*24/('Power Timeline (arch 1) (Beta A'!$G$10*365*24))</f>
        <v>438.3692545</v>
      </c>
      <c r="H245" s="1">
        <f>'Power Timeline (arch 1) (Beta A'!$F$11*(1/2)^(('Power Graphs'!D245-'Power Graphs'!D$2)*24/('Power Timeline (arch 1) (Beta A'!$G$11*365*24))</f>
        <v>438.3692545</v>
      </c>
    </row>
    <row r="246" ht="15.75" customHeight="1">
      <c r="B246" s="79">
        <f t="shared" ref="B246:D246" si="244">B245+25</f>
        <v>52272</v>
      </c>
      <c r="C246" s="79">
        <f t="shared" si="244"/>
        <v>52272</v>
      </c>
      <c r="D246" s="79">
        <f t="shared" si="244"/>
        <v>52272</v>
      </c>
      <c r="F246" s="1">
        <f>'Power Timeline (arch 1) (Beta A'!$F$9*(1/2)^(('Power Graphs'!B246-'Power Graphs'!B$2)*24/('Power Timeline (arch 1) (Beta A'!$G$9*365*24))</f>
        <v>9999.999835</v>
      </c>
      <c r="G246" s="1">
        <f>'Power Timeline (arch 1) (Beta A'!$F$10*(1/2)^(('Power Graphs'!C246-'Power Graphs'!C$2)*24/('Power Timeline (arch 1) (Beta A'!$G$10*365*24))</f>
        <v>438.1320103</v>
      </c>
      <c r="H246" s="1">
        <f>'Power Timeline (arch 1) (Beta A'!$F$11*(1/2)^(('Power Graphs'!D246-'Power Graphs'!D$2)*24/('Power Timeline (arch 1) (Beta A'!$G$11*365*24))</f>
        <v>438.1320103</v>
      </c>
    </row>
    <row r="247" ht="15.75" customHeight="1">
      <c r="B247" s="79">
        <f t="shared" ref="B247:D247" si="245">B246+25</f>
        <v>52297</v>
      </c>
      <c r="C247" s="79">
        <f t="shared" si="245"/>
        <v>52297</v>
      </c>
      <c r="D247" s="79">
        <f t="shared" si="245"/>
        <v>52297</v>
      </c>
      <c r="F247" s="1">
        <f>'Power Timeline (arch 1) (Beta A'!$F$9*(1/2)^(('Power Graphs'!B247-'Power Graphs'!B$2)*24/('Power Timeline (arch 1) (Beta A'!$G$9*365*24))</f>
        <v>9999.999834</v>
      </c>
      <c r="G247" s="1">
        <f>'Power Timeline (arch 1) (Beta A'!$F$10*(1/2)^(('Power Graphs'!C247-'Power Graphs'!C$2)*24/('Power Timeline (arch 1) (Beta A'!$G$10*365*24))</f>
        <v>437.8948946</v>
      </c>
      <c r="H247" s="1">
        <f>'Power Timeline (arch 1) (Beta A'!$F$11*(1/2)^(('Power Graphs'!D247-'Power Graphs'!D$2)*24/('Power Timeline (arch 1) (Beta A'!$G$11*365*24))</f>
        <v>437.8948946</v>
      </c>
    </row>
    <row r="248" ht="15.75" customHeight="1">
      <c r="B248" s="79">
        <f t="shared" ref="B248:D248" si="246">B247+25</f>
        <v>52322</v>
      </c>
      <c r="C248" s="79">
        <f t="shared" si="246"/>
        <v>52322</v>
      </c>
      <c r="D248" s="79">
        <f t="shared" si="246"/>
        <v>52322</v>
      </c>
      <c r="F248" s="1">
        <f>'Power Timeline (arch 1) (Beta A'!$F$9*(1/2)^(('Power Graphs'!B248-'Power Graphs'!B$2)*24/('Power Timeline (arch 1) (Beta A'!$G$9*365*24))</f>
        <v>9999.999833</v>
      </c>
      <c r="G248" s="1">
        <f>'Power Timeline (arch 1) (Beta A'!$F$10*(1/2)^(('Power Graphs'!C248-'Power Graphs'!C$2)*24/('Power Timeline (arch 1) (Beta A'!$G$10*365*24))</f>
        <v>437.6579071</v>
      </c>
      <c r="H248" s="1">
        <f>'Power Timeline (arch 1) (Beta A'!$F$11*(1/2)^(('Power Graphs'!D248-'Power Graphs'!D$2)*24/('Power Timeline (arch 1) (Beta A'!$G$11*365*24))</f>
        <v>437.6579071</v>
      </c>
    </row>
    <row r="249" ht="15.75" customHeight="1">
      <c r="B249" s="79">
        <f t="shared" ref="B249:D249" si="247">B248+25</f>
        <v>52347</v>
      </c>
      <c r="C249" s="79">
        <f t="shared" si="247"/>
        <v>52347</v>
      </c>
      <c r="D249" s="79">
        <f t="shared" si="247"/>
        <v>52347</v>
      </c>
      <c r="F249" s="1">
        <f>'Power Timeline (arch 1) (Beta A'!$F$9*(1/2)^(('Power Graphs'!B249-'Power Graphs'!B$2)*24/('Power Timeline (arch 1) (Beta A'!$G$9*365*24))</f>
        <v>9999.999832</v>
      </c>
      <c r="G249" s="1">
        <f>'Power Timeline (arch 1) (Beta A'!$F$10*(1/2)^(('Power Graphs'!C249-'Power Graphs'!C$2)*24/('Power Timeline (arch 1) (Beta A'!$G$10*365*24))</f>
        <v>437.4210479</v>
      </c>
      <c r="H249" s="1">
        <f>'Power Timeline (arch 1) (Beta A'!$F$11*(1/2)^(('Power Graphs'!D249-'Power Graphs'!D$2)*24/('Power Timeline (arch 1) (Beta A'!$G$11*365*24))</f>
        <v>437.4210479</v>
      </c>
    </row>
    <row r="250" ht="15.75" customHeight="1">
      <c r="B250" s="79">
        <f t="shared" ref="B250:D250" si="248">B249+25</f>
        <v>52372</v>
      </c>
      <c r="C250" s="79">
        <f t="shared" si="248"/>
        <v>52372</v>
      </c>
      <c r="D250" s="79">
        <f t="shared" si="248"/>
        <v>52372</v>
      </c>
      <c r="F250" s="1">
        <f>'Power Timeline (arch 1) (Beta A'!$F$9*(1/2)^(('Power Graphs'!B250-'Power Graphs'!B$2)*24/('Power Timeline (arch 1) (Beta A'!$G$9*365*24))</f>
        <v>9999.999832</v>
      </c>
      <c r="G250" s="1">
        <f>'Power Timeline (arch 1) (Beta A'!$F$10*(1/2)^(('Power Graphs'!C250-'Power Graphs'!C$2)*24/('Power Timeline (arch 1) (Beta A'!$G$10*365*24))</f>
        <v>437.1843169</v>
      </c>
      <c r="H250" s="1">
        <f>'Power Timeline (arch 1) (Beta A'!$F$11*(1/2)^(('Power Graphs'!D250-'Power Graphs'!D$2)*24/('Power Timeline (arch 1) (Beta A'!$G$11*365*24))</f>
        <v>437.1843169</v>
      </c>
    </row>
    <row r="251" ht="15.75" customHeight="1">
      <c r="B251" s="79">
        <f t="shared" ref="B251:D251" si="249">B250+25</f>
        <v>52397</v>
      </c>
      <c r="C251" s="79">
        <f t="shared" si="249"/>
        <v>52397</v>
      </c>
      <c r="D251" s="79">
        <f t="shared" si="249"/>
        <v>52397</v>
      </c>
      <c r="F251" s="1">
        <f>'Power Timeline (arch 1) (Beta A'!$F$9*(1/2)^(('Power Graphs'!B251-'Power Graphs'!B$2)*24/('Power Timeline (arch 1) (Beta A'!$G$9*365*24))</f>
        <v>9999.999831</v>
      </c>
      <c r="G251" s="1">
        <f>'Power Timeline (arch 1) (Beta A'!$F$10*(1/2)^(('Power Graphs'!C251-'Power Graphs'!C$2)*24/('Power Timeline (arch 1) (Beta A'!$G$10*365*24))</f>
        <v>436.947714</v>
      </c>
      <c r="H251" s="1">
        <f>'Power Timeline (arch 1) (Beta A'!$F$11*(1/2)^(('Power Graphs'!D251-'Power Graphs'!D$2)*24/('Power Timeline (arch 1) (Beta A'!$G$11*365*24))</f>
        <v>436.947714</v>
      </c>
    </row>
    <row r="252" ht="15.75" customHeight="1">
      <c r="B252" s="79">
        <f t="shared" ref="B252:D252" si="250">B251+25</f>
        <v>52422</v>
      </c>
      <c r="C252" s="79">
        <f t="shared" si="250"/>
        <v>52422</v>
      </c>
      <c r="D252" s="79">
        <f t="shared" si="250"/>
        <v>52422</v>
      </c>
      <c r="F252" s="1">
        <f>'Power Timeline (arch 1) (Beta A'!$F$9*(1/2)^(('Power Graphs'!B252-'Power Graphs'!B$2)*24/('Power Timeline (arch 1) (Beta A'!$G$9*365*24))</f>
        <v>9999.99983</v>
      </c>
      <c r="G252" s="1">
        <f>'Power Timeline (arch 1) (Beta A'!$F$10*(1/2)^(('Power Graphs'!C252-'Power Graphs'!C$2)*24/('Power Timeline (arch 1) (Beta A'!$G$10*365*24))</f>
        <v>436.7112392</v>
      </c>
      <c r="H252" s="1">
        <f>'Power Timeline (arch 1) (Beta A'!$F$11*(1/2)^(('Power Graphs'!D252-'Power Graphs'!D$2)*24/('Power Timeline (arch 1) (Beta A'!$G$11*365*24))</f>
        <v>436.7112392</v>
      </c>
    </row>
    <row r="253" ht="15.75" customHeight="1">
      <c r="B253" s="79">
        <f t="shared" ref="B253:D253" si="251">B252+25</f>
        <v>52447</v>
      </c>
      <c r="C253" s="79">
        <f t="shared" si="251"/>
        <v>52447</v>
      </c>
      <c r="D253" s="79">
        <f t="shared" si="251"/>
        <v>52447</v>
      </c>
      <c r="F253" s="1">
        <f>'Power Timeline (arch 1) (Beta A'!$F$9*(1/2)^(('Power Graphs'!B253-'Power Graphs'!B$2)*24/('Power Timeline (arch 1) (Beta A'!$G$9*365*24))</f>
        <v>9999.99983</v>
      </c>
      <c r="G253" s="1">
        <f>'Power Timeline (arch 1) (Beta A'!$F$10*(1/2)^(('Power Graphs'!C253-'Power Graphs'!C$2)*24/('Power Timeline (arch 1) (Beta A'!$G$10*365*24))</f>
        <v>436.4748923</v>
      </c>
      <c r="H253" s="1">
        <f>'Power Timeline (arch 1) (Beta A'!$F$11*(1/2)^(('Power Graphs'!D253-'Power Graphs'!D$2)*24/('Power Timeline (arch 1) (Beta A'!$G$11*365*24))</f>
        <v>436.4748923</v>
      </c>
    </row>
    <row r="254" ht="15.75" customHeight="1">
      <c r="B254" s="79">
        <f t="shared" ref="B254:D254" si="252">B253+25</f>
        <v>52472</v>
      </c>
      <c r="C254" s="79">
        <f t="shared" si="252"/>
        <v>52472</v>
      </c>
      <c r="D254" s="79">
        <f t="shared" si="252"/>
        <v>52472</v>
      </c>
      <c r="F254" s="1">
        <f>'Power Timeline (arch 1) (Beta A'!$F$9*(1/2)^(('Power Graphs'!B254-'Power Graphs'!B$2)*24/('Power Timeline (arch 1) (Beta A'!$G$9*365*24))</f>
        <v>9999.999829</v>
      </c>
      <c r="G254" s="1">
        <f>'Power Timeline (arch 1) (Beta A'!$F$10*(1/2)^(('Power Graphs'!C254-'Power Graphs'!C$2)*24/('Power Timeline (arch 1) (Beta A'!$G$10*365*24))</f>
        <v>436.2386734</v>
      </c>
      <c r="H254" s="1">
        <f>'Power Timeline (arch 1) (Beta A'!$F$11*(1/2)^(('Power Graphs'!D254-'Power Graphs'!D$2)*24/('Power Timeline (arch 1) (Beta A'!$G$11*365*24))</f>
        <v>436.2386734</v>
      </c>
    </row>
    <row r="255" ht="15.75" customHeight="1">
      <c r="B255" s="79">
        <f t="shared" ref="B255:D255" si="253">B254+25</f>
        <v>52497</v>
      </c>
      <c r="C255" s="79">
        <f t="shared" si="253"/>
        <v>52497</v>
      </c>
      <c r="D255" s="79">
        <f t="shared" si="253"/>
        <v>52497</v>
      </c>
      <c r="F255" s="1">
        <f>'Power Timeline (arch 1) (Beta A'!$F$9*(1/2)^(('Power Graphs'!B255-'Power Graphs'!B$2)*24/('Power Timeline (arch 1) (Beta A'!$G$9*365*24))</f>
        <v>9999.999828</v>
      </c>
      <c r="G255" s="1">
        <f>'Power Timeline (arch 1) (Beta A'!$F$10*(1/2)^(('Power Graphs'!C255-'Power Graphs'!C$2)*24/('Power Timeline (arch 1) (Beta A'!$G$10*365*24))</f>
        <v>436.0025823</v>
      </c>
      <c r="H255" s="1">
        <f>'Power Timeline (arch 1) (Beta A'!$F$11*(1/2)^(('Power Graphs'!D255-'Power Graphs'!D$2)*24/('Power Timeline (arch 1) (Beta A'!$G$11*365*24))</f>
        <v>436.0025823</v>
      </c>
    </row>
    <row r="256" ht="15.75" customHeight="1">
      <c r="B256" s="79">
        <f t="shared" ref="B256:D256" si="254">B255+25</f>
        <v>52522</v>
      </c>
      <c r="C256" s="79">
        <f t="shared" si="254"/>
        <v>52522</v>
      </c>
      <c r="D256" s="79">
        <f t="shared" si="254"/>
        <v>52522</v>
      </c>
      <c r="F256" s="1">
        <f>'Power Timeline (arch 1) (Beta A'!$F$9*(1/2)^(('Power Graphs'!B256-'Power Graphs'!B$2)*24/('Power Timeline (arch 1) (Beta A'!$G$9*365*24))</f>
        <v>9999.999828</v>
      </c>
      <c r="G256" s="1">
        <f>'Power Timeline (arch 1) (Beta A'!$F$10*(1/2)^(('Power Graphs'!C256-'Power Graphs'!C$2)*24/('Power Timeline (arch 1) (Beta A'!$G$10*365*24))</f>
        <v>435.7666189</v>
      </c>
      <c r="H256" s="1">
        <f>'Power Timeline (arch 1) (Beta A'!$F$11*(1/2)^(('Power Graphs'!D256-'Power Graphs'!D$2)*24/('Power Timeline (arch 1) (Beta A'!$G$11*365*24))</f>
        <v>435.7666189</v>
      </c>
    </row>
    <row r="257" ht="15.75" customHeight="1">
      <c r="B257" s="79">
        <f t="shared" ref="B257:D257" si="255">B256+25</f>
        <v>52547</v>
      </c>
      <c r="C257" s="79">
        <f t="shared" si="255"/>
        <v>52547</v>
      </c>
      <c r="D257" s="79">
        <f t="shared" si="255"/>
        <v>52547</v>
      </c>
      <c r="F257" s="1">
        <f>'Power Timeline (arch 1) (Beta A'!$F$9*(1/2)^(('Power Graphs'!B257-'Power Graphs'!B$2)*24/('Power Timeline (arch 1) (Beta A'!$G$9*365*24))</f>
        <v>9999.999827</v>
      </c>
      <c r="G257" s="1">
        <f>'Power Timeline (arch 1) (Beta A'!$F$10*(1/2)^(('Power Graphs'!C257-'Power Graphs'!C$2)*24/('Power Timeline (arch 1) (Beta A'!$G$10*365*24))</f>
        <v>435.5307833</v>
      </c>
      <c r="H257" s="1">
        <f>'Power Timeline (arch 1) (Beta A'!$F$11*(1/2)^(('Power Graphs'!D257-'Power Graphs'!D$2)*24/('Power Timeline (arch 1) (Beta A'!$G$11*365*24))</f>
        <v>435.5307833</v>
      </c>
    </row>
    <row r="258" ht="15.75" customHeight="1">
      <c r="B258" s="79">
        <f t="shared" ref="B258:D258" si="256">B257+25</f>
        <v>52572</v>
      </c>
      <c r="C258" s="79">
        <f t="shared" si="256"/>
        <v>52572</v>
      </c>
      <c r="D258" s="79">
        <f t="shared" si="256"/>
        <v>52572</v>
      </c>
      <c r="F258" s="1">
        <f>'Power Timeline (arch 1) (Beta A'!$F$9*(1/2)^(('Power Graphs'!B258-'Power Graphs'!B$2)*24/('Power Timeline (arch 1) (Beta A'!$G$9*365*24))</f>
        <v>9999.999826</v>
      </c>
      <c r="G258" s="1">
        <f>'Power Timeline (arch 1) (Beta A'!$F$10*(1/2)^(('Power Graphs'!C258-'Power Graphs'!C$2)*24/('Power Timeline (arch 1) (Beta A'!$G$10*365*24))</f>
        <v>435.2950753</v>
      </c>
      <c r="H258" s="1">
        <f>'Power Timeline (arch 1) (Beta A'!$F$11*(1/2)^(('Power Graphs'!D258-'Power Graphs'!D$2)*24/('Power Timeline (arch 1) (Beta A'!$G$11*365*24))</f>
        <v>435.2950753</v>
      </c>
    </row>
    <row r="259" ht="15.75" customHeight="1">
      <c r="B259" s="79">
        <f t="shared" ref="B259:D259" si="257">B258+25</f>
        <v>52597</v>
      </c>
      <c r="C259" s="79">
        <f t="shared" si="257"/>
        <v>52597</v>
      </c>
      <c r="D259" s="79">
        <f t="shared" si="257"/>
        <v>52597</v>
      </c>
      <c r="F259" s="1">
        <f>'Power Timeline (arch 1) (Beta A'!$F$9*(1/2)^(('Power Graphs'!B259-'Power Graphs'!B$2)*24/('Power Timeline (arch 1) (Beta A'!$G$9*365*24))</f>
        <v>9999.999826</v>
      </c>
      <c r="G259" s="1">
        <f>'Power Timeline (arch 1) (Beta A'!$F$10*(1/2)^(('Power Graphs'!C259-'Power Graphs'!C$2)*24/('Power Timeline (arch 1) (Beta A'!$G$10*365*24))</f>
        <v>435.0594949</v>
      </c>
      <c r="H259" s="1">
        <f>'Power Timeline (arch 1) (Beta A'!$F$11*(1/2)^(('Power Graphs'!D259-'Power Graphs'!D$2)*24/('Power Timeline (arch 1) (Beta A'!$G$11*365*24))</f>
        <v>435.0594949</v>
      </c>
    </row>
    <row r="260" ht="15.75" customHeight="1">
      <c r="B260" s="79">
        <f t="shared" ref="B260:D260" si="258">B259+25</f>
        <v>52622</v>
      </c>
      <c r="C260" s="79">
        <f t="shared" si="258"/>
        <v>52622</v>
      </c>
      <c r="D260" s="79">
        <f t="shared" si="258"/>
        <v>52622</v>
      </c>
      <c r="F260" s="1">
        <f>'Power Timeline (arch 1) (Beta A'!$F$9*(1/2)^(('Power Graphs'!B260-'Power Graphs'!B$2)*24/('Power Timeline (arch 1) (Beta A'!$G$9*365*24))</f>
        <v>9999.999825</v>
      </c>
      <c r="G260" s="1">
        <f>'Power Timeline (arch 1) (Beta A'!$F$10*(1/2)^(('Power Graphs'!C260-'Power Graphs'!C$2)*24/('Power Timeline (arch 1) (Beta A'!$G$10*365*24))</f>
        <v>434.8240419</v>
      </c>
      <c r="H260" s="1">
        <f>'Power Timeline (arch 1) (Beta A'!$F$11*(1/2)^(('Power Graphs'!D260-'Power Graphs'!D$2)*24/('Power Timeline (arch 1) (Beta A'!$G$11*365*24))</f>
        <v>434.8240419</v>
      </c>
    </row>
    <row r="261" ht="15.75" customHeight="1">
      <c r="B261" s="79">
        <f t="shared" ref="B261:D261" si="259">B260+25</f>
        <v>52647</v>
      </c>
      <c r="C261" s="79">
        <f t="shared" si="259"/>
        <v>52647</v>
      </c>
      <c r="D261" s="79">
        <f t="shared" si="259"/>
        <v>52647</v>
      </c>
      <c r="F261" s="1">
        <f>'Power Timeline (arch 1) (Beta A'!$F$9*(1/2)^(('Power Graphs'!B261-'Power Graphs'!B$2)*24/('Power Timeline (arch 1) (Beta A'!$G$9*365*24))</f>
        <v>9999.999824</v>
      </c>
      <c r="G261" s="1">
        <f>'Power Timeline (arch 1) (Beta A'!$F$10*(1/2)^(('Power Graphs'!C261-'Power Graphs'!C$2)*24/('Power Timeline (arch 1) (Beta A'!$G$10*365*24))</f>
        <v>434.5887164</v>
      </c>
      <c r="H261" s="1">
        <f>'Power Timeline (arch 1) (Beta A'!$F$11*(1/2)^(('Power Graphs'!D261-'Power Graphs'!D$2)*24/('Power Timeline (arch 1) (Beta A'!$G$11*365*24))</f>
        <v>434.5887164</v>
      </c>
    </row>
    <row r="262" ht="15.75" customHeight="1">
      <c r="B262" s="79">
        <f t="shared" ref="B262:D262" si="260">B261+25</f>
        <v>52672</v>
      </c>
      <c r="C262" s="79">
        <f t="shared" si="260"/>
        <v>52672</v>
      </c>
      <c r="D262" s="79">
        <f t="shared" si="260"/>
        <v>52672</v>
      </c>
      <c r="F262" s="1">
        <f>'Power Timeline (arch 1) (Beta A'!$F$9*(1/2)^(('Power Graphs'!B262-'Power Graphs'!B$2)*24/('Power Timeline (arch 1) (Beta A'!$G$9*365*24))</f>
        <v>9999.999824</v>
      </c>
      <c r="G262" s="1">
        <f>'Power Timeline (arch 1) (Beta A'!$F$10*(1/2)^(('Power Graphs'!C262-'Power Graphs'!C$2)*24/('Power Timeline (arch 1) (Beta A'!$G$10*365*24))</f>
        <v>434.3535183</v>
      </c>
      <c r="H262" s="1">
        <f>'Power Timeline (arch 1) (Beta A'!$F$11*(1/2)^(('Power Graphs'!D262-'Power Graphs'!D$2)*24/('Power Timeline (arch 1) (Beta A'!$G$11*365*24))</f>
        <v>434.3535183</v>
      </c>
    </row>
    <row r="263" ht="15.75" customHeight="1">
      <c r="B263" s="79">
        <f t="shared" ref="B263:D263" si="261">B262+25</f>
        <v>52697</v>
      </c>
      <c r="C263" s="79">
        <f t="shared" si="261"/>
        <v>52697</v>
      </c>
      <c r="D263" s="79">
        <f t="shared" si="261"/>
        <v>52697</v>
      </c>
      <c r="F263" s="1">
        <f>'Power Timeline (arch 1) (Beta A'!$F$9*(1/2)^(('Power Graphs'!B263-'Power Graphs'!B$2)*24/('Power Timeline (arch 1) (Beta A'!$G$9*365*24))</f>
        <v>9999.999823</v>
      </c>
      <c r="G263" s="1">
        <f>'Power Timeline (arch 1) (Beta A'!$F$10*(1/2)^(('Power Graphs'!C263-'Power Graphs'!C$2)*24/('Power Timeline (arch 1) (Beta A'!$G$10*365*24))</f>
        <v>434.1184474</v>
      </c>
      <c r="H263" s="1">
        <f>'Power Timeline (arch 1) (Beta A'!$F$11*(1/2)^(('Power Graphs'!D263-'Power Graphs'!D$2)*24/('Power Timeline (arch 1) (Beta A'!$G$11*365*24))</f>
        <v>434.1184474</v>
      </c>
    </row>
    <row r="264" ht="15.75" customHeight="1">
      <c r="B264" s="79">
        <f t="shared" ref="B264:D264" si="262">B263+25</f>
        <v>52722</v>
      </c>
      <c r="C264" s="79">
        <f t="shared" si="262"/>
        <v>52722</v>
      </c>
      <c r="D264" s="79">
        <f t="shared" si="262"/>
        <v>52722</v>
      </c>
      <c r="F264" s="1">
        <f>'Power Timeline (arch 1) (Beta A'!$F$9*(1/2)^(('Power Graphs'!B264-'Power Graphs'!B$2)*24/('Power Timeline (arch 1) (Beta A'!$G$9*365*24))</f>
        <v>9999.999822</v>
      </c>
      <c r="G264" s="1">
        <f>'Power Timeline (arch 1) (Beta A'!$F$10*(1/2)^(('Power Graphs'!C264-'Power Graphs'!C$2)*24/('Power Timeline (arch 1) (Beta A'!$G$10*365*24))</f>
        <v>433.8835038</v>
      </c>
      <c r="H264" s="1">
        <f>'Power Timeline (arch 1) (Beta A'!$F$11*(1/2)^(('Power Graphs'!D264-'Power Graphs'!D$2)*24/('Power Timeline (arch 1) (Beta A'!$G$11*365*24))</f>
        <v>433.8835038</v>
      </c>
    </row>
    <row r="265" ht="15.75" customHeight="1">
      <c r="B265" s="79">
        <f t="shared" ref="B265:D265" si="263">B264+25</f>
        <v>52747</v>
      </c>
      <c r="C265" s="79">
        <f t="shared" si="263"/>
        <v>52747</v>
      </c>
      <c r="D265" s="79">
        <f t="shared" si="263"/>
        <v>52747</v>
      </c>
      <c r="F265" s="1">
        <f>'Power Timeline (arch 1) (Beta A'!$F$9*(1/2)^(('Power Graphs'!B265-'Power Graphs'!B$2)*24/('Power Timeline (arch 1) (Beta A'!$G$9*365*24))</f>
        <v>9999.999822</v>
      </c>
      <c r="G265" s="1">
        <f>'Power Timeline (arch 1) (Beta A'!$F$10*(1/2)^(('Power Graphs'!C265-'Power Graphs'!C$2)*24/('Power Timeline (arch 1) (Beta A'!$G$10*365*24))</f>
        <v>433.6486873</v>
      </c>
      <c r="H265" s="1">
        <f>'Power Timeline (arch 1) (Beta A'!$F$11*(1/2)^(('Power Graphs'!D265-'Power Graphs'!D$2)*24/('Power Timeline (arch 1) (Beta A'!$G$11*365*24))</f>
        <v>433.6486873</v>
      </c>
    </row>
    <row r="266" ht="15.75" customHeight="1">
      <c r="B266" s="79">
        <f t="shared" ref="B266:D266" si="264">B265+25</f>
        <v>52772</v>
      </c>
      <c r="C266" s="79">
        <f t="shared" si="264"/>
        <v>52772</v>
      </c>
      <c r="D266" s="79">
        <f t="shared" si="264"/>
        <v>52772</v>
      </c>
      <c r="F266" s="1">
        <f>'Power Timeline (arch 1) (Beta A'!$F$9*(1/2)^(('Power Graphs'!B266-'Power Graphs'!B$2)*24/('Power Timeline (arch 1) (Beta A'!$G$9*365*24))</f>
        <v>9999.999821</v>
      </c>
      <c r="G266" s="1">
        <f>'Power Timeline (arch 1) (Beta A'!$F$10*(1/2)^(('Power Graphs'!C266-'Power Graphs'!C$2)*24/('Power Timeline (arch 1) (Beta A'!$G$10*365*24))</f>
        <v>433.4139978</v>
      </c>
      <c r="H266" s="1">
        <f>'Power Timeline (arch 1) (Beta A'!$F$11*(1/2)^(('Power Graphs'!D266-'Power Graphs'!D$2)*24/('Power Timeline (arch 1) (Beta A'!$G$11*365*24))</f>
        <v>433.4139978</v>
      </c>
    </row>
    <row r="267" ht="15.75" customHeight="1">
      <c r="B267" s="79">
        <f t="shared" ref="B267:D267" si="265">B266+25</f>
        <v>52797</v>
      </c>
      <c r="C267" s="79">
        <f t="shared" si="265"/>
        <v>52797</v>
      </c>
      <c r="D267" s="79">
        <f t="shared" si="265"/>
        <v>52797</v>
      </c>
      <c r="F267" s="1">
        <f>'Power Timeline (arch 1) (Beta A'!$F$9*(1/2)^(('Power Graphs'!B267-'Power Graphs'!B$2)*24/('Power Timeline (arch 1) (Beta A'!$G$9*365*24))</f>
        <v>9999.99982</v>
      </c>
      <c r="G267" s="1">
        <f>'Power Timeline (arch 1) (Beta A'!$F$10*(1/2)^(('Power Graphs'!C267-'Power Graphs'!C$2)*24/('Power Timeline (arch 1) (Beta A'!$G$10*365*24))</f>
        <v>433.1794354</v>
      </c>
      <c r="H267" s="1">
        <f>'Power Timeline (arch 1) (Beta A'!$F$11*(1/2)^(('Power Graphs'!D267-'Power Graphs'!D$2)*24/('Power Timeline (arch 1) (Beta A'!$G$11*365*24))</f>
        <v>433.1794354</v>
      </c>
    </row>
    <row r="268" ht="15.75" customHeight="1">
      <c r="B268" s="79">
        <f t="shared" ref="B268:D268" si="266">B267+25</f>
        <v>52822</v>
      </c>
      <c r="C268" s="79">
        <f t="shared" si="266"/>
        <v>52822</v>
      </c>
      <c r="D268" s="79">
        <f t="shared" si="266"/>
        <v>52822</v>
      </c>
      <c r="F268" s="1">
        <f>'Power Timeline (arch 1) (Beta A'!$F$9*(1/2)^(('Power Graphs'!B268-'Power Graphs'!B$2)*24/('Power Timeline (arch 1) (Beta A'!$G$9*365*24))</f>
        <v>9999.99982</v>
      </c>
      <c r="G268" s="1">
        <f>'Power Timeline (arch 1) (Beta A'!$F$10*(1/2)^(('Power Graphs'!C268-'Power Graphs'!C$2)*24/('Power Timeline (arch 1) (Beta A'!$G$10*365*24))</f>
        <v>432.945</v>
      </c>
      <c r="H268" s="1">
        <f>'Power Timeline (arch 1) (Beta A'!$F$11*(1/2)^(('Power Graphs'!D268-'Power Graphs'!D$2)*24/('Power Timeline (arch 1) (Beta A'!$G$11*365*24))</f>
        <v>432.945</v>
      </c>
    </row>
    <row r="269" ht="15.75" customHeight="1">
      <c r="B269" s="79">
        <f t="shared" ref="B269:D269" si="267">B268+25</f>
        <v>52847</v>
      </c>
      <c r="C269" s="79">
        <f t="shared" si="267"/>
        <v>52847</v>
      </c>
      <c r="D269" s="79">
        <f t="shared" si="267"/>
        <v>52847</v>
      </c>
      <c r="F269" s="1">
        <f>'Power Timeline (arch 1) (Beta A'!$F$9*(1/2)^(('Power Graphs'!B269-'Power Graphs'!B$2)*24/('Power Timeline (arch 1) (Beta A'!$G$9*365*24))</f>
        <v>9999.999819</v>
      </c>
      <c r="G269" s="1">
        <f>'Power Timeline (arch 1) (Beta A'!$F$10*(1/2)^(('Power Graphs'!C269-'Power Graphs'!C$2)*24/('Power Timeline (arch 1) (Beta A'!$G$10*365*24))</f>
        <v>432.7106914</v>
      </c>
      <c r="H269" s="1">
        <f>'Power Timeline (arch 1) (Beta A'!$F$11*(1/2)^(('Power Graphs'!D269-'Power Graphs'!D$2)*24/('Power Timeline (arch 1) (Beta A'!$G$11*365*24))</f>
        <v>432.7106914</v>
      </c>
    </row>
    <row r="270" ht="15.75" customHeight="1">
      <c r="B270" s="79">
        <f t="shared" ref="B270:D270" si="268">B269+25</f>
        <v>52872</v>
      </c>
      <c r="C270" s="79">
        <f t="shared" si="268"/>
        <v>52872</v>
      </c>
      <c r="D270" s="79">
        <f t="shared" si="268"/>
        <v>52872</v>
      </c>
      <c r="F270" s="1">
        <f>'Power Timeline (arch 1) (Beta A'!$F$9*(1/2)^(('Power Graphs'!B270-'Power Graphs'!B$2)*24/('Power Timeline (arch 1) (Beta A'!$G$9*365*24))</f>
        <v>9999.999818</v>
      </c>
      <c r="G270" s="1">
        <f>'Power Timeline (arch 1) (Beta A'!$F$10*(1/2)^(('Power Graphs'!C270-'Power Graphs'!C$2)*24/('Power Timeline (arch 1) (Beta A'!$G$10*365*24))</f>
        <v>432.4765096</v>
      </c>
      <c r="H270" s="1">
        <f>'Power Timeline (arch 1) (Beta A'!$F$11*(1/2)^(('Power Graphs'!D270-'Power Graphs'!D$2)*24/('Power Timeline (arch 1) (Beta A'!$G$11*365*24))</f>
        <v>432.4765096</v>
      </c>
    </row>
    <row r="271" ht="15.75" customHeight="1">
      <c r="B271" s="79">
        <f t="shared" ref="B271:D271" si="269">B270+25</f>
        <v>52897</v>
      </c>
      <c r="C271" s="79">
        <f t="shared" si="269"/>
        <v>52897</v>
      </c>
      <c r="D271" s="79">
        <f t="shared" si="269"/>
        <v>52897</v>
      </c>
      <c r="F271" s="1">
        <f>'Power Timeline (arch 1) (Beta A'!$F$9*(1/2)^(('Power Graphs'!B271-'Power Graphs'!B$2)*24/('Power Timeline (arch 1) (Beta A'!$G$9*365*24))</f>
        <v>9999.999818</v>
      </c>
      <c r="G271" s="1">
        <f>'Power Timeline (arch 1) (Beta A'!$F$10*(1/2)^(('Power Graphs'!C271-'Power Graphs'!C$2)*24/('Power Timeline (arch 1) (Beta A'!$G$10*365*24))</f>
        <v>432.2424546</v>
      </c>
      <c r="H271" s="1">
        <f>'Power Timeline (arch 1) (Beta A'!$F$11*(1/2)^(('Power Graphs'!D271-'Power Graphs'!D$2)*24/('Power Timeline (arch 1) (Beta A'!$G$11*365*24))</f>
        <v>432.2424546</v>
      </c>
    </row>
    <row r="272" ht="15.75" customHeight="1">
      <c r="B272" s="79">
        <f t="shared" ref="B272:D272" si="270">B271+25</f>
        <v>52922</v>
      </c>
      <c r="C272" s="79">
        <f t="shared" si="270"/>
        <v>52922</v>
      </c>
      <c r="D272" s="79">
        <f t="shared" si="270"/>
        <v>52922</v>
      </c>
      <c r="F272" s="1">
        <f>'Power Timeline (arch 1) (Beta A'!$F$9*(1/2)^(('Power Graphs'!B272-'Power Graphs'!B$2)*24/('Power Timeline (arch 1) (Beta A'!$G$9*365*24))</f>
        <v>9999.999817</v>
      </c>
      <c r="G272" s="1">
        <f>'Power Timeline (arch 1) (Beta A'!$F$10*(1/2)^(('Power Graphs'!C272-'Power Graphs'!C$2)*24/('Power Timeline (arch 1) (Beta A'!$G$10*365*24))</f>
        <v>432.0085262</v>
      </c>
      <c r="H272" s="1">
        <f>'Power Timeline (arch 1) (Beta A'!$F$11*(1/2)^(('Power Graphs'!D272-'Power Graphs'!D$2)*24/('Power Timeline (arch 1) (Beta A'!$G$11*365*24))</f>
        <v>432.0085262</v>
      </c>
    </row>
    <row r="273" ht="15.75" customHeight="1">
      <c r="B273" s="79">
        <f t="shared" ref="B273:D273" si="271">B272+25</f>
        <v>52947</v>
      </c>
      <c r="C273" s="79">
        <f t="shared" si="271"/>
        <v>52947</v>
      </c>
      <c r="D273" s="79">
        <f t="shared" si="271"/>
        <v>52947</v>
      </c>
      <c r="F273" s="1">
        <f>'Power Timeline (arch 1) (Beta A'!$F$9*(1/2)^(('Power Graphs'!B273-'Power Graphs'!B$2)*24/('Power Timeline (arch 1) (Beta A'!$G$9*365*24))</f>
        <v>9999.999816</v>
      </c>
      <c r="G273" s="1">
        <f>'Power Timeline (arch 1) (Beta A'!$F$10*(1/2)^(('Power Graphs'!C273-'Power Graphs'!C$2)*24/('Power Timeline (arch 1) (Beta A'!$G$10*365*24))</f>
        <v>431.7747245</v>
      </c>
      <c r="H273" s="1">
        <f>'Power Timeline (arch 1) (Beta A'!$F$11*(1/2)^(('Power Graphs'!D273-'Power Graphs'!D$2)*24/('Power Timeline (arch 1) (Beta A'!$G$11*365*24))</f>
        <v>431.7747245</v>
      </c>
    </row>
    <row r="274" ht="15.75" customHeight="1">
      <c r="B274" s="79">
        <f t="shared" ref="B274:D274" si="272">B273+25</f>
        <v>52972</v>
      </c>
      <c r="C274" s="79">
        <f t="shared" si="272"/>
        <v>52972</v>
      </c>
      <c r="D274" s="79">
        <f t="shared" si="272"/>
        <v>52972</v>
      </c>
      <c r="F274" s="1">
        <f>'Power Timeline (arch 1) (Beta A'!$F$9*(1/2)^(('Power Graphs'!B274-'Power Graphs'!B$2)*24/('Power Timeline (arch 1) (Beta A'!$G$9*365*24))</f>
        <v>9999.999816</v>
      </c>
      <c r="G274" s="1">
        <f>'Power Timeline (arch 1) (Beta A'!$F$10*(1/2)^(('Power Graphs'!C274-'Power Graphs'!C$2)*24/('Power Timeline (arch 1) (Beta A'!$G$10*365*24))</f>
        <v>431.5410492</v>
      </c>
      <c r="H274" s="1">
        <f>'Power Timeline (arch 1) (Beta A'!$F$11*(1/2)^(('Power Graphs'!D274-'Power Graphs'!D$2)*24/('Power Timeline (arch 1) (Beta A'!$G$11*365*24))</f>
        <v>431.5410492</v>
      </c>
    </row>
    <row r="275" ht="15.75" customHeight="1">
      <c r="B275" s="79">
        <f t="shared" ref="B275:D275" si="273">B274+25</f>
        <v>52997</v>
      </c>
      <c r="C275" s="79">
        <f t="shared" si="273"/>
        <v>52997</v>
      </c>
      <c r="D275" s="79">
        <f t="shared" si="273"/>
        <v>52997</v>
      </c>
      <c r="F275" s="1">
        <f>'Power Timeline (arch 1) (Beta A'!$F$9*(1/2)^(('Power Graphs'!B275-'Power Graphs'!B$2)*24/('Power Timeline (arch 1) (Beta A'!$G$9*365*24))</f>
        <v>9999.999815</v>
      </c>
      <c r="G275" s="1">
        <f>'Power Timeline (arch 1) (Beta A'!$F$10*(1/2)^(('Power Graphs'!C275-'Power Graphs'!C$2)*24/('Power Timeline (arch 1) (Beta A'!$G$10*365*24))</f>
        <v>431.3075005</v>
      </c>
      <c r="H275" s="1">
        <f>'Power Timeline (arch 1) (Beta A'!$F$11*(1/2)^(('Power Graphs'!D275-'Power Graphs'!D$2)*24/('Power Timeline (arch 1) (Beta A'!$G$11*365*24))</f>
        <v>431.3075005</v>
      </c>
    </row>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30" t="s">
        <v>151</v>
      </c>
    </row>
    <row r="2">
      <c r="A2" s="1" t="s">
        <v>152</v>
      </c>
    </row>
    <row r="3">
      <c r="A3" s="1" t="s">
        <v>153</v>
      </c>
    </row>
    <row r="4">
      <c r="A4" s="1" t="s">
        <v>154</v>
      </c>
    </row>
    <row r="6">
      <c r="A6" s="1" t="s">
        <v>155</v>
      </c>
    </row>
    <row r="7">
      <c r="A7" s="1" t="s">
        <v>156</v>
      </c>
    </row>
    <row r="8">
      <c r="A8" s="1" t="s">
        <v>157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2.0"/>
    <col customWidth="1" min="3" max="26" width="8.71"/>
  </cols>
  <sheetData>
    <row r="1">
      <c r="A1" s="30" t="s">
        <v>158</v>
      </c>
    </row>
    <row r="3">
      <c r="A3" s="75" t="s">
        <v>159</v>
      </c>
      <c r="B3" s="80">
        <v>500.0</v>
      </c>
    </row>
    <row r="4">
      <c r="A4" s="75" t="s">
        <v>160</v>
      </c>
      <c r="B4" s="80">
        <v>1.9</v>
      </c>
    </row>
    <row r="5">
      <c r="A5" s="75" t="s">
        <v>161</v>
      </c>
      <c r="B5" s="81">
        <v>6623.0</v>
      </c>
    </row>
    <row r="6">
      <c r="A6" s="75" t="s">
        <v>162</v>
      </c>
      <c r="B6" s="80">
        <f>B3 - B4*(B5/365)</f>
        <v>465.5241096</v>
      </c>
      <c r="W6" s="1" t="s">
        <v>163</v>
      </c>
    </row>
    <row r="7">
      <c r="A7" s="75" t="s">
        <v>164</v>
      </c>
      <c r="B7" s="80">
        <v>57.0</v>
      </c>
    </row>
    <row r="8">
      <c r="A8" s="75" t="s">
        <v>165</v>
      </c>
      <c r="B8" s="80">
        <v>159.448205</v>
      </c>
    </row>
    <row r="9">
      <c r="A9" s="75" t="s">
        <v>166</v>
      </c>
      <c r="B9" s="74">
        <v>9.0</v>
      </c>
    </row>
    <row r="10">
      <c r="A10" s="75" t="s">
        <v>167</v>
      </c>
      <c r="B10" s="74">
        <v>513.0</v>
      </c>
    </row>
    <row r="11">
      <c r="A11" s="75" t="s">
        <v>168</v>
      </c>
      <c r="B11" s="74">
        <v>868.6405479</v>
      </c>
    </row>
    <row r="12">
      <c r="A12" s="75" t="s">
        <v>169</v>
      </c>
      <c r="B12" s="74">
        <v>1435.033845</v>
      </c>
    </row>
    <row r="21" ht="15.75" customHeight="1"/>
    <row r="22" ht="15.75" customHeight="1"/>
    <row r="23" ht="15.75" customHeight="1"/>
    <row r="24" ht="15.75" customHeight="1"/>
    <row r="25" ht="15.75" customHeight="1"/>
    <row r="26" ht="15.75" customHeight="1"/>
    <row r="27" ht="15.75" customHeight="1"/>
    <row r="28" ht="15.75" customHeight="1"/>
    <row r="29" ht="15.75" customHeight="1">
      <c r="W29" s="1" t="s">
        <v>170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0"/>
    <col customWidth="1" min="3" max="3" width="17.71"/>
    <col customWidth="1" min="4" max="4" width="39.0"/>
    <col customWidth="1" min="5" max="5" width="14.43"/>
    <col customWidth="1" min="6" max="6" width="15.14"/>
    <col customWidth="1" min="7" max="7" width="17.71"/>
    <col customWidth="1" min="8" max="8" width="20.43"/>
    <col customWidth="1" min="9" max="9" width="22.86"/>
    <col customWidth="1" min="10" max="10" width="16.14"/>
    <col customWidth="1" min="11" max="11" width="16.86"/>
    <col customWidth="1" min="12" max="12" width="22.0"/>
    <col customWidth="1" min="13" max="13" width="22.14"/>
    <col customWidth="1" min="14" max="14" width="27.29"/>
    <col customWidth="1" min="15" max="15" width="17.29"/>
    <col customWidth="1" min="16" max="16" width="22.29"/>
    <col customWidth="1" min="17" max="17" width="19.57"/>
    <col customWidth="1" min="18" max="18" width="16.14"/>
    <col customWidth="1" min="19" max="19" width="27.14"/>
    <col customWidth="1" min="20" max="20" width="26.43"/>
    <col customWidth="1" min="21" max="21" width="32.43"/>
    <col customWidth="1" min="22" max="22" width="21.14"/>
    <col customWidth="1" min="23" max="23" width="19.86"/>
    <col customWidth="1" min="24" max="25" width="28.86"/>
    <col customWidth="1" min="26" max="26" width="32.43"/>
    <col customWidth="1" min="27" max="27" width="6.43"/>
    <col customWidth="1" min="28" max="28" width="27.0"/>
    <col customWidth="1" min="29" max="29" width="31.71"/>
    <col customWidth="1" min="30" max="30" width="10.14"/>
    <col customWidth="1" min="31" max="31" width="74.14"/>
    <col customWidth="1" min="32" max="32" width="8.71"/>
  </cols>
  <sheetData>
    <row r="1">
      <c r="E1" s="82"/>
      <c r="F1" s="83" t="s">
        <v>171</v>
      </c>
      <c r="G1" s="84"/>
      <c r="H1" s="85" t="s">
        <v>172</v>
      </c>
      <c r="M1" s="86"/>
      <c r="U1" s="87"/>
      <c r="V1" s="87"/>
      <c r="W1" s="87"/>
      <c r="X1" s="87"/>
    </row>
    <row r="2">
      <c r="B2" s="31" t="s">
        <v>173</v>
      </c>
      <c r="E2" s="82"/>
      <c r="F2" s="88"/>
      <c r="G2" s="89"/>
      <c r="H2" s="90" t="s">
        <v>174</v>
      </c>
      <c r="J2" s="91" t="s">
        <v>175</v>
      </c>
      <c r="K2" s="92"/>
      <c r="L2" s="92"/>
      <c r="M2" s="93"/>
      <c r="N2" s="92"/>
      <c r="O2" s="92"/>
      <c r="P2" s="92"/>
      <c r="Q2" s="94"/>
      <c r="R2" s="94"/>
      <c r="S2" s="94"/>
      <c r="T2" s="95"/>
      <c r="U2" s="87"/>
      <c r="V2" s="87"/>
      <c r="W2" s="87"/>
      <c r="X2" s="87"/>
    </row>
    <row r="3">
      <c r="E3" s="82"/>
      <c r="F3" s="96"/>
      <c r="G3" s="97"/>
      <c r="H3" s="90" t="s">
        <v>176</v>
      </c>
      <c r="J3" s="88"/>
      <c r="K3" s="11" t="s">
        <v>177</v>
      </c>
      <c r="L3" s="11" t="s">
        <v>178</v>
      </c>
      <c r="M3" s="98" t="s">
        <v>179</v>
      </c>
      <c r="N3" s="11" t="s">
        <v>180</v>
      </c>
      <c r="O3" s="11" t="s">
        <v>181</v>
      </c>
      <c r="P3" s="11" t="s">
        <v>182</v>
      </c>
      <c r="Q3" s="11" t="s">
        <v>183</v>
      </c>
      <c r="R3" s="11" t="s">
        <v>184</v>
      </c>
      <c r="S3" s="11" t="s">
        <v>185</v>
      </c>
      <c r="T3" s="12" t="s">
        <v>186</v>
      </c>
      <c r="U3" s="87"/>
      <c r="V3" s="87"/>
      <c r="W3" s="87"/>
      <c r="X3" s="87"/>
    </row>
    <row r="4">
      <c r="E4" s="82"/>
      <c r="F4" s="99"/>
      <c r="G4" s="100"/>
      <c r="H4" s="101" t="s">
        <v>187</v>
      </c>
      <c r="J4" s="96"/>
      <c r="K4" s="11" t="s">
        <v>188</v>
      </c>
      <c r="L4" s="11" t="s">
        <v>189</v>
      </c>
      <c r="M4" s="98" t="s">
        <v>190</v>
      </c>
      <c r="N4" s="11" t="s">
        <v>191</v>
      </c>
      <c r="O4" s="11" t="s">
        <v>188</v>
      </c>
      <c r="P4" s="11" t="s">
        <v>188</v>
      </c>
      <c r="Q4" s="11" t="s">
        <v>189</v>
      </c>
      <c r="R4" s="11" t="s">
        <v>190</v>
      </c>
      <c r="S4" s="11" t="s">
        <v>191</v>
      </c>
      <c r="T4" s="12" t="s">
        <v>192</v>
      </c>
      <c r="U4" s="87"/>
      <c r="V4" s="87"/>
      <c r="W4" s="87"/>
      <c r="X4" s="87"/>
    </row>
    <row r="5">
      <c r="E5" s="82"/>
      <c r="G5" s="102"/>
      <c r="H5" s="102"/>
      <c r="J5" s="96"/>
      <c r="K5" s="11">
        <v>1.0</v>
      </c>
      <c r="L5" s="11">
        <v>3.0</v>
      </c>
      <c r="M5" s="98">
        <v>12.0</v>
      </c>
      <c r="N5" s="11">
        <v>100.0</v>
      </c>
      <c r="O5" s="11">
        <v>12.0</v>
      </c>
      <c r="P5" s="11">
        <v>3.0</v>
      </c>
      <c r="Q5" s="11">
        <f t="shared" ref="Q5:Q8" si="1">L5*(O5/P5)</f>
        <v>12</v>
      </c>
      <c r="R5" s="11">
        <f t="shared" ref="R5:R8" si="2">P5*M5</f>
        <v>36</v>
      </c>
      <c r="S5" s="11">
        <f t="shared" ref="S5:S8" si="3">N5*P5</f>
        <v>300</v>
      </c>
      <c r="T5" s="103">
        <v>1200.0</v>
      </c>
      <c r="U5" s="87"/>
      <c r="V5" s="87"/>
      <c r="W5" s="87"/>
      <c r="X5" s="87"/>
    </row>
    <row r="6">
      <c r="E6" s="104" t="s">
        <v>193</v>
      </c>
      <c r="F6" s="105" t="s">
        <v>194</v>
      </c>
      <c r="G6" s="106" t="s">
        <v>195</v>
      </c>
      <c r="H6" s="107" t="s">
        <v>196</v>
      </c>
      <c r="J6" s="96"/>
      <c r="K6" s="11">
        <v>2.0</v>
      </c>
      <c r="L6" s="11">
        <v>3.0</v>
      </c>
      <c r="M6" s="98">
        <v>12.0</v>
      </c>
      <c r="N6" s="11">
        <v>100.0</v>
      </c>
      <c r="O6" s="11">
        <v>60.0</v>
      </c>
      <c r="P6" s="11">
        <v>10.0</v>
      </c>
      <c r="Q6" s="11">
        <f t="shared" si="1"/>
        <v>18</v>
      </c>
      <c r="R6" s="11">
        <f t="shared" si="2"/>
        <v>120</v>
      </c>
      <c r="S6" s="11">
        <f t="shared" si="3"/>
        <v>1000</v>
      </c>
      <c r="T6" s="103">
        <f t="shared" ref="T6:T8" si="4">S6*Q6</f>
        <v>18000</v>
      </c>
      <c r="U6" s="87"/>
      <c r="V6" s="87"/>
      <c r="W6" s="87"/>
      <c r="X6" s="87"/>
    </row>
    <row r="7">
      <c r="E7" s="108" t="s">
        <v>197</v>
      </c>
      <c r="F7" s="11" t="s">
        <v>198</v>
      </c>
      <c r="G7" s="102" t="s">
        <v>199</v>
      </c>
      <c r="H7" s="90" t="s">
        <v>200</v>
      </c>
      <c r="J7" s="96"/>
      <c r="K7" s="11">
        <v>3.0</v>
      </c>
      <c r="L7" s="11">
        <v>3.0</v>
      </c>
      <c r="M7" s="98">
        <v>12.0</v>
      </c>
      <c r="N7" s="11">
        <v>100.0</v>
      </c>
      <c r="O7" s="11">
        <v>12.0</v>
      </c>
      <c r="P7" s="11">
        <v>3.0</v>
      </c>
      <c r="Q7" s="11">
        <f t="shared" si="1"/>
        <v>12</v>
      </c>
      <c r="R7" s="11">
        <f t="shared" si="2"/>
        <v>36</v>
      </c>
      <c r="S7" s="11">
        <f t="shared" si="3"/>
        <v>300</v>
      </c>
      <c r="T7" s="103">
        <f t="shared" si="4"/>
        <v>3600</v>
      </c>
      <c r="U7" s="87"/>
      <c r="V7" s="87"/>
      <c r="W7" s="87"/>
      <c r="X7" s="87"/>
    </row>
    <row r="8">
      <c r="E8" s="109" t="s">
        <v>188</v>
      </c>
      <c r="F8" s="11"/>
      <c r="G8" s="102"/>
      <c r="H8" s="90"/>
      <c r="J8" s="99"/>
      <c r="K8" s="23">
        <v>4.0</v>
      </c>
      <c r="L8" s="23">
        <v>3.0</v>
      </c>
      <c r="M8" s="110">
        <v>12.0</v>
      </c>
      <c r="N8" s="23">
        <v>100.0</v>
      </c>
      <c r="O8" s="23">
        <v>12.0</v>
      </c>
      <c r="P8" s="23">
        <v>3.0</v>
      </c>
      <c r="Q8" s="23">
        <f t="shared" si="1"/>
        <v>12</v>
      </c>
      <c r="R8" s="23">
        <f t="shared" si="2"/>
        <v>36</v>
      </c>
      <c r="S8" s="23">
        <f t="shared" si="3"/>
        <v>300</v>
      </c>
      <c r="T8" s="111">
        <f t="shared" si="4"/>
        <v>3600</v>
      </c>
      <c r="U8" s="87"/>
      <c r="V8" s="87"/>
      <c r="W8" s="87"/>
      <c r="X8" s="87"/>
    </row>
    <row r="9">
      <c r="D9" s="1" t="s">
        <v>145</v>
      </c>
      <c r="E9" s="109">
        <v>1.0</v>
      </c>
      <c r="F9" s="112">
        <v>10000.0</v>
      </c>
      <c r="G9" s="113">
        <v>7.0E8</v>
      </c>
      <c r="H9" s="114">
        <v>46172.0</v>
      </c>
      <c r="J9" s="11"/>
      <c r="K9" s="11"/>
      <c r="L9" s="11"/>
      <c r="M9" s="98"/>
      <c r="N9" s="11"/>
      <c r="O9" s="11"/>
      <c r="P9" s="11"/>
      <c r="Q9" s="11"/>
      <c r="R9" s="11"/>
      <c r="S9" s="11"/>
      <c r="U9" s="87"/>
      <c r="V9" s="87"/>
      <c r="W9" s="87"/>
      <c r="X9" s="87"/>
      <c r="AB9" s="31" t="s">
        <v>201</v>
      </c>
      <c r="AE9" s="11" t="s">
        <v>202</v>
      </c>
      <c r="AF9" s="11"/>
    </row>
    <row r="10">
      <c r="D10" s="1" t="s">
        <v>146</v>
      </c>
      <c r="E10" s="109">
        <v>2.0</v>
      </c>
      <c r="F10" s="112">
        <v>500.0</v>
      </c>
      <c r="G10" s="113">
        <v>87.7</v>
      </c>
      <c r="H10" s="114">
        <v>46172.0</v>
      </c>
      <c r="J10" s="11"/>
      <c r="K10" s="11"/>
      <c r="L10" s="11"/>
      <c r="M10" s="98"/>
      <c r="N10" s="11"/>
      <c r="O10" s="11"/>
      <c r="P10" s="11"/>
      <c r="Q10" s="11"/>
      <c r="R10" s="11"/>
      <c r="S10" s="11"/>
      <c r="U10" s="87"/>
      <c r="V10" s="87"/>
      <c r="W10" s="87"/>
      <c r="X10" s="87"/>
      <c r="AB10" s="1" t="s">
        <v>203</v>
      </c>
      <c r="AC10" s="1" t="s">
        <v>203</v>
      </c>
      <c r="AD10" s="115">
        <v>46172.0</v>
      </c>
      <c r="AE10" s="1" t="s">
        <v>204</v>
      </c>
    </row>
    <row r="11">
      <c r="D11" s="1" t="s">
        <v>147</v>
      </c>
      <c r="E11" s="116">
        <v>3.0</v>
      </c>
      <c r="F11" s="117">
        <v>500.0</v>
      </c>
      <c r="G11" s="118">
        <v>87.7</v>
      </c>
      <c r="H11" s="119">
        <v>46172.0</v>
      </c>
      <c r="J11" s="11"/>
      <c r="K11" s="11"/>
      <c r="L11" s="11"/>
      <c r="M11" s="98"/>
      <c r="N11" s="11"/>
      <c r="O11" s="11"/>
      <c r="P11" s="11"/>
      <c r="Q11" s="11"/>
      <c r="R11" s="11"/>
      <c r="S11" s="11"/>
      <c r="U11" s="87"/>
      <c r="V11" s="87"/>
      <c r="W11" s="87"/>
      <c r="X11" s="87"/>
      <c r="AB11" s="1" t="s">
        <v>205</v>
      </c>
      <c r="AC11" s="1" t="s">
        <v>206</v>
      </c>
      <c r="AD11" s="115">
        <v>46519.0</v>
      </c>
    </row>
    <row r="12">
      <c r="E12" s="82"/>
      <c r="G12" s="79"/>
      <c r="H12" s="79"/>
      <c r="M12" s="86"/>
      <c r="U12" s="87"/>
      <c r="V12" s="87"/>
      <c r="W12" s="87"/>
      <c r="X12" s="87"/>
      <c r="AC12" s="1" t="s">
        <v>207</v>
      </c>
      <c r="AD12" s="115">
        <v>46642.0</v>
      </c>
    </row>
    <row r="13">
      <c r="E13" s="120" t="s">
        <v>208</v>
      </c>
      <c r="F13" s="121"/>
      <c r="G13" s="102"/>
      <c r="H13" s="79"/>
      <c r="M13" s="86"/>
      <c r="U13" s="87"/>
      <c r="V13" s="87"/>
      <c r="W13" s="87"/>
      <c r="X13" s="87"/>
      <c r="AC13" s="1" t="s">
        <v>206</v>
      </c>
      <c r="AD13" s="115">
        <v>46989.0</v>
      </c>
    </row>
    <row r="14">
      <c r="E14" s="109">
        <v>1.0</v>
      </c>
      <c r="F14" s="12" t="s">
        <v>209</v>
      </c>
      <c r="G14" s="102" t="s">
        <v>210</v>
      </c>
      <c r="H14" s="79"/>
      <c r="M14" s="86"/>
      <c r="U14" s="87"/>
      <c r="V14" s="87"/>
      <c r="W14" s="87"/>
      <c r="X14" s="87"/>
      <c r="AC14" s="1" t="s">
        <v>207</v>
      </c>
      <c r="AD14" s="115">
        <v>47219.0</v>
      </c>
    </row>
    <row r="15">
      <c r="E15" s="109">
        <v>2.0</v>
      </c>
      <c r="F15" s="12" t="s">
        <v>211</v>
      </c>
      <c r="G15" s="102" t="s">
        <v>210</v>
      </c>
      <c r="H15" s="79"/>
      <c r="M15" s="86"/>
      <c r="U15" s="87"/>
      <c r="V15" s="87"/>
      <c r="W15" s="87"/>
      <c r="X15" s="87"/>
      <c r="AC15" s="1" t="s">
        <v>206</v>
      </c>
      <c r="AD15" s="115">
        <v>49518.0</v>
      </c>
    </row>
    <row r="16">
      <c r="E16" s="109">
        <v>3.0</v>
      </c>
      <c r="F16" s="12" t="s">
        <v>212</v>
      </c>
      <c r="G16" s="102" t="s">
        <v>213</v>
      </c>
      <c r="H16" s="79"/>
      <c r="M16" s="86"/>
      <c r="U16" s="87"/>
      <c r="V16" s="87"/>
      <c r="W16" s="87"/>
      <c r="X16" s="87"/>
      <c r="AC16" s="1" t="s">
        <v>207</v>
      </c>
      <c r="AD16" s="115">
        <v>49978.0</v>
      </c>
    </row>
    <row r="17">
      <c r="E17" s="116">
        <v>4.0</v>
      </c>
      <c r="F17" s="24" t="s">
        <v>214</v>
      </c>
      <c r="G17" s="102" t="s">
        <v>215</v>
      </c>
      <c r="H17" s="79"/>
      <c r="M17" s="86"/>
      <c r="U17" s="87"/>
      <c r="V17" s="87"/>
      <c r="W17" s="87"/>
      <c r="X17" s="87"/>
      <c r="AC17" s="1" t="s">
        <v>216</v>
      </c>
      <c r="AD17" s="115">
        <v>50055.0</v>
      </c>
    </row>
    <row r="18">
      <c r="E18" s="82"/>
      <c r="F18" s="11"/>
      <c r="G18" s="102"/>
      <c r="H18" s="79"/>
      <c r="M18" s="86"/>
      <c r="U18" s="87"/>
      <c r="V18" s="87"/>
      <c r="W18" s="87"/>
      <c r="X18" s="87"/>
      <c r="AC18" s="1" t="s">
        <v>217</v>
      </c>
      <c r="AD18" s="115">
        <v>50354.0</v>
      </c>
    </row>
    <row r="19">
      <c r="A19" s="82"/>
      <c r="B19" s="122" t="s">
        <v>218</v>
      </c>
      <c r="C19" s="123"/>
      <c r="D19" s="124"/>
      <c r="E19" s="124"/>
      <c r="F19" s="124"/>
      <c r="G19" s="125"/>
      <c r="H19" s="125"/>
      <c r="I19" s="124"/>
      <c r="J19" s="126"/>
      <c r="K19" s="126"/>
      <c r="L19" s="126"/>
      <c r="M19" s="127"/>
      <c r="N19" s="126"/>
      <c r="O19" s="126"/>
      <c r="P19" s="126"/>
      <c r="Q19" s="126"/>
      <c r="R19" s="126"/>
      <c r="S19" s="126"/>
      <c r="T19" s="126"/>
      <c r="U19" s="128"/>
      <c r="V19" s="128"/>
      <c r="W19" s="128"/>
      <c r="X19" s="128"/>
      <c r="Y19" s="128"/>
      <c r="Z19" s="82"/>
      <c r="AA19" s="82"/>
      <c r="AC19" s="1" t="s">
        <v>219</v>
      </c>
      <c r="AD19" s="115"/>
      <c r="AE19" s="1" t="s">
        <v>220</v>
      </c>
    </row>
    <row r="20">
      <c r="A20" s="82"/>
      <c r="B20" s="82"/>
      <c r="C20" s="129"/>
      <c r="D20" s="129" t="s">
        <v>221</v>
      </c>
      <c r="E20" s="129" t="s">
        <v>222</v>
      </c>
      <c r="F20" s="129" t="s">
        <v>223</v>
      </c>
      <c r="G20" s="130" t="s">
        <v>224</v>
      </c>
      <c r="H20" s="130" t="s">
        <v>225</v>
      </c>
      <c r="I20" s="129" t="s">
        <v>226</v>
      </c>
      <c r="J20" s="129" t="s">
        <v>227</v>
      </c>
      <c r="K20" s="129" t="s">
        <v>228</v>
      </c>
      <c r="L20" s="129" t="s">
        <v>229</v>
      </c>
      <c r="M20" s="131" t="s">
        <v>230</v>
      </c>
      <c r="N20" s="129" t="s">
        <v>231</v>
      </c>
      <c r="O20" s="129" t="s">
        <v>232</v>
      </c>
      <c r="P20" s="129" t="s">
        <v>233</v>
      </c>
      <c r="Q20" s="129" t="s">
        <v>234</v>
      </c>
      <c r="R20" s="129" t="s">
        <v>235</v>
      </c>
      <c r="S20" s="129" t="s">
        <v>236</v>
      </c>
      <c r="T20" s="129" t="s">
        <v>237</v>
      </c>
      <c r="U20" s="129" t="s">
        <v>238</v>
      </c>
      <c r="V20" s="132" t="s">
        <v>239</v>
      </c>
      <c r="W20" s="132" t="s">
        <v>240</v>
      </c>
      <c r="X20" s="132" t="s">
        <v>241</v>
      </c>
      <c r="Y20" s="132" t="s">
        <v>242</v>
      </c>
      <c r="Z20" s="82"/>
      <c r="AA20" s="82"/>
      <c r="AB20" s="1" t="s">
        <v>243</v>
      </c>
      <c r="AC20" s="1" t="s">
        <v>244</v>
      </c>
    </row>
    <row r="21" ht="15.75" customHeight="1">
      <c r="A21" s="82"/>
      <c r="B21" s="129"/>
      <c r="C21" s="82"/>
      <c r="D21" s="82" t="s">
        <v>245</v>
      </c>
      <c r="E21" s="82" t="s">
        <v>188</v>
      </c>
      <c r="F21" s="82" t="s">
        <v>246</v>
      </c>
      <c r="G21" s="133" t="s">
        <v>200</v>
      </c>
      <c r="H21" s="133" t="s">
        <v>200</v>
      </c>
      <c r="I21" s="82" t="s">
        <v>198</v>
      </c>
      <c r="J21" s="82" t="s">
        <v>247</v>
      </c>
      <c r="K21" s="82" t="s">
        <v>248</v>
      </c>
      <c r="L21" s="82" t="s">
        <v>249</v>
      </c>
      <c r="M21" s="134" t="s">
        <v>250</v>
      </c>
      <c r="N21" s="82" t="s">
        <v>251</v>
      </c>
      <c r="O21" s="82" t="s">
        <v>192</v>
      </c>
      <c r="P21" s="82" t="s">
        <v>192</v>
      </c>
      <c r="Q21" s="82" t="s">
        <v>192</v>
      </c>
      <c r="R21" s="82" t="s">
        <v>198</v>
      </c>
      <c r="S21" s="82" t="s">
        <v>198</v>
      </c>
      <c r="T21" s="82" t="s">
        <v>192</v>
      </c>
      <c r="U21" s="82" t="s">
        <v>192</v>
      </c>
      <c r="V21" s="135" t="s">
        <v>252</v>
      </c>
      <c r="W21" s="135" t="s">
        <v>252</v>
      </c>
      <c r="X21" s="135" t="s">
        <v>252</v>
      </c>
      <c r="Y21" s="135" t="s">
        <v>252</v>
      </c>
      <c r="Z21" s="82"/>
      <c r="AA21" s="82"/>
      <c r="AC21" s="1" t="s">
        <v>253</v>
      </c>
      <c r="AE21" s="1" t="s">
        <v>254</v>
      </c>
    </row>
    <row r="22" ht="15.75" customHeight="1">
      <c r="A22" s="82"/>
      <c r="B22" s="129"/>
      <c r="C22" s="129"/>
      <c r="D22" s="129"/>
      <c r="E22" s="129"/>
      <c r="F22" s="82"/>
      <c r="G22" s="130"/>
      <c r="H22" s="130"/>
      <c r="I22" s="82"/>
      <c r="J22" s="129"/>
      <c r="K22" s="129"/>
      <c r="L22" s="82"/>
      <c r="M22" s="134"/>
      <c r="N22" s="129"/>
      <c r="O22" s="129"/>
      <c r="P22" s="82"/>
      <c r="Q22" s="129"/>
      <c r="R22" s="129"/>
      <c r="S22" s="82"/>
      <c r="T22" s="129"/>
      <c r="U22" s="82"/>
      <c r="V22" s="136">
        <v>1.0</v>
      </c>
      <c r="W22" s="136">
        <v>1.0</v>
      </c>
      <c r="X22" s="136">
        <v>1.0</v>
      </c>
      <c r="Y22" s="136">
        <v>1.0</v>
      </c>
      <c r="Z22" s="82" t="s">
        <v>255</v>
      </c>
      <c r="AA22" s="82"/>
      <c r="AC22" s="1" t="s">
        <v>256</v>
      </c>
    </row>
    <row r="23" ht="15.75" customHeight="1">
      <c r="A23" s="82"/>
      <c r="B23" s="82"/>
      <c r="C23" s="82" t="s">
        <v>203</v>
      </c>
      <c r="D23" s="82" t="s">
        <v>203</v>
      </c>
      <c r="E23" s="82">
        <v>0.0</v>
      </c>
      <c r="F23" s="82" t="s">
        <v>257</v>
      </c>
      <c r="G23" s="133">
        <v>46172.0</v>
      </c>
      <c r="H23" s="133">
        <v>46173.0</v>
      </c>
      <c r="I23" s="82">
        <v>0.0</v>
      </c>
      <c r="J23" s="82">
        <f t="shared" ref="J23:J57" si="5">(H23-G23)*24</f>
        <v>24</v>
      </c>
      <c r="K23" s="137">
        <f t="shared" ref="K23:K57" si="6">IF(AND(F23="NOT CHARGING",E23=2),0,IF(E23=1,$F$9*(1/2)^(N23/($G$9*365*24)),IF(E23=2,$F$9*(1/2)^(N23/($G$9*365*24)),IF(E23=3,$F$10*(1/2)^(N23/($G$10*365*24)),IF(E23=4,$F$11*(1/2)^(N23/($G$11*365*24)),0)))))</f>
        <v>0</v>
      </c>
      <c r="L23" s="137">
        <f t="shared" ref="L23:L57" si="7">$F$9*(1/2)^(N23/($G$9*365*24))+$F$10*(1/2)^(N23/($G$10*365*24))+$F$11*(1/2)^(N23/($G$11*365*24))</f>
        <v>10999.98917</v>
      </c>
      <c r="M23" s="137">
        <f t="shared" ref="M23:M57" si="8">H23-$G$23</f>
        <v>1</v>
      </c>
      <c r="N23" s="137">
        <f t="shared" ref="N23:N57" si="9">((G23-$H$9)+(H23-G23)/2)*24</f>
        <v>12</v>
      </c>
      <c r="O23" s="137">
        <f t="shared" ref="O23:O57" si="10">K23*J23</f>
        <v>0</v>
      </c>
      <c r="P23" s="137">
        <f t="shared" ref="P23:P57" si="11">L23*J23</f>
        <v>263999.7402</v>
      </c>
      <c r="Q23" s="137">
        <f t="shared" ref="Q23:Q25" si="12">J22*I22</f>
        <v>0</v>
      </c>
      <c r="R23" s="137">
        <f t="shared" ref="R23:R25" si="13">K22-I22</f>
        <v>0</v>
      </c>
      <c r="S23" s="137">
        <f t="shared" ref="S23:S25" si="14">L22-I22</f>
        <v>0</v>
      </c>
      <c r="T23" s="137">
        <f t="shared" ref="T23:T25" si="15">O22-Q23</f>
        <v>0</v>
      </c>
      <c r="U23" s="137">
        <f t="shared" ref="U23:U25" si="16">P22-Q23</f>
        <v>0</v>
      </c>
      <c r="V23" s="138">
        <f t="shared" ref="V23:V57" si="17">IF(E23=1,IF(T23&lt;0,V22-((-T23)/$T$5),IF(V22+((T23)/$T$5)&gt;1,1,V22+((T23)/$T$5))),V22)</f>
        <v>1</v>
      </c>
      <c r="W23" s="138">
        <f t="shared" ref="W23:W57" si="18">IF(E23=2,IF(T23&lt;0,W22-((-T23)/$T$6),IF(F22="CHARGING",IF(W22+((T23)/$T$6)&gt;1,1,W22+((T23)/$T$6)),W22)),W22)</f>
        <v>1</v>
      </c>
      <c r="X23" s="138">
        <f t="shared" ref="X23:X57" si="19">IF(E22=3,IF(T23&lt;0,X22-((-T23)/$T$7),IF(X22+((T23)/$T$7)&gt;1,1,X22+((T23)/$T$7))),X22)</f>
        <v>1</v>
      </c>
      <c r="Y23" s="138">
        <f t="shared" ref="Y23:Y57" si="20">IF(E22=4,IF(T23&lt;0,Y22-((-T23)/$T$8),IF(Y22+((T23)/$T$8)&gt;1,1,Y22+((T23)/$T$8))),Y22)</f>
        <v>1</v>
      </c>
      <c r="Z23" s="82"/>
      <c r="AA23" s="82"/>
      <c r="AC23" s="1" t="s">
        <v>258</v>
      </c>
      <c r="AE23" s="1" t="s">
        <v>259</v>
      </c>
    </row>
    <row r="24" ht="15.75" customHeight="1">
      <c r="A24" s="82"/>
      <c r="B24" s="82"/>
      <c r="C24" s="82"/>
      <c r="D24" s="82" t="s">
        <v>260</v>
      </c>
      <c r="E24" s="82">
        <v>1.0</v>
      </c>
      <c r="F24" s="82" t="s">
        <v>257</v>
      </c>
      <c r="G24" s="133">
        <f>G23+X94</f>
        <v>46177.25927</v>
      </c>
      <c r="H24" s="133">
        <f>G24+13/86400</f>
        <v>46177.25942</v>
      </c>
      <c r="I24" s="82">
        <f>I25+28.4</f>
        <v>2297.93</v>
      </c>
      <c r="J24" s="82">
        <f t="shared" si="5"/>
        <v>0.003611111082</v>
      </c>
      <c r="K24" s="137">
        <f t="shared" si="6"/>
        <v>10000</v>
      </c>
      <c r="L24" s="137">
        <f t="shared" si="7"/>
        <v>10999.88612</v>
      </c>
      <c r="M24" s="137">
        <f t="shared" si="8"/>
        <v>5.259422028</v>
      </c>
      <c r="N24" s="137">
        <f t="shared" si="9"/>
        <v>126.2243231</v>
      </c>
      <c r="O24" s="137">
        <f t="shared" si="10"/>
        <v>36.11111082</v>
      </c>
      <c r="P24" s="137">
        <f t="shared" si="11"/>
        <v>39.72181068</v>
      </c>
      <c r="Q24" s="137">
        <f t="shared" si="12"/>
        <v>0</v>
      </c>
      <c r="R24" s="137">
        <f t="shared" si="13"/>
        <v>0</v>
      </c>
      <c r="S24" s="137">
        <f t="shared" si="14"/>
        <v>10999.98917</v>
      </c>
      <c r="T24" s="137">
        <f t="shared" si="15"/>
        <v>0</v>
      </c>
      <c r="U24" s="137">
        <f t="shared" si="16"/>
        <v>263999.7402</v>
      </c>
      <c r="V24" s="138">
        <f t="shared" si="17"/>
        <v>1</v>
      </c>
      <c r="W24" s="138">
        <f t="shared" si="18"/>
        <v>1</v>
      </c>
      <c r="X24" s="138">
        <f t="shared" si="19"/>
        <v>1</v>
      </c>
      <c r="Y24" s="138">
        <f t="shared" si="20"/>
        <v>1</v>
      </c>
      <c r="Z24" s="82"/>
      <c r="AA24" s="82"/>
    </row>
    <row r="25" ht="15.75" customHeight="1">
      <c r="A25" s="82"/>
      <c r="B25" s="82"/>
      <c r="C25" s="82"/>
      <c r="D25" s="82" t="s">
        <v>261</v>
      </c>
      <c r="E25" s="82">
        <v>1.0</v>
      </c>
      <c r="F25" s="82" t="s">
        <v>257</v>
      </c>
      <c r="G25" s="133">
        <v>46173.0</v>
      </c>
      <c r="H25" s="133">
        <v>46519.0</v>
      </c>
      <c r="I25" s="82">
        <v>2269.53</v>
      </c>
      <c r="J25" s="82">
        <f t="shared" si="5"/>
        <v>8304</v>
      </c>
      <c r="K25" s="137">
        <f t="shared" si="6"/>
        <v>9999.999995</v>
      </c>
      <c r="L25" s="137">
        <f t="shared" si="7"/>
        <v>10996.23933</v>
      </c>
      <c r="M25" s="137">
        <f t="shared" si="8"/>
        <v>347</v>
      </c>
      <c r="N25" s="137">
        <f t="shared" si="9"/>
        <v>4176</v>
      </c>
      <c r="O25" s="137">
        <f t="shared" si="10"/>
        <v>83039999.96</v>
      </c>
      <c r="P25" s="137">
        <f t="shared" si="11"/>
        <v>91312771.42</v>
      </c>
      <c r="Q25" s="137">
        <f t="shared" si="12"/>
        <v>8.298080489</v>
      </c>
      <c r="R25" s="137">
        <f t="shared" si="13"/>
        <v>7702.07</v>
      </c>
      <c r="S25" s="137">
        <f t="shared" si="14"/>
        <v>8701.956122</v>
      </c>
      <c r="T25" s="137">
        <f t="shared" si="15"/>
        <v>27.81303033</v>
      </c>
      <c r="U25" s="137">
        <f t="shared" si="16"/>
        <v>31.42373019</v>
      </c>
      <c r="V25" s="138">
        <f t="shared" si="17"/>
        <v>1</v>
      </c>
      <c r="W25" s="138">
        <f t="shared" si="18"/>
        <v>1</v>
      </c>
      <c r="X25" s="138">
        <f t="shared" si="19"/>
        <v>1</v>
      </c>
      <c r="Y25" s="138">
        <f t="shared" si="20"/>
        <v>1</v>
      </c>
      <c r="Z25" s="82"/>
      <c r="AA25" s="82"/>
      <c r="AB25" s="1" t="s">
        <v>262</v>
      </c>
      <c r="AC25" s="1" t="s">
        <v>263</v>
      </c>
    </row>
    <row r="26" ht="15.75" customHeight="1">
      <c r="A26" s="82"/>
      <c r="B26" s="82"/>
      <c r="C26" s="82"/>
      <c r="D26" s="82" t="s">
        <v>264</v>
      </c>
      <c r="E26" s="82">
        <v>1.0</v>
      </c>
      <c r="F26" s="82" t="s">
        <v>257</v>
      </c>
      <c r="G26" s="133">
        <v>46519.0</v>
      </c>
      <c r="H26" s="133">
        <v>46642.0</v>
      </c>
      <c r="I26" s="82">
        <v>7546.53</v>
      </c>
      <c r="J26" s="82">
        <f t="shared" si="5"/>
        <v>2952</v>
      </c>
      <c r="K26" s="137">
        <f t="shared" si="6"/>
        <v>9999.999989</v>
      </c>
      <c r="L26" s="137">
        <f t="shared" si="7"/>
        <v>10991.19344</v>
      </c>
      <c r="M26" s="137">
        <f t="shared" si="8"/>
        <v>470</v>
      </c>
      <c r="N26" s="137">
        <f t="shared" si="9"/>
        <v>9804</v>
      </c>
      <c r="O26" s="137">
        <f t="shared" si="10"/>
        <v>29519999.97</v>
      </c>
      <c r="P26" s="137">
        <f t="shared" si="11"/>
        <v>32446003.04</v>
      </c>
      <c r="Q26" s="137">
        <f t="shared" ref="Q26:Q57" si="21">J26*I26</f>
        <v>22277356.56</v>
      </c>
      <c r="R26" s="137">
        <f t="shared" ref="R26:R57" si="22">K26-I26</f>
        <v>2453.469989</v>
      </c>
      <c r="S26" s="137">
        <f t="shared" ref="S26:S57" si="23">L26-I26</f>
        <v>3444.663441</v>
      </c>
      <c r="T26" s="137">
        <f t="shared" ref="T26:T57" si="24">O26-Q26</f>
        <v>7242643.407</v>
      </c>
      <c r="U26" s="137">
        <f t="shared" ref="U26:U57" si="25">P26-Q26</f>
        <v>10168646.48</v>
      </c>
      <c r="V26" s="138">
        <f t="shared" si="17"/>
        <v>1</v>
      </c>
      <c r="W26" s="138">
        <f t="shared" si="18"/>
        <v>1</v>
      </c>
      <c r="X26" s="138">
        <f t="shared" si="19"/>
        <v>1</v>
      </c>
      <c r="Y26" s="138">
        <f t="shared" si="20"/>
        <v>1</v>
      </c>
      <c r="Z26" s="82"/>
      <c r="AA26" s="82"/>
      <c r="AC26" s="1" t="s">
        <v>265</v>
      </c>
    </row>
    <row r="27" ht="15.75" customHeight="1">
      <c r="A27" s="82"/>
      <c r="B27" s="82"/>
      <c r="C27" s="82"/>
      <c r="D27" s="82" t="s">
        <v>261</v>
      </c>
      <c r="E27" s="82">
        <v>1.0</v>
      </c>
      <c r="F27" s="82" t="s">
        <v>257</v>
      </c>
      <c r="G27" s="133">
        <v>46642.0</v>
      </c>
      <c r="H27" s="133">
        <v>46989.0</v>
      </c>
      <c r="I27" s="82">
        <v>2269.53</v>
      </c>
      <c r="J27" s="82">
        <f t="shared" si="5"/>
        <v>8328</v>
      </c>
      <c r="K27" s="137">
        <f t="shared" si="6"/>
        <v>9999.999983</v>
      </c>
      <c r="L27" s="137">
        <f t="shared" si="7"/>
        <v>10986.16243</v>
      </c>
      <c r="M27" s="137">
        <f t="shared" si="8"/>
        <v>817</v>
      </c>
      <c r="N27" s="137">
        <f t="shared" si="9"/>
        <v>15444</v>
      </c>
      <c r="O27" s="137">
        <f t="shared" si="10"/>
        <v>83279999.85</v>
      </c>
      <c r="P27" s="137">
        <f t="shared" si="11"/>
        <v>91492760.71</v>
      </c>
      <c r="Q27" s="137">
        <f t="shared" si="21"/>
        <v>18900645.84</v>
      </c>
      <c r="R27" s="137">
        <f t="shared" si="22"/>
        <v>7730.469983</v>
      </c>
      <c r="S27" s="137">
        <f t="shared" si="23"/>
        <v>8716.63243</v>
      </c>
      <c r="T27" s="137">
        <f t="shared" si="24"/>
        <v>64379354.01</v>
      </c>
      <c r="U27" s="137">
        <f t="shared" si="25"/>
        <v>72592114.87</v>
      </c>
      <c r="V27" s="138">
        <f t="shared" si="17"/>
        <v>1</v>
      </c>
      <c r="W27" s="138">
        <f t="shared" si="18"/>
        <v>1</v>
      </c>
      <c r="X27" s="138">
        <f t="shared" si="19"/>
        <v>1</v>
      </c>
      <c r="Y27" s="138">
        <f t="shared" si="20"/>
        <v>1</v>
      </c>
      <c r="Z27" s="82"/>
      <c r="AA27" s="82"/>
      <c r="AC27" s="1" t="s">
        <v>266</v>
      </c>
    </row>
    <row r="28" ht="15.75" customHeight="1">
      <c r="A28" s="82"/>
      <c r="B28" s="82"/>
      <c r="C28" s="82"/>
      <c r="D28" s="82" t="s">
        <v>267</v>
      </c>
      <c r="E28" s="82">
        <v>1.0</v>
      </c>
      <c r="F28" s="82" t="s">
        <v>257</v>
      </c>
      <c r="G28" s="133">
        <v>46989.0</v>
      </c>
      <c r="H28" s="133">
        <v>47219.0</v>
      </c>
      <c r="I28" s="82">
        <v>7546.53</v>
      </c>
      <c r="J28" s="82">
        <f t="shared" si="5"/>
        <v>5520</v>
      </c>
      <c r="K28" s="137">
        <f t="shared" si="6"/>
        <v>9999.999975</v>
      </c>
      <c r="L28" s="137">
        <f t="shared" si="7"/>
        <v>10980.02096</v>
      </c>
      <c r="M28" s="137">
        <f t="shared" si="8"/>
        <v>1047</v>
      </c>
      <c r="N28" s="137">
        <f t="shared" si="9"/>
        <v>22368</v>
      </c>
      <c r="O28" s="137">
        <f t="shared" si="10"/>
        <v>55199999.86</v>
      </c>
      <c r="P28" s="137">
        <f t="shared" si="11"/>
        <v>60609715.72</v>
      </c>
      <c r="Q28" s="137">
        <f t="shared" si="21"/>
        <v>41656845.6</v>
      </c>
      <c r="R28" s="137">
        <f t="shared" si="22"/>
        <v>2453.469975</v>
      </c>
      <c r="S28" s="137">
        <f t="shared" si="23"/>
        <v>3433.490964</v>
      </c>
      <c r="T28" s="137">
        <f t="shared" si="24"/>
        <v>13543154.26</v>
      </c>
      <c r="U28" s="137">
        <f t="shared" si="25"/>
        <v>18952870.12</v>
      </c>
      <c r="V28" s="138">
        <f t="shared" si="17"/>
        <v>1</v>
      </c>
      <c r="W28" s="138">
        <f t="shared" si="18"/>
        <v>1</v>
      </c>
      <c r="X28" s="138">
        <f t="shared" si="19"/>
        <v>1</v>
      </c>
      <c r="Y28" s="138">
        <f t="shared" si="20"/>
        <v>1</v>
      </c>
      <c r="Z28" s="82"/>
      <c r="AA28" s="82"/>
      <c r="AC28" s="1" t="s">
        <v>268</v>
      </c>
    </row>
    <row r="29" ht="15.75" customHeight="1">
      <c r="A29" s="82"/>
      <c r="B29" s="82"/>
      <c r="C29" s="82"/>
      <c r="D29" s="82" t="s">
        <v>261</v>
      </c>
      <c r="E29" s="82">
        <v>1.0</v>
      </c>
      <c r="F29" s="82" t="s">
        <v>257</v>
      </c>
      <c r="G29" s="133">
        <v>47219.0</v>
      </c>
      <c r="H29" s="133">
        <v>49518.0</v>
      </c>
      <c r="I29" s="82">
        <v>2269.53</v>
      </c>
      <c r="J29" s="82">
        <f t="shared" si="5"/>
        <v>55176</v>
      </c>
      <c r="K29" s="137">
        <f t="shared" si="6"/>
        <v>9999.99994</v>
      </c>
      <c r="L29" s="137">
        <f t="shared" si="7"/>
        <v>10953.55086</v>
      </c>
      <c r="M29" s="137">
        <f t="shared" si="8"/>
        <v>3346</v>
      </c>
      <c r="N29" s="137">
        <f t="shared" si="9"/>
        <v>52716</v>
      </c>
      <c r="O29" s="137">
        <f t="shared" si="10"/>
        <v>551759996.7</v>
      </c>
      <c r="P29" s="137">
        <f t="shared" si="11"/>
        <v>604373122.4</v>
      </c>
      <c r="Q29" s="137">
        <f t="shared" si="21"/>
        <v>125223587.3</v>
      </c>
      <c r="R29" s="137">
        <f t="shared" si="22"/>
        <v>7730.46994</v>
      </c>
      <c r="S29" s="137">
        <f t="shared" si="23"/>
        <v>8684.020863</v>
      </c>
      <c r="T29" s="137">
        <f t="shared" si="24"/>
        <v>426536409.4</v>
      </c>
      <c r="U29" s="137">
        <f t="shared" si="25"/>
        <v>479149535.1</v>
      </c>
      <c r="V29" s="138">
        <f t="shared" si="17"/>
        <v>1</v>
      </c>
      <c r="W29" s="138">
        <f t="shared" si="18"/>
        <v>1</v>
      </c>
      <c r="X29" s="138">
        <f t="shared" si="19"/>
        <v>1</v>
      </c>
      <c r="Y29" s="138">
        <f t="shared" si="20"/>
        <v>1</v>
      </c>
      <c r="Z29" s="82"/>
      <c r="AA29" s="82"/>
      <c r="AC29" s="1" t="s">
        <v>269</v>
      </c>
    </row>
    <row r="30" ht="15.75" customHeight="1">
      <c r="A30" s="82"/>
      <c r="B30" s="82"/>
      <c r="C30" s="82"/>
      <c r="D30" s="82" t="s">
        <v>270</v>
      </c>
      <c r="E30" s="82">
        <v>1.0</v>
      </c>
      <c r="F30" s="82" t="s">
        <v>257</v>
      </c>
      <c r="G30" s="133">
        <v>49518.0</v>
      </c>
      <c r="H30" s="133">
        <v>49978.0</v>
      </c>
      <c r="I30" s="82">
        <v>7546.53</v>
      </c>
      <c r="J30" s="82">
        <f t="shared" si="5"/>
        <v>11040</v>
      </c>
      <c r="K30" s="137">
        <f t="shared" si="6"/>
        <v>9999.999903</v>
      </c>
      <c r="L30" s="137">
        <f t="shared" si="7"/>
        <v>10925.4882</v>
      </c>
      <c r="M30" s="137">
        <f t="shared" si="8"/>
        <v>3806</v>
      </c>
      <c r="N30" s="137">
        <f t="shared" si="9"/>
        <v>85824</v>
      </c>
      <c r="O30" s="137">
        <f t="shared" si="10"/>
        <v>110399998.9</v>
      </c>
      <c r="P30" s="137">
        <f t="shared" si="11"/>
        <v>120617389.8</v>
      </c>
      <c r="Q30" s="137">
        <f t="shared" si="21"/>
        <v>83313691.2</v>
      </c>
      <c r="R30" s="137">
        <f t="shared" si="22"/>
        <v>2453.469903</v>
      </c>
      <c r="S30" s="137">
        <f t="shared" si="23"/>
        <v>3378.958202</v>
      </c>
      <c r="T30" s="137">
        <f t="shared" si="24"/>
        <v>27086307.73</v>
      </c>
      <c r="U30" s="137">
        <f t="shared" si="25"/>
        <v>37303698.55</v>
      </c>
      <c r="V30" s="138">
        <f t="shared" si="17"/>
        <v>1</v>
      </c>
      <c r="W30" s="138">
        <f t="shared" si="18"/>
        <v>1</v>
      </c>
      <c r="X30" s="138">
        <f t="shared" si="19"/>
        <v>1</v>
      </c>
      <c r="Y30" s="138">
        <f t="shared" si="20"/>
        <v>1</v>
      </c>
      <c r="Z30" s="82"/>
      <c r="AA30" s="82"/>
      <c r="AC30" s="1" t="s">
        <v>271</v>
      </c>
      <c r="AE30" s="1" t="s">
        <v>272</v>
      </c>
    </row>
    <row r="31" ht="15.75" customHeight="1">
      <c r="A31" s="82"/>
      <c r="B31" s="82"/>
      <c r="C31" s="82"/>
      <c r="D31" s="82" t="s">
        <v>273</v>
      </c>
      <c r="E31" s="82">
        <v>1.0</v>
      </c>
      <c r="F31" s="82" t="s">
        <v>257</v>
      </c>
      <c r="G31" s="133">
        <v>50055.0</v>
      </c>
      <c r="H31" s="133">
        <v>50354.0</v>
      </c>
      <c r="I31" s="82">
        <v>7546.53</v>
      </c>
      <c r="J31" s="82">
        <f t="shared" si="5"/>
        <v>7176</v>
      </c>
      <c r="K31" s="137">
        <f t="shared" si="6"/>
        <v>9999.999891</v>
      </c>
      <c r="L31" s="137">
        <f t="shared" si="7"/>
        <v>10916.38487</v>
      </c>
      <c r="M31" s="137">
        <f t="shared" si="8"/>
        <v>4182</v>
      </c>
      <c r="N31" s="137">
        <f t="shared" si="9"/>
        <v>96780</v>
      </c>
      <c r="O31" s="137">
        <f t="shared" si="10"/>
        <v>71759999.21</v>
      </c>
      <c r="P31" s="137">
        <f t="shared" si="11"/>
        <v>78335977.8</v>
      </c>
      <c r="Q31" s="137">
        <f t="shared" si="21"/>
        <v>54153899.28</v>
      </c>
      <c r="R31" s="137">
        <f t="shared" si="22"/>
        <v>2453.469891</v>
      </c>
      <c r="S31" s="137">
        <f t="shared" si="23"/>
        <v>3369.854866</v>
      </c>
      <c r="T31" s="137">
        <f t="shared" si="24"/>
        <v>17606099.93</v>
      </c>
      <c r="U31" s="137">
        <f t="shared" si="25"/>
        <v>24182078.52</v>
      </c>
      <c r="V31" s="138">
        <f t="shared" si="17"/>
        <v>1</v>
      </c>
      <c r="W31" s="138">
        <f t="shared" si="18"/>
        <v>1</v>
      </c>
      <c r="X31" s="138">
        <f t="shared" si="19"/>
        <v>1</v>
      </c>
      <c r="Y31" s="138">
        <f t="shared" si="20"/>
        <v>1</v>
      </c>
      <c r="Z31" s="82"/>
      <c r="AA31" s="82"/>
      <c r="AC31" s="1" t="s">
        <v>274</v>
      </c>
      <c r="AE31" s="1" t="s">
        <v>275</v>
      </c>
    </row>
    <row r="32" ht="15.75" customHeight="1">
      <c r="A32" s="82"/>
      <c r="B32" s="82"/>
      <c r="C32" s="11" t="s">
        <v>243</v>
      </c>
      <c r="D32" s="82" t="s">
        <v>276</v>
      </c>
      <c r="E32" s="82">
        <v>1.0</v>
      </c>
      <c r="F32" s="82" t="s">
        <v>257</v>
      </c>
      <c r="G32" s="133">
        <v>50354.0</v>
      </c>
      <c r="H32" s="133">
        <v>50389.0</v>
      </c>
      <c r="I32" s="82">
        <v>2269.53</v>
      </c>
      <c r="J32" s="82">
        <f t="shared" si="5"/>
        <v>840</v>
      </c>
      <c r="K32" s="137">
        <f t="shared" si="6"/>
        <v>9999.999886</v>
      </c>
      <c r="L32" s="137">
        <f t="shared" si="7"/>
        <v>10913.07704</v>
      </c>
      <c r="M32" s="137">
        <f t="shared" si="8"/>
        <v>4217</v>
      </c>
      <c r="N32" s="137">
        <f t="shared" si="9"/>
        <v>100788</v>
      </c>
      <c r="O32" s="137">
        <f t="shared" si="10"/>
        <v>8399999.904</v>
      </c>
      <c r="P32" s="137">
        <f t="shared" si="11"/>
        <v>9166984.711</v>
      </c>
      <c r="Q32" s="137">
        <f t="shared" si="21"/>
        <v>1906405.2</v>
      </c>
      <c r="R32" s="137">
        <f t="shared" si="22"/>
        <v>7730.469886</v>
      </c>
      <c r="S32" s="137">
        <f t="shared" si="23"/>
        <v>8643.547037</v>
      </c>
      <c r="T32" s="137">
        <f t="shared" si="24"/>
        <v>6493594.704</v>
      </c>
      <c r="U32" s="137">
        <f t="shared" si="25"/>
        <v>7260579.511</v>
      </c>
      <c r="V32" s="138">
        <f t="shared" si="17"/>
        <v>1</v>
      </c>
      <c r="W32" s="138">
        <f t="shared" si="18"/>
        <v>1</v>
      </c>
      <c r="X32" s="138">
        <f t="shared" si="19"/>
        <v>1</v>
      </c>
      <c r="Y32" s="138">
        <f t="shared" si="20"/>
        <v>1</v>
      </c>
      <c r="Z32" s="82"/>
      <c r="AA32" s="82"/>
    </row>
    <row r="33" ht="15.75" customHeight="1">
      <c r="A33" s="82"/>
      <c r="B33" s="82"/>
      <c r="C33" s="82"/>
      <c r="D33" s="82" t="s">
        <v>244</v>
      </c>
      <c r="E33" s="82">
        <v>1.0</v>
      </c>
      <c r="F33" s="82" t="s">
        <v>257</v>
      </c>
      <c r="G33" s="133">
        <v>50389.0</v>
      </c>
      <c r="H33" s="133">
        <v>50390.0</v>
      </c>
      <c r="I33" s="82">
        <v>1913.41</v>
      </c>
      <c r="J33" s="82">
        <f t="shared" si="5"/>
        <v>24</v>
      </c>
      <c r="K33" s="137">
        <f t="shared" si="6"/>
        <v>9999.999886</v>
      </c>
      <c r="L33" s="137">
        <f t="shared" si="7"/>
        <v>10912.72122</v>
      </c>
      <c r="M33" s="137">
        <f t="shared" si="8"/>
        <v>4218</v>
      </c>
      <c r="N33" s="137">
        <f t="shared" si="9"/>
        <v>101220</v>
      </c>
      <c r="O33" s="137">
        <f t="shared" si="10"/>
        <v>239999.9973</v>
      </c>
      <c r="P33" s="137">
        <f t="shared" si="11"/>
        <v>261905.3092</v>
      </c>
      <c r="Q33" s="137">
        <f t="shared" si="21"/>
        <v>45921.84</v>
      </c>
      <c r="R33" s="137">
        <f t="shared" si="22"/>
        <v>8086.589886</v>
      </c>
      <c r="S33" s="137">
        <f t="shared" si="23"/>
        <v>8999.311218</v>
      </c>
      <c r="T33" s="137">
        <f t="shared" si="24"/>
        <v>194078.1573</v>
      </c>
      <c r="U33" s="137">
        <f t="shared" si="25"/>
        <v>215983.4692</v>
      </c>
      <c r="V33" s="138">
        <f t="shared" si="17"/>
        <v>1</v>
      </c>
      <c r="W33" s="138">
        <f t="shared" si="18"/>
        <v>1</v>
      </c>
      <c r="X33" s="138">
        <f t="shared" si="19"/>
        <v>1</v>
      </c>
      <c r="Y33" s="138">
        <f t="shared" si="20"/>
        <v>1</v>
      </c>
      <c r="Z33" s="82"/>
      <c r="AA33" s="82"/>
      <c r="AC33" s="1" t="s">
        <v>219</v>
      </c>
      <c r="AE33" s="1" t="s">
        <v>277</v>
      </c>
    </row>
    <row r="34" ht="15.75" customHeight="1">
      <c r="A34" s="82"/>
      <c r="B34" s="82"/>
      <c r="C34" s="11"/>
      <c r="D34" s="82" t="s">
        <v>253</v>
      </c>
      <c r="E34" s="82">
        <v>1.0</v>
      </c>
      <c r="F34" s="82" t="s">
        <v>257</v>
      </c>
      <c r="G34" s="133">
        <v>50390.0</v>
      </c>
      <c r="H34" s="133">
        <v>50391.0</v>
      </c>
      <c r="I34" s="82">
        <v>1913.41</v>
      </c>
      <c r="J34" s="82">
        <f t="shared" si="5"/>
        <v>24</v>
      </c>
      <c r="K34" s="137">
        <f t="shared" si="6"/>
        <v>9999.999886</v>
      </c>
      <c r="L34" s="137">
        <f t="shared" si="7"/>
        <v>10912.70145</v>
      </c>
      <c r="M34" s="137">
        <f t="shared" si="8"/>
        <v>4219</v>
      </c>
      <c r="N34" s="137">
        <f t="shared" si="9"/>
        <v>101244</v>
      </c>
      <c r="O34" s="137">
        <f t="shared" si="10"/>
        <v>239999.9973</v>
      </c>
      <c r="P34" s="137">
        <f t="shared" si="11"/>
        <v>261904.8349</v>
      </c>
      <c r="Q34" s="137">
        <f t="shared" si="21"/>
        <v>45921.84</v>
      </c>
      <c r="R34" s="137">
        <f t="shared" si="22"/>
        <v>8086.589886</v>
      </c>
      <c r="S34" s="137">
        <f t="shared" si="23"/>
        <v>8999.291455</v>
      </c>
      <c r="T34" s="137">
        <f t="shared" si="24"/>
        <v>194078.1573</v>
      </c>
      <c r="U34" s="137">
        <f t="shared" si="25"/>
        <v>215982.9949</v>
      </c>
      <c r="V34" s="138">
        <f t="shared" si="17"/>
        <v>1</v>
      </c>
      <c r="W34" s="138">
        <f t="shared" si="18"/>
        <v>1</v>
      </c>
      <c r="X34" s="138">
        <f t="shared" si="19"/>
        <v>1</v>
      </c>
      <c r="Y34" s="138">
        <f t="shared" si="20"/>
        <v>1</v>
      </c>
      <c r="Z34" s="82"/>
      <c r="AA34" s="82"/>
      <c r="AB34" s="1" t="s">
        <v>278</v>
      </c>
      <c r="AC34" s="1" t="s">
        <v>279</v>
      </c>
    </row>
    <row r="35" ht="15.75" customHeight="1">
      <c r="C35" s="11"/>
      <c r="D35" s="82" t="s">
        <v>256</v>
      </c>
      <c r="E35" s="82">
        <v>1.0</v>
      </c>
      <c r="F35" s="82" t="s">
        <v>257</v>
      </c>
      <c r="G35" s="133">
        <v>50391.0</v>
      </c>
      <c r="H35" s="133">
        <v>50392.0</v>
      </c>
      <c r="I35" s="82">
        <v>1913.41</v>
      </c>
      <c r="J35" s="82">
        <f t="shared" si="5"/>
        <v>24</v>
      </c>
      <c r="K35" s="137">
        <f t="shared" si="6"/>
        <v>9999.999886</v>
      </c>
      <c r="L35" s="137">
        <f t="shared" si="7"/>
        <v>10912.68169</v>
      </c>
      <c r="M35" s="137">
        <f t="shared" si="8"/>
        <v>4220</v>
      </c>
      <c r="N35" s="137">
        <f t="shared" si="9"/>
        <v>101268</v>
      </c>
      <c r="O35" s="137">
        <f t="shared" si="10"/>
        <v>239999.9973</v>
      </c>
      <c r="P35" s="137">
        <f t="shared" si="11"/>
        <v>261904.3606</v>
      </c>
      <c r="Q35" s="137">
        <f t="shared" si="21"/>
        <v>45921.84</v>
      </c>
      <c r="R35" s="137">
        <f t="shared" si="22"/>
        <v>8086.589886</v>
      </c>
      <c r="S35" s="137">
        <f t="shared" si="23"/>
        <v>8999.271692</v>
      </c>
      <c r="T35" s="137">
        <f t="shared" si="24"/>
        <v>194078.1573</v>
      </c>
      <c r="U35" s="137">
        <f t="shared" si="25"/>
        <v>215982.5206</v>
      </c>
      <c r="V35" s="138">
        <f t="shared" si="17"/>
        <v>1</v>
      </c>
      <c r="W35" s="138">
        <f t="shared" si="18"/>
        <v>1</v>
      </c>
      <c r="X35" s="138">
        <f t="shared" si="19"/>
        <v>1</v>
      </c>
      <c r="Y35" s="138">
        <f t="shared" si="20"/>
        <v>1</v>
      </c>
      <c r="AC35" s="1" t="s">
        <v>280</v>
      </c>
    </row>
    <row r="36" ht="15.75" customHeight="1">
      <c r="C36" s="11"/>
      <c r="D36" s="82" t="s">
        <v>281</v>
      </c>
      <c r="E36" s="82">
        <v>1.0</v>
      </c>
      <c r="F36" s="82" t="s">
        <v>257</v>
      </c>
      <c r="G36" s="133">
        <v>50392.0</v>
      </c>
      <c r="H36" s="133">
        <v>50393.0</v>
      </c>
      <c r="I36" s="82">
        <v>1913.41</v>
      </c>
      <c r="J36" s="82">
        <f t="shared" si="5"/>
        <v>24</v>
      </c>
      <c r="K36" s="137">
        <f t="shared" si="6"/>
        <v>9999.999886</v>
      </c>
      <c r="L36" s="137">
        <f t="shared" si="7"/>
        <v>10912.66193</v>
      </c>
      <c r="M36" s="137">
        <f t="shared" si="8"/>
        <v>4221</v>
      </c>
      <c r="N36" s="137">
        <f t="shared" si="9"/>
        <v>101292</v>
      </c>
      <c r="O36" s="137">
        <f t="shared" si="10"/>
        <v>239999.9973</v>
      </c>
      <c r="P36" s="137">
        <f t="shared" si="11"/>
        <v>261903.8863</v>
      </c>
      <c r="Q36" s="137">
        <f t="shared" si="21"/>
        <v>45921.84</v>
      </c>
      <c r="R36" s="137">
        <f t="shared" si="22"/>
        <v>8086.589886</v>
      </c>
      <c r="S36" s="137">
        <f t="shared" si="23"/>
        <v>8999.251929</v>
      </c>
      <c r="T36" s="137">
        <f t="shared" si="24"/>
        <v>194078.1573</v>
      </c>
      <c r="U36" s="137">
        <f t="shared" si="25"/>
        <v>215982.0463</v>
      </c>
      <c r="V36" s="138">
        <f t="shared" si="17"/>
        <v>1</v>
      </c>
      <c r="W36" s="138">
        <f t="shared" si="18"/>
        <v>1</v>
      </c>
      <c r="X36" s="138">
        <f t="shared" si="19"/>
        <v>1</v>
      </c>
      <c r="Y36" s="138">
        <f t="shared" si="20"/>
        <v>1</v>
      </c>
    </row>
    <row r="37" ht="15.75" customHeight="1">
      <c r="C37" s="11"/>
      <c r="D37" s="82" t="s">
        <v>258</v>
      </c>
      <c r="E37" s="82">
        <v>1.0</v>
      </c>
      <c r="F37" s="82" t="s">
        <v>257</v>
      </c>
      <c r="G37" s="133">
        <v>50394.0</v>
      </c>
      <c r="H37" s="133">
        <v>50395.0</v>
      </c>
      <c r="I37" s="82">
        <v>1913.41</v>
      </c>
      <c r="J37" s="82">
        <f t="shared" si="5"/>
        <v>24</v>
      </c>
      <c r="K37" s="137">
        <f t="shared" si="6"/>
        <v>9999.999885</v>
      </c>
      <c r="L37" s="137">
        <f t="shared" si="7"/>
        <v>10912.6224</v>
      </c>
      <c r="M37" s="137">
        <f t="shared" si="8"/>
        <v>4223</v>
      </c>
      <c r="N37" s="137">
        <f t="shared" si="9"/>
        <v>101340</v>
      </c>
      <c r="O37" s="137">
        <f t="shared" si="10"/>
        <v>239999.9973</v>
      </c>
      <c r="P37" s="137">
        <f t="shared" si="11"/>
        <v>261902.9377</v>
      </c>
      <c r="Q37" s="137">
        <f t="shared" si="21"/>
        <v>45921.84</v>
      </c>
      <c r="R37" s="137">
        <f t="shared" si="22"/>
        <v>8086.589885</v>
      </c>
      <c r="S37" s="137">
        <f t="shared" si="23"/>
        <v>8999.212404</v>
      </c>
      <c r="T37" s="137">
        <f t="shared" si="24"/>
        <v>194078.1573</v>
      </c>
      <c r="U37" s="137">
        <f t="shared" si="25"/>
        <v>215981.0977</v>
      </c>
      <c r="V37" s="138">
        <f t="shared" si="17"/>
        <v>1</v>
      </c>
      <c r="W37" s="138">
        <f t="shared" si="18"/>
        <v>1</v>
      </c>
      <c r="X37" s="138">
        <f t="shared" si="19"/>
        <v>1</v>
      </c>
      <c r="Y37" s="138">
        <f t="shared" si="20"/>
        <v>1</v>
      </c>
      <c r="AC37" s="1" t="s">
        <v>282</v>
      </c>
    </row>
    <row r="38" ht="15.75" customHeight="1">
      <c r="C38" s="11" t="s">
        <v>262</v>
      </c>
      <c r="D38" s="82" t="s">
        <v>263</v>
      </c>
      <c r="E38" s="82">
        <v>1.0</v>
      </c>
      <c r="F38" s="82" t="s">
        <v>257</v>
      </c>
      <c r="G38" s="133">
        <v>50395.0</v>
      </c>
      <c r="H38" s="133">
        <v>50399.0</v>
      </c>
      <c r="I38" s="82">
        <v>1913.41</v>
      </c>
      <c r="J38" s="82">
        <f t="shared" si="5"/>
        <v>96</v>
      </c>
      <c r="K38" s="137">
        <f t="shared" si="6"/>
        <v>9999.999885</v>
      </c>
      <c r="L38" s="137">
        <f t="shared" si="7"/>
        <v>10912.573</v>
      </c>
      <c r="M38" s="137">
        <f t="shared" si="8"/>
        <v>4227</v>
      </c>
      <c r="N38" s="137">
        <f t="shared" si="9"/>
        <v>101400</v>
      </c>
      <c r="O38" s="137">
        <f t="shared" si="10"/>
        <v>959999.989</v>
      </c>
      <c r="P38" s="137">
        <f t="shared" si="11"/>
        <v>1047607.008</v>
      </c>
      <c r="Q38" s="137">
        <f t="shared" si="21"/>
        <v>183687.36</v>
      </c>
      <c r="R38" s="137">
        <f t="shared" si="22"/>
        <v>8086.589885</v>
      </c>
      <c r="S38" s="137">
        <f t="shared" si="23"/>
        <v>8999.163001</v>
      </c>
      <c r="T38" s="137">
        <f t="shared" si="24"/>
        <v>776312.629</v>
      </c>
      <c r="U38" s="137">
        <f t="shared" si="25"/>
        <v>863919.6481</v>
      </c>
      <c r="V38" s="138">
        <f t="shared" si="17"/>
        <v>1</v>
      </c>
      <c r="W38" s="138">
        <f t="shared" si="18"/>
        <v>1</v>
      </c>
      <c r="X38" s="138">
        <f t="shared" si="19"/>
        <v>1</v>
      </c>
      <c r="Y38" s="138">
        <f t="shared" si="20"/>
        <v>1</v>
      </c>
      <c r="AC38" s="1" t="s">
        <v>283</v>
      </c>
    </row>
    <row r="39" ht="15.75" customHeight="1">
      <c r="B39" s="30"/>
      <c r="C39" s="11"/>
      <c r="D39" s="82" t="s">
        <v>265</v>
      </c>
      <c r="E39" s="82">
        <v>1.0</v>
      </c>
      <c r="F39" s="82" t="s">
        <v>257</v>
      </c>
      <c r="G39" s="133">
        <v>50399.0</v>
      </c>
      <c r="H39" s="133">
        <v>50400.0</v>
      </c>
      <c r="I39" s="82">
        <v>1913.41</v>
      </c>
      <c r="J39" s="82">
        <f t="shared" si="5"/>
        <v>24</v>
      </c>
      <c r="K39" s="137">
        <f t="shared" si="6"/>
        <v>9999.999885</v>
      </c>
      <c r="L39" s="137">
        <f t="shared" si="7"/>
        <v>10912.5236</v>
      </c>
      <c r="M39" s="137">
        <f t="shared" si="8"/>
        <v>4228</v>
      </c>
      <c r="N39" s="137">
        <f t="shared" si="9"/>
        <v>101460</v>
      </c>
      <c r="O39" s="137">
        <f t="shared" si="10"/>
        <v>239999.9972</v>
      </c>
      <c r="P39" s="137">
        <f t="shared" si="11"/>
        <v>261900.5664</v>
      </c>
      <c r="Q39" s="137">
        <f t="shared" si="21"/>
        <v>45921.84</v>
      </c>
      <c r="R39" s="137">
        <f t="shared" si="22"/>
        <v>8086.589885</v>
      </c>
      <c r="S39" s="137">
        <f t="shared" si="23"/>
        <v>8999.113601</v>
      </c>
      <c r="T39" s="137">
        <f t="shared" si="24"/>
        <v>194078.1572</v>
      </c>
      <c r="U39" s="137">
        <f t="shared" si="25"/>
        <v>215978.7264</v>
      </c>
      <c r="V39" s="138">
        <f t="shared" si="17"/>
        <v>1</v>
      </c>
      <c r="W39" s="138">
        <f t="shared" si="18"/>
        <v>1</v>
      </c>
      <c r="X39" s="138">
        <f t="shared" si="19"/>
        <v>1</v>
      </c>
      <c r="Y39" s="138">
        <f t="shared" si="20"/>
        <v>1</v>
      </c>
      <c r="AC39" s="1" t="s">
        <v>284</v>
      </c>
    </row>
    <row r="40" ht="15.75" customHeight="1">
      <c r="A40" s="139"/>
      <c r="B40" s="139"/>
      <c r="C40" s="140"/>
      <c r="D40" s="141" t="s">
        <v>266</v>
      </c>
      <c r="E40" s="141">
        <v>2.0</v>
      </c>
      <c r="F40" s="141" t="s">
        <v>257</v>
      </c>
      <c r="G40" s="142">
        <v>50400.0</v>
      </c>
      <c r="H40" s="142">
        <v>50401.0</v>
      </c>
      <c r="I40" s="140">
        <v>187.0</v>
      </c>
      <c r="J40" s="141">
        <f t="shared" si="5"/>
        <v>24</v>
      </c>
      <c r="K40" s="143">
        <f t="shared" si="6"/>
        <v>0</v>
      </c>
      <c r="L40" s="143">
        <f t="shared" si="7"/>
        <v>10912.50384</v>
      </c>
      <c r="M40" s="143">
        <f t="shared" si="8"/>
        <v>4229</v>
      </c>
      <c r="N40" s="143">
        <f t="shared" si="9"/>
        <v>101484</v>
      </c>
      <c r="O40" s="143">
        <f t="shared" si="10"/>
        <v>0</v>
      </c>
      <c r="P40" s="143">
        <f t="shared" si="11"/>
        <v>261900.0922</v>
      </c>
      <c r="Q40" s="143">
        <f t="shared" si="21"/>
        <v>4488</v>
      </c>
      <c r="R40" s="143">
        <f t="shared" si="22"/>
        <v>-187</v>
      </c>
      <c r="S40" s="143">
        <f t="shared" si="23"/>
        <v>10725.50384</v>
      </c>
      <c r="T40" s="143">
        <f t="shared" si="24"/>
        <v>-4488</v>
      </c>
      <c r="U40" s="143">
        <f t="shared" si="25"/>
        <v>257412.0922</v>
      </c>
      <c r="V40" s="138">
        <f t="shared" si="17"/>
        <v>1</v>
      </c>
      <c r="W40" s="138">
        <f t="shared" si="18"/>
        <v>0.7506666667</v>
      </c>
      <c r="X40" s="138">
        <f t="shared" si="19"/>
        <v>1</v>
      </c>
      <c r="Y40" s="138">
        <f t="shared" si="20"/>
        <v>1</v>
      </c>
      <c r="Z40" s="139"/>
      <c r="AA40" s="139"/>
      <c r="AB40" s="139"/>
      <c r="AC40" s="139" t="s">
        <v>285</v>
      </c>
      <c r="AD40" s="139"/>
      <c r="AE40" s="139"/>
      <c r="AF40" s="139"/>
    </row>
    <row r="41" ht="15.75" customHeight="1">
      <c r="A41" s="139"/>
      <c r="B41" s="139"/>
      <c r="C41" s="140"/>
      <c r="D41" s="141" t="s">
        <v>286</v>
      </c>
      <c r="E41" s="141">
        <v>2.0</v>
      </c>
      <c r="F41" s="141" t="s">
        <v>257</v>
      </c>
      <c r="G41" s="142">
        <v>50401.0</v>
      </c>
      <c r="H41" s="142">
        <v>50402.0</v>
      </c>
      <c r="I41" s="140">
        <v>187.0</v>
      </c>
      <c r="J41" s="141">
        <f t="shared" si="5"/>
        <v>24</v>
      </c>
      <c r="K41" s="143">
        <f t="shared" si="6"/>
        <v>0</v>
      </c>
      <c r="L41" s="143">
        <f t="shared" si="7"/>
        <v>10912.48408</v>
      </c>
      <c r="M41" s="143">
        <f t="shared" si="8"/>
        <v>4230</v>
      </c>
      <c r="N41" s="143">
        <f t="shared" si="9"/>
        <v>101508</v>
      </c>
      <c r="O41" s="143">
        <f t="shared" si="10"/>
        <v>0</v>
      </c>
      <c r="P41" s="143">
        <f t="shared" si="11"/>
        <v>261899.618</v>
      </c>
      <c r="Q41" s="143">
        <f t="shared" si="21"/>
        <v>4488</v>
      </c>
      <c r="R41" s="143">
        <f t="shared" si="22"/>
        <v>-187</v>
      </c>
      <c r="S41" s="143">
        <f t="shared" si="23"/>
        <v>10725.48408</v>
      </c>
      <c r="T41" s="143">
        <f t="shared" si="24"/>
        <v>-4488</v>
      </c>
      <c r="U41" s="143">
        <f t="shared" si="25"/>
        <v>257411.618</v>
      </c>
      <c r="V41" s="138">
        <f t="shared" si="17"/>
        <v>1</v>
      </c>
      <c r="W41" s="138">
        <f t="shared" si="18"/>
        <v>0.5013333333</v>
      </c>
      <c r="X41" s="138">
        <f t="shared" si="19"/>
        <v>1</v>
      </c>
      <c r="Y41" s="138">
        <f t="shared" si="20"/>
        <v>1</v>
      </c>
      <c r="Z41" s="139"/>
      <c r="AA41" s="139"/>
      <c r="AB41" s="139"/>
      <c r="AC41" s="139" t="s">
        <v>287</v>
      </c>
      <c r="AD41" s="139"/>
      <c r="AE41" s="139"/>
      <c r="AF41" s="139"/>
    </row>
    <row r="42" ht="15.75" customHeight="1">
      <c r="A42" s="139"/>
      <c r="B42" s="139"/>
      <c r="C42" s="140"/>
      <c r="D42" s="141" t="s">
        <v>269</v>
      </c>
      <c r="E42" s="141">
        <v>2.0</v>
      </c>
      <c r="F42" s="141" t="s">
        <v>257</v>
      </c>
      <c r="G42" s="142">
        <v>50402.0</v>
      </c>
      <c r="H42" s="142">
        <v>50403.0</v>
      </c>
      <c r="I42" s="140">
        <v>187.0</v>
      </c>
      <c r="J42" s="141">
        <f t="shared" si="5"/>
        <v>24</v>
      </c>
      <c r="K42" s="143">
        <f t="shared" si="6"/>
        <v>0</v>
      </c>
      <c r="L42" s="143">
        <f t="shared" si="7"/>
        <v>10912.46432</v>
      </c>
      <c r="M42" s="143">
        <f t="shared" si="8"/>
        <v>4231</v>
      </c>
      <c r="N42" s="143">
        <f t="shared" si="9"/>
        <v>101532</v>
      </c>
      <c r="O42" s="143">
        <f t="shared" si="10"/>
        <v>0</v>
      </c>
      <c r="P42" s="143">
        <f t="shared" si="11"/>
        <v>261899.1438</v>
      </c>
      <c r="Q42" s="143">
        <f t="shared" si="21"/>
        <v>4488</v>
      </c>
      <c r="R42" s="143">
        <f t="shared" si="22"/>
        <v>-187</v>
      </c>
      <c r="S42" s="143">
        <f t="shared" si="23"/>
        <v>10725.46432</v>
      </c>
      <c r="T42" s="143">
        <f t="shared" si="24"/>
        <v>-4488</v>
      </c>
      <c r="U42" s="143">
        <f t="shared" si="25"/>
        <v>257411.1438</v>
      </c>
      <c r="V42" s="138">
        <f t="shared" si="17"/>
        <v>1</v>
      </c>
      <c r="W42" s="138">
        <f t="shared" si="18"/>
        <v>0.252</v>
      </c>
      <c r="X42" s="138">
        <f t="shared" si="19"/>
        <v>1</v>
      </c>
      <c r="Y42" s="138">
        <f t="shared" si="20"/>
        <v>1</v>
      </c>
      <c r="Z42" s="139"/>
      <c r="AA42" s="139"/>
      <c r="AB42" s="139"/>
      <c r="AC42" s="139" t="s">
        <v>288</v>
      </c>
      <c r="AD42" s="139"/>
      <c r="AE42" s="139"/>
      <c r="AF42" s="139"/>
    </row>
    <row r="43" ht="15.75" customHeight="1">
      <c r="A43" s="139"/>
      <c r="B43" s="139"/>
      <c r="C43" s="140"/>
      <c r="D43" s="141" t="s">
        <v>274</v>
      </c>
      <c r="E43" s="141">
        <v>2.0</v>
      </c>
      <c r="F43" s="141" t="s">
        <v>289</v>
      </c>
      <c r="G43" s="142">
        <v>50403.0</v>
      </c>
      <c r="H43" s="142">
        <v>50435.0</v>
      </c>
      <c r="I43" s="140">
        <v>187.0</v>
      </c>
      <c r="J43" s="141">
        <f t="shared" si="5"/>
        <v>768</v>
      </c>
      <c r="K43" s="143">
        <f t="shared" si="6"/>
        <v>9999.999885</v>
      </c>
      <c r="L43" s="143">
        <f t="shared" si="7"/>
        <v>10912.13837</v>
      </c>
      <c r="M43" s="143">
        <f t="shared" si="8"/>
        <v>4263</v>
      </c>
      <c r="N43" s="143">
        <f t="shared" si="9"/>
        <v>101928</v>
      </c>
      <c r="O43" s="143">
        <f t="shared" si="10"/>
        <v>7679999.912</v>
      </c>
      <c r="P43" s="143">
        <f t="shared" si="11"/>
        <v>8380522.269</v>
      </c>
      <c r="Q43" s="143">
        <f t="shared" si="21"/>
        <v>143616</v>
      </c>
      <c r="R43" s="143">
        <f t="shared" si="22"/>
        <v>9812.999885</v>
      </c>
      <c r="S43" s="143">
        <f t="shared" si="23"/>
        <v>10725.13837</v>
      </c>
      <c r="T43" s="143">
        <f t="shared" si="24"/>
        <v>7536383.912</v>
      </c>
      <c r="U43" s="143">
        <f t="shared" si="25"/>
        <v>8236906.269</v>
      </c>
      <c r="V43" s="138">
        <f t="shared" si="17"/>
        <v>1</v>
      </c>
      <c r="W43" s="138">
        <f t="shared" si="18"/>
        <v>0.252</v>
      </c>
      <c r="X43" s="138">
        <f t="shared" si="19"/>
        <v>1</v>
      </c>
      <c r="Y43" s="138">
        <f t="shared" si="20"/>
        <v>1</v>
      </c>
      <c r="Z43" s="139"/>
      <c r="AA43" s="139"/>
      <c r="AB43" s="139" t="s">
        <v>290</v>
      </c>
      <c r="AC43" s="139" t="s">
        <v>291</v>
      </c>
      <c r="AD43" s="139"/>
      <c r="AE43" s="139" t="s">
        <v>220</v>
      </c>
      <c r="AF43" s="139"/>
    </row>
    <row r="44" ht="15.75" customHeight="1">
      <c r="A44" s="139"/>
      <c r="B44" s="139"/>
      <c r="C44" s="140"/>
      <c r="D44" s="141" t="s">
        <v>266</v>
      </c>
      <c r="E44" s="141">
        <v>2.0</v>
      </c>
      <c r="F44" s="141" t="s">
        <v>257</v>
      </c>
      <c r="G44" s="142">
        <v>50435.0</v>
      </c>
      <c r="H44" s="142">
        <v>50436.0</v>
      </c>
      <c r="I44" s="140">
        <v>187.0</v>
      </c>
      <c r="J44" s="141">
        <f t="shared" si="5"/>
        <v>24</v>
      </c>
      <c r="K44" s="143">
        <f t="shared" si="6"/>
        <v>0</v>
      </c>
      <c r="L44" s="143">
        <f t="shared" si="7"/>
        <v>10911.81253</v>
      </c>
      <c r="M44" s="143">
        <f t="shared" si="8"/>
        <v>4264</v>
      </c>
      <c r="N44" s="143">
        <f t="shared" si="9"/>
        <v>102324</v>
      </c>
      <c r="O44" s="143">
        <f t="shared" si="10"/>
        <v>0</v>
      </c>
      <c r="P44" s="143">
        <f t="shared" si="11"/>
        <v>261883.5008</v>
      </c>
      <c r="Q44" s="143">
        <f t="shared" si="21"/>
        <v>4488</v>
      </c>
      <c r="R44" s="143">
        <f t="shared" si="22"/>
        <v>-187</v>
      </c>
      <c r="S44" s="143">
        <f t="shared" si="23"/>
        <v>10724.81253</v>
      </c>
      <c r="T44" s="143">
        <f t="shared" si="24"/>
        <v>-4488</v>
      </c>
      <c r="U44" s="143">
        <f t="shared" si="25"/>
        <v>257395.5008</v>
      </c>
      <c r="V44" s="138">
        <f t="shared" si="17"/>
        <v>1</v>
      </c>
      <c r="W44" s="138">
        <f t="shared" si="18"/>
        <v>0.002666666667</v>
      </c>
      <c r="X44" s="138">
        <f t="shared" si="19"/>
        <v>1</v>
      </c>
      <c r="Y44" s="138">
        <f t="shared" si="20"/>
        <v>1</v>
      </c>
      <c r="Z44" s="139"/>
      <c r="AA44" s="139"/>
      <c r="AB44" s="139"/>
      <c r="AC44" s="139"/>
      <c r="AD44" s="139"/>
      <c r="AE44" s="139"/>
      <c r="AF44" s="139"/>
    </row>
    <row r="45" ht="15.75" customHeight="1">
      <c r="A45" s="139"/>
      <c r="B45" s="139"/>
      <c r="C45" s="140"/>
      <c r="D45" s="141" t="s">
        <v>286</v>
      </c>
      <c r="E45" s="141">
        <v>2.0</v>
      </c>
      <c r="F45" s="141" t="s">
        <v>257</v>
      </c>
      <c r="G45" s="142">
        <v>50436.0</v>
      </c>
      <c r="H45" s="142">
        <v>50437.0</v>
      </c>
      <c r="I45" s="140">
        <v>187.0</v>
      </c>
      <c r="J45" s="141">
        <f t="shared" si="5"/>
        <v>24</v>
      </c>
      <c r="K45" s="143">
        <f t="shared" si="6"/>
        <v>0</v>
      </c>
      <c r="L45" s="143">
        <f t="shared" si="7"/>
        <v>10911.79279</v>
      </c>
      <c r="M45" s="143">
        <f t="shared" si="8"/>
        <v>4265</v>
      </c>
      <c r="N45" s="143">
        <f t="shared" si="9"/>
        <v>102348</v>
      </c>
      <c r="O45" s="143">
        <f t="shared" si="10"/>
        <v>0</v>
      </c>
      <c r="P45" s="143">
        <f t="shared" si="11"/>
        <v>261883.0269</v>
      </c>
      <c r="Q45" s="143">
        <f t="shared" si="21"/>
        <v>4488</v>
      </c>
      <c r="R45" s="143">
        <f t="shared" si="22"/>
        <v>-187</v>
      </c>
      <c r="S45" s="143">
        <f t="shared" si="23"/>
        <v>10724.79279</v>
      </c>
      <c r="T45" s="143">
        <f t="shared" si="24"/>
        <v>-4488</v>
      </c>
      <c r="U45" s="143">
        <f t="shared" si="25"/>
        <v>257395.0269</v>
      </c>
      <c r="V45" s="138">
        <f t="shared" si="17"/>
        <v>1</v>
      </c>
      <c r="W45" s="138">
        <f t="shared" si="18"/>
        <v>-0.2466666667</v>
      </c>
      <c r="X45" s="138">
        <f t="shared" si="19"/>
        <v>1</v>
      </c>
      <c r="Y45" s="138">
        <f t="shared" si="20"/>
        <v>1</v>
      </c>
      <c r="Z45" s="139"/>
      <c r="AA45" s="139"/>
      <c r="AB45" s="139"/>
      <c r="AC45" s="139"/>
      <c r="AD45" s="139"/>
      <c r="AE45" s="139"/>
      <c r="AF45" s="139"/>
    </row>
    <row r="46" ht="15.75" customHeight="1">
      <c r="A46" s="139"/>
      <c r="B46" s="139"/>
      <c r="C46" s="140"/>
      <c r="D46" s="141" t="s">
        <v>269</v>
      </c>
      <c r="E46" s="141">
        <v>2.0</v>
      </c>
      <c r="F46" s="141" t="s">
        <v>257</v>
      </c>
      <c r="G46" s="142">
        <v>50438.0</v>
      </c>
      <c r="H46" s="142">
        <v>50439.0</v>
      </c>
      <c r="I46" s="140">
        <v>187.0</v>
      </c>
      <c r="J46" s="141">
        <f t="shared" si="5"/>
        <v>24</v>
      </c>
      <c r="K46" s="143">
        <f t="shared" si="6"/>
        <v>0</v>
      </c>
      <c r="L46" s="143">
        <f t="shared" si="7"/>
        <v>10911.7533</v>
      </c>
      <c r="M46" s="143">
        <f t="shared" si="8"/>
        <v>4267</v>
      </c>
      <c r="N46" s="143">
        <f t="shared" si="9"/>
        <v>102396</v>
      </c>
      <c r="O46" s="143">
        <f t="shared" si="10"/>
        <v>0</v>
      </c>
      <c r="P46" s="143">
        <f t="shared" si="11"/>
        <v>261882.0793</v>
      </c>
      <c r="Q46" s="143">
        <f t="shared" si="21"/>
        <v>4488</v>
      </c>
      <c r="R46" s="143">
        <f t="shared" si="22"/>
        <v>-187</v>
      </c>
      <c r="S46" s="143">
        <f t="shared" si="23"/>
        <v>10724.7533</v>
      </c>
      <c r="T46" s="143">
        <f t="shared" si="24"/>
        <v>-4488</v>
      </c>
      <c r="U46" s="143">
        <f t="shared" si="25"/>
        <v>257394.0793</v>
      </c>
      <c r="V46" s="138">
        <f t="shared" si="17"/>
        <v>1</v>
      </c>
      <c r="W46" s="138">
        <f t="shared" si="18"/>
        <v>-0.496</v>
      </c>
      <c r="X46" s="138">
        <f t="shared" si="19"/>
        <v>1</v>
      </c>
      <c r="Y46" s="138">
        <f t="shared" si="20"/>
        <v>1</v>
      </c>
      <c r="Z46" s="139"/>
      <c r="AA46" s="139"/>
      <c r="AB46" s="139"/>
      <c r="AC46" s="139"/>
      <c r="AD46" s="139"/>
      <c r="AE46" s="139"/>
      <c r="AF46" s="139"/>
    </row>
    <row r="47" ht="15.75" customHeight="1">
      <c r="C47" s="11" t="s">
        <v>278</v>
      </c>
      <c r="D47" s="82" t="s">
        <v>279</v>
      </c>
      <c r="E47" s="82">
        <v>1.0</v>
      </c>
      <c r="F47" s="82" t="s">
        <v>257</v>
      </c>
      <c r="G47" s="133">
        <v>50439.0</v>
      </c>
      <c r="H47" s="133">
        <v>50441.0</v>
      </c>
      <c r="I47" s="11">
        <v>1913.41</v>
      </c>
      <c r="J47" s="82">
        <f t="shared" si="5"/>
        <v>48</v>
      </c>
      <c r="K47" s="137">
        <f t="shared" si="6"/>
        <v>9999.999884</v>
      </c>
      <c r="L47" s="137">
        <f t="shared" si="7"/>
        <v>10911.72369</v>
      </c>
      <c r="M47" s="137">
        <f t="shared" si="8"/>
        <v>4269</v>
      </c>
      <c r="N47" s="137">
        <f t="shared" si="9"/>
        <v>102432</v>
      </c>
      <c r="O47" s="137">
        <f t="shared" si="10"/>
        <v>479999.9944</v>
      </c>
      <c r="P47" s="137">
        <f t="shared" si="11"/>
        <v>523762.7371</v>
      </c>
      <c r="Q47" s="137">
        <f t="shared" si="21"/>
        <v>91843.68</v>
      </c>
      <c r="R47" s="137">
        <f t="shared" si="22"/>
        <v>8086.589884</v>
      </c>
      <c r="S47" s="137">
        <f t="shared" si="23"/>
        <v>8998.313689</v>
      </c>
      <c r="T47" s="137">
        <f t="shared" si="24"/>
        <v>388156.3144</v>
      </c>
      <c r="U47" s="137">
        <f t="shared" si="25"/>
        <v>431919.0571</v>
      </c>
      <c r="V47" s="138">
        <f t="shared" si="17"/>
        <v>1</v>
      </c>
      <c r="W47" s="138">
        <f t="shared" si="18"/>
        <v>-0.496</v>
      </c>
      <c r="X47" s="138">
        <f t="shared" si="19"/>
        <v>1</v>
      </c>
      <c r="Y47" s="138">
        <f t="shared" si="20"/>
        <v>1</v>
      </c>
    </row>
    <row r="48" ht="15.75" customHeight="1">
      <c r="C48" s="11"/>
      <c r="D48" s="82" t="s">
        <v>280</v>
      </c>
      <c r="E48" s="82">
        <v>1.0</v>
      </c>
      <c r="F48" s="82" t="s">
        <v>257</v>
      </c>
      <c r="G48" s="133">
        <v>50441.0</v>
      </c>
      <c r="H48" s="133">
        <v>50443.0</v>
      </c>
      <c r="I48" s="11">
        <v>1913.41</v>
      </c>
      <c r="J48" s="82">
        <f t="shared" si="5"/>
        <v>48</v>
      </c>
      <c r="K48" s="137">
        <f t="shared" si="6"/>
        <v>9999.999884</v>
      </c>
      <c r="L48" s="137">
        <f t="shared" si="7"/>
        <v>10911.68421</v>
      </c>
      <c r="M48" s="137">
        <f t="shared" si="8"/>
        <v>4271</v>
      </c>
      <c r="N48" s="137">
        <f t="shared" si="9"/>
        <v>102480</v>
      </c>
      <c r="O48" s="137">
        <f t="shared" si="10"/>
        <v>479999.9944</v>
      </c>
      <c r="P48" s="137">
        <f t="shared" si="11"/>
        <v>523760.8419</v>
      </c>
      <c r="Q48" s="137">
        <f t="shared" si="21"/>
        <v>91843.68</v>
      </c>
      <c r="R48" s="137">
        <f t="shared" si="22"/>
        <v>8086.589884</v>
      </c>
      <c r="S48" s="137">
        <f t="shared" si="23"/>
        <v>8998.274205</v>
      </c>
      <c r="T48" s="137">
        <f t="shared" si="24"/>
        <v>388156.3144</v>
      </c>
      <c r="U48" s="137">
        <f t="shared" si="25"/>
        <v>431917.1619</v>
      </c>
      <c r="V48" s="138">
        <f t="shared" si="17"/>
        <v>1</v>
      </c>
      <c r="W48" s="138">
        <f t="shared" si="18"/>
        <v>-0.496</v>
      </c>
      <c r="X48" s="138">
        <f t="shared" si="19"/>
        <v>1</v>
      </c>
      <c r="Y48" s="138">
        <f t="shared" si="20"/>
        <v>1</v>
      </c>
      <c r="AB48" s="31" t="s">
        <v>292</v>
      </c>
    </row>
    <row r="49" ht="15.75" customHeight="1">
      <c r="C49" s="11"/>
      <c r="D49" s="82" t="s">
        <v>282</v>
      </c>
      <c r="E49" s="82">
        <v>3.0</v>
      </c>
      <c r="F49" s="82" t="s">
        <v>257</v>
      </c>
      <c r="G49" s="133">
        <v>50443.0</v>
      </c>
      <c r="H49" s="133">
        <v>50460.0</v>
      </c>
      <c r="I49" s="11">
        <v>316.1</v>
      </c>
      <c r="J49" s="82">
        <f t="shared" si="5"/>
        <v>408</v>
      </c>
      <c r="K49" s="137">
        <f t="shared" si="6"/>
        <v>455.7483986</v>
      </c>
      <c r="L49" s="137">
        <f t="shared" si="7"/>
        <v>10911.49668</v>
      </c>
      <c r="M49" s="137">
        <f t="shared" si="8"/>
        <v>4288</v>
      </c>
      <c r="N49" s="137">
        <f t="shared" si="9"/>
        <v>102708</v>
      </c>
      <c r="O49" s="137">
        <f t="shared" si="10"/>
        <v>185945.3466</v>
      </c>
      <c r="P49" s="137">
        <f t="shared" si="11"/>
        <v>4451890.646</v>
      </c>
      <c r="Q49" s="137">
        <f t="shared" si="21"/>
        <v>128968.8</v>
      </c>
      <c r="R49" s="137">
        <f t="shared" si="22"/>
        <v>139.6483986</v>
      </c>
      <c r="S49" s="137">
        <f t="shared" si="23"/>
        <v>10595.39668</v>
      </c>
      <c r="T49" s="137">
        <f t="shared" si="24"/>
        <v>56976.54665</v>
      </c>
      <c r="U49" s="137">
        <f t="shared" si="25"/>
        <v>4322921.846</v>
      </c>
      <c r="V49" s="138">
        <f t="shared" si="17"/>
        <v>1</v>
      </c>
      <c r="W49" s="138">
        <f t="shared" si="18"/>
        <v>-0.496</v>
      </c>
      <c r="X49" s="138">
        <f t="shared" si="19"/>
        <v>1</v>
      </c>
      <c r="Y49" s="138">
        <f t="shared" si="20"/>
        <v>1</v>
      </c>
      <c r="AB49" s="1" t="s">
        <v>203</v>
      </c>
      <c r="AC49" s="1" t="s">
        <v>203</v>
      </c>
      <c r="AD49" s="115"/>
    </row>
    <row r="50" ht="15.75" customHeight="1">
      <c r="C50" s="11"/>
      <c r="D50" s="82" t="s">
        <v>283</v>
      </c>
      <c r="E50" s="82">
        <v>3.0</v>
      </c>
      <c r="F50" s="82" t="s">
        <v>257</v>
      </c>
      <c r="G50" s="133">
        <v>50460.0</v>
      </c>
      <c r="H50" s="133">
        <v>50466.0</v>
      </c>
      <c r="I50" s="11">
        <v>316.1</v>
      </c>
      <c r="J50" s="82">
        <f t="shared" si="5"/>
        <v>144</v>
      </c>
      <c r="K50" s="137">
        <f t="shared" si="6"/>
        <v>455.6349232</v>
      </c>
      <c r="L50" s="137">
        <f t="shared" si="7"/>
        <v>10911.26973</v>
      </c>
      <c r="M50" s="137">
        <f t="shared" si="8"/>
        <v>4294</v>
      </c>
      <c r="N50" s="137">
        <f t="shared" si="9"/>
        <v>102984</v>
      </c>
      <c r="O50" s="137">
        <f t="shared" si="10"/>
        <v>65611.42894</v>
      </c>
      <c r="P50" s="137">
        <f t="shared" si="11"/>
        <v>1571222.841</v>
      </c>
      <c r="Q50" s="137">
        <f t="shared" si="21"/>
        <v>45518.4</v>
      </c>
      <c r="R50" s="137">
        <f t="shared" si="22"/>
        <v>139.5349232</v>
      </c>
      <c r="S50" s="137">
        <f t="shared" si="23"/>
        <v>10595.16973</v>
      </c>
      <c r="T50" s="137">
        <f t="shared" si="24"/>
        <v>20093.02894</v>
      </c>
      <c r="U50" s="137">
        <f t="shared" si="25"/>
        <v>1525704.441</v>
      </c>
      <c r="V50" s="138">
        <f t="shared" si="17"/>
        <v>1</v>
      </c>
      <c r="W50" s="138">
        <f t="shared" si="18"/>
        <v>-0.496</v>
      </c>
      <c r="X50" s="138">
        <f t="shared" si="19"/>
        <v>1</v>
      </c>
      <c r="Y50" s="138">
        <f t="shared" si="20"/>
        <v>1</v>
      </c>
      <c r="AB50" s="1" t="s">
        <v>205</v>
      </c>
      <c r="AC50" s="1" t="s">
        <v>206</v>
      </c>
      <c r="AD50" s="115"/>
    </row>
    <row r="51" ht="15.75" customHeight="1">
      <c r="C51" s="11"/>
      <c r="D51" s="82" t="s">
        <v>284</v>
      </c>
      <c r="E51" s="82">
        <v>3.0</v>
      </c>
      <c r="F51" s="82" t="s">
        <v>257</v>
      </c>
      <c r="G51" s="133">
        <v>50466.0</v>
      </c>
      <c r="H51" s="133">
        <v>50479.0</v>
      </c>
      <c r="I51" s="11">
        <v>316.1</v>
      </c>
      <c r="J51" s="82">
        <f t="shared" si="5"/>
        <v>312</v>
      </c>
      <c r="K51" s="137">
        <f t="shared" si="6"/>
        <v>455.5412039</v>
      </c>
      <c r="L51" s="137">
        <f t="shared" si="7"/>
        <v>10911.08229</v>
      </c>
      <c r="M51" s="137">
        <f t="shared" si="8"/>
        <v>4307</v>
      </c>
      <c r="N51" s="137">
        <f t="shared" si="9"/>
        <v>103212</v>
      </c>
      <c r="O51" s="137">
        <f t="shared" si="10"/>
        <v>142128.8556</v>
      </c>
      <c r="P51" s="137">
        <f t="shared" si="11"/>
        <v>3404257.675</v>
      </c>
      <c r="Q51" s="137">
        <f t="shared" si="21"/>
        <v>98623.2</v>
      </c>
      <c r="R51" s="137">
        <f t="shared" si="22"/>
        <v>139.4412039</v>
      </c>
      <c r="S51" s="137">
        <f t="shared" si="23"/>
        <v>10594.98229</v>
      </c>
      <c r="T51" s="137">
        <f t="shared" si="24"/>
        <v>43505.65562</v>
      </c>
      <c r="U51" s="137">
        <f t="shared" si="25"/>
        <v>3305634.475</v>
      </c>
      <c r="V51" s="138">
        <f t="shared" si="17"/>
        <v>1</v>
      </c>
      <c r="W51" s="138">
        <f t="shared" si="18"/>
        <v>-0.496</v>
      </c>
      <c r="X51" s="138">
        <f t="shared" si="19"/>
        <v>1</v>
      </c>
      <c r="Y51" s="138">
        <f t="shared" si="20"/>
        <v>1</v>
      </c>
      <c r="AC51" s="1" t="s">
        <v>207</v>
      </c>
      <c r="AD51" s="115"/>
    </row>
    <row r="52" ht="15.75" customHeight="1">
      <c r="C52" s="11"/>
      <c r="D52" s="82" t="s">
        <v>285</v>
      </c>
      <c r="E52" s="82">
        <v>3.0</v>
      </c>
      <c r="F52" s="82" t="s">
        <v>257</v>
      </c>
      <c r="G52" s="133">
        <v>50479.0</v>
      </c>
      <c r="H52" s="133">
        <v>50480.0</v>
      </c>
      <c r="I52" s="11">
        <v>316.1</v>
      </c>
      <c r="J52" s="82">
        <f t="shared" si="5"/>
        <v>24</v>
      </c>
      <c r="K52" s="137">
        <f t="shared" si="6"/>
        <v>455.4721599</v>
      </c>
      <c r="L52" s="137">
        <f t="shared" si="7"/>
        <v>10910.9442</v>
      </c>
      <c r="M52" s="137">
        <f t="shared" si="8"/>
        <v>4308</v>
      </c>
      <c r="N52" s="137">
        <f t="shared" si="9"/>
        <v>103380</v>
      </c>
      <c r="O52" s="137">
        <f t="shared" si="10"/>
        <v>10931.33184</v>
      </c>
      <c r="P52" s="137">
        <f t="shared" si="11"/>
        <v>261862.6609</v>
      </c>
      <c r="Q52" s="137">
        <f t="shared" si="21"/>
        <v>7586.4</v>
      </c>
      <c r="R52" s="137">
        <f t="shared" si="22"/>
        <v>139.3721599</v>
      </c>
      <c r="S52" s="137">
        <f t="shared" si="23"/>
        <v>10594.8442</v>
      </c>
      <c r="T52" s="137">
        <f t="shared" si="24"/>
        <v>3344.931838</v>
      </c>
      <c r="U52" s="137">
        <f t="shared" si="25"/>
        <v>254276.2609</v>
      </c>
      <c r="V52" s="138">
        <f t="shared" si="17"/>
        <v>1</v>
      </c>
      <c r="W52" s="138">
        <f t="shared" si="18"/>
        <v>-0.496</v>
      </c>
      <c r="X52" s="138">
        <f t="shared" si="19"/>
        <v>1</v>
      </c>
      <c r="Y52" s="138">
        <f t="shared" si="20"/>
        <v>1</v>
      </c>
      <c r="AC52" s="1" t="s">
        <v>206</v>
      </c>
      <c r="AD52" s="115"/>
    </row>
    <row r="53" ht="15.75" customHeight="1">
      <c r="C53" s="11"/>
      <c r="D53" s="82" t="s">
        <v>287</v>
      </c>
      <c r="E53" s="82">
        <v>3.0</v>
      </c>
      <c r="F53" s="82" t="s">
        <v>257</v>
      </c>
      <c r="G53" s="133">
        <v>50480.0</v>
      </c>
      <c r="H53" s="133">
        <v>50482.0</v>
      </c>
      <c r="I53" s="11">
        <v>316.1</v>
      </c>
      <c r="J53" s="82">
        <f t="shared" si="5"/>
        <v>48</v>
      </c>
      <c r="K53" s="137">
        <f t="shared" si="6"/>
        <v>455.4573662</v>
      </c>
      <c r="L53" s="137">
        <f t="shared" si="7"/>
        <v>10910.91462</v>
      </c>
      <c r="M53" s="137">
        <f t="shared" si="8"/>
        <v>4310</v>
      </c>
      <c r="N53" s="137">
        <f t="shared" si="9"/>
        <v>103416</v>
      </c>
      <c r="O53" s="137">
        <f t="shared" si="10"/>
        <v>21861.95358</v>
      </c>
      <c r="P53" s="137">
        <f t="shared" si="11"/>
        <v>523723.9015</v>
      </c>
      <c r="Q53" s="137">
        <f t="shared" si="21"/>
        <v>15172.8</v>
      </c>
      <c r="R53" s="137">
        <f t="shared" si="22"/>
        <v>139.3573662</v>
      </c>
      <c r="S53" s="137">
        <f t="shared" si="23"/>
        <v>10594.81462</v>
      </c>
      <c r="T53" s="137">
        <f t="shared" si="24"/>
        <v>6689.153575</v>
      </c>
      <c r="U53" s="137">
        <f t="shared" si="25"/>
        <v>508551.1015</v>
      </c>
      <c r="V53" s="138">
        <f t="shared" si="17"/>
        <v>1</v>
      </c>
      <c r="W53" s="138">
        <f t="shared" si="18"/>
        <v>-0.496</v>
      </c>
      <c r="X53" s="138">
        <f t="shared" si="19"/>
        <v>1</v>
      </c>
      <c r="Y53" s="138">
        <f t="shared" si="20"/>
        <v>1</v>
      </c>
      <c r="AC53" s="1" t="s">
        <v>207</v>
      </c>
      <c r="AD53" s="115"/>
    </row>
    <row r="54" ht="15.75" customHeight="1">
      <c r="C54" s="11"/>
      <c r="D54" s="82" t="s">
        <v>293</v>
      </c>
      <c r="E54" s="82">
        <v>3.0</v>
      </c>
      <c r="F54" s="82" t="s">
        <v>257</v>
      </c>
      <c r="G54" s="133">
        <v>50482.0</v>
      </c>
      <c r="H54" s="133">
        <v>50504.0</v>
      </c>
      <c r="I54" s="11">
        <v>316.1</v>
      </c>
      <c r="J54" s="82">
        <f t="shared" si="5"/>
        <v>528</v>
      </c>
      <c r="K54" s="137">
        <f t="shared" si="6"/>
        <v>455.3390332</v>
      </c>
      <c r="L54" s="137">
        <f t="shared" si="7"/>
        <v>10910.67795</v>
      </c>
      <c r="M54" s="137">
        <f t="shared" si="8"/>
        <v>4332</v>
      </c>
      <c r="N54" s="137">
        <f t="shared" si="9"/>
        <v>103704</v>
      </c>
      <c r="O54" s="137">
        <f t="shared" si="10"/>
        <v>240419.0096</v>
      </c>
      <c r="P54" s="137">
        <f t="shared" si="11"/>
        <v>5760837.957</v>
      </c>
      <c r="Q54" s="137">
        <f t="shared" si="21"/>
        <v>166900.8</v>
      </c>
      <c r="R54" s="137">
        <f t="shared" si="22"/>
        <v>139.2390332</v>
      </c>
      <c r="S54" s="137">
        <f t="shared" si="23"/>
        <v>10594.57795</v>
      </c>
      <c r="T54" s="137">
        <f t="shared" si="24"/>
        <v>73518.20955</v>
      </c>
      <c r="U54" s="137">
        <f t="shared" si="25"/>
        <v>5593937.157</v>
      </c>
      <c r="V54" s="138">
        <f t="shared" si="17"/>
        <v>1</v>
      </c>
      <c r="W54" s="138">
        <f t="shared" si="18"/>
        <v>-0.496</v>
      </c>
      <c r="X54" s="138">
        <f t="shared" si="19"/>
        <v>1</v>
      </c>
      <c r="Y54" s="138">
        <f t="shared" si="20"/>
        <v>1</v>
      </c>
      <c r="AC54" s="1" t="s">
        <v>206</v>
      </c>
      <c r="AD54" s="115"/>
    </row>
    <row r="55" ht="15.75" customHeight="1">
      <c r="C55" s="11"/>
      <c r="D55" s="82" t="s">
        <v>294</v>
      </c>
      <c r="E55" s="82">
        <v>3.0</v>
      </c>
      <c r="F55" s="82" t="s">
        <v>257</v>
      </c>
      <c r="G55" s="133">
        <v>50504.0</v>
      </c>
      <c r="H55" s="133">
        <v>50505.0</v>
      </c>
      <c r="I55" s="11">
        <v>316.1</v>
      </c>
      <c r="J55" s="82">
        <f t="shared" si="5"/>
        <v>24</v>
      </c>
      <c r="K55" s="137">
        <f t="shared" si="6"/>
        <v>455.2256597</v>
      </c>
      <c r="L55" s="137">
        <f t="shared" si="7"/>
        <v>10910.4512</v>
      </c>
      <c r="M55" s="137">
        <f t="shared" si="8"/>
        <v>4333</v>
      </c>
      <c r="N55" s="137">
        <f t="shared" si="9"/>
        <v>103980</v>
      </c>
      <c r="O55" s="137">
        <f t="shared" si="10"/>
        <v>10925.41583</v>
      </c>
      <c r="P55" s="137">
        <f t="shared" si="11"/>
        <v>261850.8288</v>
      </c>
      <c r="Q55" s="137">
        <f t="shared" si="21"/>
        <v>7586.4</v>
      </c>
      <c r="R55" s="137">
        <f t="shared" si="22"/>
        <v>139.1256597</v>
      </c>
      <c r="S55" s="137">
        <f t="shared" si="23"/>
        <v>10594.3512</v>
      </c>
      <c r="T55" s="137">
        <f t="shared" si="24"/>
        <v>3339.015833</v>
      </c>
      <c r="U55" s="137">
        <f t="shared" si="25"/>
        <v>254264.4288</v>
      </c>
      <c r="V55" s="138">
        <f t="shared" si="17"/>
        <v>1</v>
      </c>
      <c r="W55" s="138">
        <f t="shared" si="18"/>
        <v>-0.496</v>
      </c>
      <c r="X55" s="138">
        <f t="shared" si="19"/>
        <v>1</v>
      </c>
      <c r="Y55" s="138">
        <f t="shared" si="20"/>
        <v>1</v>
      </c>
      <c r="AC55" s="1" t="s">
        <v>207</v>
      </c>
      <c r="AD55" s="115"/>
    </row>
    <row r="56" ht="15.75" customHeight="1">
      <c r="C56" s="11" t="s">
        <v>290</v>
      </c>
      <c r="D56" s="82" t="s">
        <v>291</v>
      </c>
      <c r="E56" s="82">
        <v>3.0</v>
      </c>
      <c r="F56" s="82" t="s">
        <v>257</v>
      </c>
      <c r="G56" s="133">
        <v>50505.0</v>
      </c>
      <c r="H56" s="133">
        <v>52794.0</v>
      </c>
      <c r="I56" s="11">
        <v>316.1</v>
      </c>
      <c r="J56" s="82">
        <f t="shared" si="5"/>
        <v>54936</v>
      </c>
      <c r="K56" s="137">
        <f t="shared" si="6"/>
        <v>444.0777742</v>
      </c>
      <c r="L56" s="137">
        <f t="shared" si="7"/>
        <v>10888.1554</v>
      </c>
      <c r="M56" s="137">
        <f t="shared" si="8"/>
        <v>6622</v>
      </c>
      <c r="N56" s="137">
        <f t="shared" si="9"/>
        <v>131460</v>
      </c>
      <c r="O56" s="137">
        <f t="shared" si="10"/>
        <v>24395856.6</v>
      </c>
      <c r="P56" s="137">
        <f t="shared" si="11"/>
        <v>598151705</v>
      </c>
      <c r="Q56" s="137">
        <f t="shared" si="21"/>
        <v>17365269.6</v>
      </c>
      <c r="R56" s="137">
        <f t="shared" si="22"/>
        <v>127.9777742</v>
      </c>
      <c r="S56" s="137">
        <f t="shared" si="23"/>
        <v>10572.0554</v>
      </c>
      <c r="T56" s="137">
        <f t="shared" si="24"/>
        <v>7030587.004</v>
      </c>
      <c r="U56" s="137">
        <f t="shared" si="25"/>
        <v>580786435.4</v>
      </c>
      <c r="V56" s="138">
        <f t="shared" si="17"/>
        <v>1</v>
      </c>
      <c r="W56" s="138">
        <f t="shared" si="18"/>
        <v>-0.496</v>
      </c>
      <c r="X56" s="138">
        <f t="shared" si="19"/>
        <v>1</v>
      </c>
      <c r="Y56" s="138">
        <f t="shared" si="20"/>
        <v>1</v>
      </c>
      <c r="AC56" s="1" t="s">
        <v>216</v>
      </c>
      <c r="AD56" s="115"/>
    </row>
    <row r="57" ht="15.75" customHeight="1">
      <c r="C57" s="11" t="s">
        <v>295</v>
      </c>
      <c r="D57" s="82" t="s">
        <v>295</v>
      </c>
      <c r="E57" s="82">
        <v>3.0</v>
      </c>
      <c r="F57" s="82" t="s">
        <v>257</v>
      </c>
      <c r="G57" s="133">
        <v>52794.0</v>
      </c>
      <c r="H57" s="133">
        <v>52795.0</v>
      </c>
      <c r="I57" s="11">
        <v>316.1</v>
      </c>
      <c r="J57" s="82">
        <f t="shared" si="5"/>
        <v>24</v>
      </c>
      <c r="K57" s="137">
        <f t="shared" si="6"/>
        <v>433.202886</v>
      </c>
      <c r="L57" s="137">
        <f t="shared" si="7"/>
        <v>10866.40559</v>
      </c>
      <c r="M57" s="137">
        <f t="shared" si="8"/>
        <v>6623</v>
      </c>
      <c r="N57" s="137">
        <f t="shared" si="9"/>
        <v>158940</v>
      </c>
      <c r="O57" s="137">
        <f t="shared" si="10"/>
        <v>10396.86926</v>
      </c>
      <c r="P57" s="137">
        <f t="shared" si="11"/>
        <v>260793.7342</v>
      </c>
      <c r="Q57" s="137">
        <f t="shared" si="21"/>
        <v>7586.4</v>
      </c>
      <c r="R57" s="137">
        <f t="shared" si="22"/>
        <v>117.102886</v>
      </c>
      <c r="S57" s="137">
        <f t="shared" si="23"/>
        <v>10550.30559</v>
      </c>
      <c r="T57" s="137">
        <f t="shared" si="24"/>
        <v>2810.469263</v>
      </c>
      <c r="U57" s="137">
        <f t="shared" si="25"/>
        <v>253207.3342</v>
      </c>
      <c r="V57" s="138">
        <f t="shared" si="17"/>
        <v>1</v>
      </c>
      <c r="W57" s="138">
        <f t="shared" si="18"/>
        <v>-0.496</v>
      </c>
      <c r="X57" s="138">
        <f t="shared" si="19"/>
        <v>1</v>
      </c>
      <c r="Y57" s="138">
        <f t="shared" si="20"/>
        <v>1</v>
      </c>
      <c r="AC57" s="1" t="s">
        <v>217</v>
      </c>
      <c r="AD57" s="115"/>
    </row>
    <row r="58" ht="15.75" customHeight="1">
      <c r="E58" s="82"/>
      <c r="G58" s="79"/>
      <c r="H58" s="79"/>
      <c r="I58" s="144"/>
      <c r="M58" s="86"/>
      <c r="U58" s="87"/>
      <c r="V58" s="87"/>
      <c r="W58" s="87"/>
      <c r="X58" s="87"/>
      <c r="AC58" s="1" t="s">
        <v>219</v>
      </c>
      <c r="AD58" s="115"/>
      <c r="AE58" s="1" t="s">
        <v>220</v>
      </c>
    </row>
    <row r="59" ht="15.75" customHeight="1">
      <c r="E59" s="82"/>
      <c r="G59" s="79"/>
      <c r="H59" s="144"/>
      <c r="M59" s="86"/>
      <c r="U59" s="87"/>
      <c r="V59" s="87"/>
      <c r="W59" s="87"/>
      <c r="X59" s="87"/>
      <c r="AB59" s="1" t="s">
        <v>243</v>
      </c>
      <c r="AC59" s="1" t="s">
        <v>244</v>
      </c>
    </row>
    <row r="60" ht="15.75" customHeight="1">
      <c r="E60" s="82"/>
      <c r="G60" s="79"/>
      <c r="H60" s="79"/>
      <c r="M60" s="86"/>
      <c r="U60" s="87"/>
      <c r="V60" s="87"/>
      <c r="W60" s="87"/>
      <c r="X60" s="87"/>
      <c r="AC60" s="1" t="s">
        <v>253</v>
      </c>
    </row>
    <row r="61" ht="15.75" customHeight="1">
      <c r="E61" s="82"/>
      <c r="G61" s="79"/>
      <c r="H61" s="79"/>
      <c r="M61" s="86"/>
      <c r="U61" s="87"/>
      <c r="V61" s="87"/>
      <c r="W61" s="87"/>
      <c r="X61" s="87"/>
      <c r="AC61" s="1" t="s">
        <v>256</v>
      </c>
    </row>
    <row r="62" ht="15.75" customHeight="1">
      <c r="E62" s="82"/>
      <c r="G62" s="79"/>
      <c r="H62" s="79"/>
      <c r="M62" s="86"/>
      <c r="U62" s="87"/>
      <c r="V62" s="87"/>
      <c r="W62" s="87"/>
      <c r="X62" s="87"/>
      <c r="AC62" s="1" t="s">
        <v>258</v>
      </c>
    </row>
    <row r="63" ht="15.75" customHeight="1">
      <c r="E63" s="82"/>
      <c r="G63" s="79"/>
      <c r="H63" s="79"/>
      <c r="M63" s="86"/>
      <c r="U63" s="87"/>
      <c r="V63" s="87"/>
      <c r="W63" s="87"/>
      <c r="X63" s="87"/>
      <c r="AB63" s="1" t="s">
        <v>262</v>
      </c>
      <c r="AC63" s="1" t="s">
        <v>263</v>
      </c>
      <c r="AF63" s="11"/>
    </row>
    <row r="64" ht="15.75" customHeight="1">
      <c r="E64" s="82"/>
      <c r="G64" s="79"/>
      <c r="H64" s="79"/>
      <c r="M64" s="86"/>
      <c r="U64" s="87"/>
      <c r="V64" s="87"/>
      <c r="W64" s="87"/>
      <c r="X64" s="87"/>
      <c r="AC64" s="1" t="s">
        <v>265</v>
      </c>
      <c r="AF64" s="11"/>
    </row>
    <row r="65" ht="15.75" customHeight="1">
      <c r="E65" s="82"/>
      <c r="G65" s="79"/>
      <c r="H65" s="79"/>
      <c r="M65" s="86"/>
      <c r="U65" s="87"/>
      <c r="V65" s="87"/>
      <c r="W65" s="87"/>
      <c r="X65" s="87"/>
      <c r="AC65" s="1" t="s">
        <v>266</v>
      </c>
      <c r="AF65" s="11"/>
    </row>
    <row r="66" ht="15.75" customHeight="1">
      <c r="E66" s="82"/>
      <c r="G66" s="79"/>
      <c r="H66" s="79"/>
      <c r="M66" s="86"/>
      <c r="U66" s="87"/>
      <c r="V66" s="87"/>
      <c r="W66" s="87"/>
      <c r="X66" s="87"/>
      <c r="AC66" s="1" t="s">
        <v>268</v>
      </c>
      <c r="AF66" s="11"/>
    </row>
    <row r="67" ht="15.75" customHeight="1">
      <c r="E67" s="82"/>
      <c r="G67" s="79"/>
      <c r="H67" s="79"/>
      <c r="M67" s="86"/>
      <c r="U67" s="87"/>
      <c r="V67" s="87"/>
      <c r="W67" s="87"/>
      <c r="X67" s="87"/>
      <c r="AC67" s="1" t="s">
        <v>269</v>
      </c>
      <c r="AF67" s="11"/>
    </row>
    <row r="68" ht="15.75" customHeight="1">
      <c r="E68" s="82"/>
      <c r="G68" s="79"/>
      <c r="H68" s="79"/>
      <c r="M68" s="86"/>
      <c r="U68" s="87"/>
      <c r="V68" s="87"/>
      <c r="W68" s="87"/>
      <c r="X68" s="87"/>
      <c r="AC68" s="1" t="s">
        <v>274</v>
      </c>
      <c r="AF68" s="11"/>
    </row>
    <row r="69" ht="15.75" customHeight="1">
      <c r="E69" s="82"/>
      <c r="G69" s="79"/>
      <c r="H69" s="79"/>
      <c r="M69" s="86"/>
      <c r="U69" s="87"/>
      <c r="V69" s="87"/>
      <c r="W69" s="87"/>
      <c r="X69" s="87"/>
      <c r="AC69" s="1" t="s">
        <v>271</v>
      </c>
      <c r="AE69" s="1" t="s">
        <v>275</v>
      </c>
      <c r="AF69" s="11"/>
    </row>
    <row r="70" ht="15.75" customHeight="1">
      <c r="E70" s="82"/>
      <c r="G70" s="79"/>
      <c r="H70" s="79"/>
      <c r="M70" s="86"/>
      <c r="U70" s="87"/>
      <c r="V70" s="87"/>
      <c r="W70" s="87"/>
      <c r="X70" s="87"/>
      <c r="AC70" s="1" t="s">
        <v>266</v>
      </c>
      <c r="AF70" s="11"/>
    </row>
    <row r="71" ht="15.75" customHeight="1">
      <c r="E71" s="82"/>
      <c r="G71" s="79"/>
      <c r="H71" s="79"/>
      <c r="M71" s="86"/>
      <c r="U71" s="87"/>
      <c r="V71" s="87"/>
      <c r="W71" s="87"/>
      <c r="X71" s="87"/>
      <c r="AC71" s="1" t="s">
        <v>296</v>
      </c>
      <c r="AF71" s="11"/>
    </row>
    <row r="72" ht="15.75" customHeight="1">
      <c r="E72" s="82"/>
      <c r="G72" s="79"/>
      <c r="H72" s="79"/>
      <c r="M72" s="86"/>
      <c r="U72" s="87"/>
      <c r="V72" s="87"/>
      <c r="W72" s="87"/>
      <c r="X72" s="87"/>
      <c r="AC72" s="1" t="s">
        <v>269</v>
      </c>
      <c r="AF72" s="11"/>
    </row>
    <row r="73" ht="15.75" customHeight="1">
      <c r="E73" s="82"/>
      <c r="G73" s="79"/>
      <c r="H73" s="79"/>
      <c r="M73" s="86"/>
      <c r="U73" s="87"/>
      <c r="V73" s="87"/>
      <c r="W73" s="87"/>
      <c r="X73" s="87"/>
      <c r="AC73" s="1" t="s">
        <v>274</v>
      </c>
      <c r="AF73" s="11"/>
    </row>
    <row r="74" ht="15.75" customHeight="1">
      <c r="E74" s="82"/>
      <c r="G74" s="79"/>
      <c r="H74" s="79"/>
      <c r="M74" s="86"/>
      <c r="U74" s="87"/>
      <c r="V74" s="87"/>
      <c r="W74" s="87"/>
      <c r="X74" s="87"/>
      <c r="AC74" s="1" t="s">
        <v>271</v>
      </c>
      <c r="AE74" s="1" t="s">
        <v>275</v>
      </c>
      <c r="AF74" s="11"/>
    </row>
    <row r="75" ht="15.75" customHeight="1">
      <c r="E75" s="82"/>
      <c r="G75" s="79"/>
      <c r="H75" s="79"/>
      <c r="M75" s="86"/>
      <c r="U75" s="87"/>
      <c r="V75" s="87"/>
      <c r="W75" s="87"/>
      <c r="X75" s="87"/>
      <c r="AC75" s="1" t="s">
        <v>297</v>
      </c>
      <c r="AF75" s="11"/>
    </row>
    <row r="76" ht="15.75" customHeight="1">
      <c r="E76" s="82"/>
      <c r="G76" s="79"/>
      <c r="H76" s="79"/>
      <c r="M76" s="86"/>
      <c r="U76" s="87"/>
      <c r="V76" s="87"/>
      <c r="W76" s="87"/>
      <c r="X76" s="87"/>
      <c r="AC76" s="1" t="s">
        <v>298</v>
      </c>
      <c r="AF76" s="11"/>
    </row>
    <row r="77" ht="15.75" customHeight="1">
      <c r="E77" s="82"/>
      <c r="G77" s="79"/>
      <c r="H77" s="79"/>
      <c r="M77" s="86"/>
      <c r="U77" s="87"/>
      <c r="V77" s="87"/>
      <c r="W77" s="87"/>
      <c r="X77" s="87"/>
      <c r="AC77" s="1" t="s">
        <v>299</v>
      </c>
      <c r="AF77" s="11"/>
    </row>
    <row r="78" ht="15.75" customHeight="1">
      <c r="E78" s="82"/>
      <c r="G78" s="79"/>
      <c r="H78" s="79"/>
      <c r="M78" s="86"/>
      <c r="U78" s="87"/>
      <c r="V78" s="87"/>
      <c r="W78" s="87"/>
      <c r="X78" s="87"/>
      <c r="AC78" s="1" t="s">
        <v>269</v>
      </c>
      <c r="AF78" s="11"/>
    </row>
    <row r="79" ht="15.75" customHeight="1">
      <c r="E79" s="82"/>
      <c r="G79" s="79"/>
      <c r="H79" s="79"/>
      <c r="M79" s="86"/>
      <c r="U79" s="87"/>
      <c r="V79" s="87"/>
      <c r="W79" s="87"/>
      <c r="X79" s="87"/>
      <c r="AC79" s="1" t="s">
        <v>274</v>
      </c>
      <c r="AF79" s="11"/>
    </row>
    <row r="80" ht="15.75" customHeight="1">
      <c r="E80" s="82"/>
      <c r="G80" s="79"/>
      <c r="H80" s="79"/>
      <c r="M80" s="86"/>
      <c r="U80" s="87"/>
      <c r="V80" s="87"/>
      <c r="W80" s="87"/>
      <c r="X80" s="87"/>
      <c r="AC80" s="1" t="s">
        <v>271</v>
      </c>
      <c r="AE80" s="1" t="s">
        <v>275</v>
      </c>
    </row>
    <row r="81" ht="15.75" customHeight="1">
      <c r="E81" s="82"/>
      <c r="G81" s="79"/>
      <c r="H81" s="79"/>
      <c r="M81" s="86"/>
      <c r="U81" s="87"/>
      <c r="V81" s="87"/>
      <c r="W81" s="87"/>
      <c r="X81" s="87"/>
      <c r="AC81" s="1" t="s">
        <v>219</v>
      </c>
      <c r="AE81" s="1" t="s">
        <v>277</v>
      </c>
    </row>
    <row r="82" ht="15.75" customHeight="1">
      <c r="E82" s="82"/>
      <c r="G82" s="79"/>
      <c r="H82" s="79"/>
      <c r="M82" s="86"/>
      <c r="U82" s="87"/>
      <c r="V82" s="87"/>
      <c r="W82" s="87"/>
      <c r="X82" s="87"/>
      <c r="AB82" s="1" t="s">
        <v>278</v>
      </c>
      <c r="AC82" s="1" t="s">
        <v>279</v>
      </c>
    </row>
    <row r="83" ht="15.75" customHeight="1">
      <c r="E83" s="82"/>
      <c r="G83" s="79"/>
      <c r="H83" s="79"/>
      <c r="M83" s="86"/>
      <c r="U83" s="87"/>
      <c r="V83" s="87"/>
      <c r="W83" s="87"/>
      <c r="X83" s="87"/>
      <c r="AC83" s="1" t="s">
        <v>280</v>
      </c>
    </row>
    <row r="84" ht="15.75" customHeight="1">
      <c r="E84" s="82"/>
      <c r="G84" s="79"/>
      <c r="H84" s="79"/>
      <c r="M84" s="86"/>
      <c r="U84" s="87"/>
      <c r="V84" s="87"/>
      <c r="W84" s="87"/>
      <c r="X84" s="87"/>
      <c r="AC84" s="1" t="s">
        <v>282</v>
      </c>
    </row>
    <row r="85" ht="15.75" customHeight="1">
      <c r="E85" s="82"/>
      <c r="G85" s="79"/>
      <c r="H85" s="79"/>
      <c r="M85" s="86"/>
      <c r="U85" s="87"/>
      <c r="V85" s="87"/>
      <c r="W85" s="87"/>
      <c r="X85" s="87"/>
      <c r="AB85" s="1" t="s">
        <v>290</v>
      </c>
      <c r="AC85" s="1" t="s">
        <v>291</v>
      </c>
      <c r="AE85" s="1" t="s">
        <v>220</v>
      </c>
    </row>
    <row r="86" ht="15.75" customHeight="1">
      <c r="E86" s="82"/>
      <c r="G86" s="79"/>
      <c r="H86" s="79"/>
      <c r="M86" s="86"/>
      <c r="U86" s="87"/>
      <c r="V86" s="87"/>
      <c r="W86" s="87"/>
      <c r="X86" s="87"/>
      <c r="AB86" s="1" t="s">
        <v>295</v>
      </c>
      <c r="AC86" s="1" t="s">
        <v>300</v>
      </c>
    </row>
    <row r="87" ht="15.75" customHeight="1">
      <c r="E87" s="82"/>
      <c r="G87" s="79"/>
      <c r="H87" s="79"/>
      <c r="M87" s="86"/>
      <c r="U87" s="87"/>
      <c r="V87" s="87"/>
      <c r="W87" s="87"/>
      <c r="X87" s="87"/>
    </row>
    <row r="88" ht="15.75" customHeight="1">
      <c r="E88" s="82"/>
      <c r="G88" s="79"/>
      <c r="H88" s="79"/>
      <c r="M88" s="86"/>
      <c r="U88" s="87"/>
      <c r="V88" s="87"/>
      <c r="W88" s="87"/>
      <c r="X88" s="87"/>
    </row>
    <row r="89" ht="15.75" customHeight="1">
      <c r="E89" s="82"/>
      <c r="G89" s="79"/>
      <c r="H89" s="79"/>
      <c r="M89" s="86"/>
      <c r="U89" s="87"/>
      <c r="V89" s="87"/>
      <c r="W89" s="87"/>
      <c r="X89" s="87"/>
    </row>
    <row r="90" ht="15.75" customHeight="1">
      <c r="E90" s="82"/>
      <c r="G90" s="79"/>
      <c r="H90" s="79"/>
      <c r="M90" s="86"/>
      <c r="U90" s="87"/>
      <c r="V90" s="87"/>
      <c r="W90" s="87"/>
      <c r="X90" s="87"/>
    </row>
    <row r="91" ht="15.75" customHeight="1">
      <c r="E91" s="82"/>
      <c r="G91" s="79"/>
      <c r="H91" s="79"/>
      <c r="M91" s="86"/>
      <c r="U91" s="87"/>
      <c r="V91" s="87"/>
      <c r="W91" s="87"/>
      <c r="X91" s="87"/>
    </row>
    <row r="92" ht="15.75" customHeight="1">
      <c r="E92" s="82"/>
      <c r="G92" s="79"/>
      <c r="H92" s="79"/>
      <c r="M92" s="86"/>
      <c r="U92" s="87"/>
      <c r="V92" s="87"/>
      <c r="W92" s="1" t="s">
        <v>301</v>
      </c>
      <c r="X92" s="1">
        <f>113.6/4</f>
        <v>28.4</v>
      </c>
      <c r="Z92" s="1" t="s">
        <v>302</v>
      </c>
      <c r="AA92" s="1" t="s">
        <v>303</v>
      </c>
      <c r="AB92" s="1" t="s">
        <v>301</v>
      </c>
      <c r="AC92" s="1">
        <f>113.6/4</f>
        <v>28.4</v>
      </c>
    </row>
    <row r="93" ht="15.75" customHeight="1">
      <c r="E93" s="82"/>
      <c r="G93" s="79"/>
      <c r="H93" s="79"/>
      <c r="M93" s="86"/>
      <c r="Q93" s="1">
        <v>0.0</v>
      </c>
      <c r="U93" s="1" t="s">
        <v>302</v>
      </c>
      <c r="V93" s="1" t="s">
        <v>303</v>
      </c>
      <c r="W93" s="1" t="s">
        <v>304</v>
      </c>
      <c r="X93" s="1">
        <v>0.0</v>
      </c>
      <c r="Z93" s="87" t="s">
        <v>305</v>
      </c>
      <c r="AA93" s="87" t="s">
        <v>306</v>
      </c>
      <c r="AB93" s="1" t="s">
        <v>307</v>
      </c>
      <c r="AC93" s="1">
        <v>0.0</v>
      </c>
    </row>
    <row r="94" ht="15.75" customHeight="1">
      <c r="E94" s="82"/>
      <c r="G94" s="79"/>
      <c r="H94" s="79"/>
      <c r="M94" s="86"/>
      <c r="Q94" s="1">
        <v>7.888901572312188</v>
      </c>
      <c r="U94" s="87" t="s">
        <v>305</v>
      </c>
      <c r="V94" s="87" t="s">
        <v>306</v>
      </c>
      <c r="X94" s="1">
        <v>5.259271564920255</v>
      </c>
      <c r="AC94" s="1">
        <v>1039.5606572972824</v>
      </c>
    </row>
    <row r="95" ht="15.75" customHeight="1">
      <c r="E95" s="82"/>
      <c r="G95" s="79"/>
      <c r="H95" s="79"/>
      <c r="M95" s="86"/>
      <c r="Q95" s="1">
        <v>15.633256586727894</v>
      </c>
      <c r="U95" s="87"/>
      <c r="V95" s="87"/>
      <c r="X95" s="1">
        <v>10.465179719534849</v>
      </c>
      <c r="AC95" s="1">
        <v>1688.6020412945254</v>
      </c>
    </row>
    <row r="96" ht="15.75" customHeight="1">
      <c r="E96" s="82"/>
      <c r="G96" s="79"/>
      <c r="H96" s="79"/>
      <c r="M96" s="86"/>
      <c r="Q96" s="1">
        <v>23.355524443495487</v>
      </c>
      <c r="U96" s="87"/>
      <c r="V96" s="87"/>
      <c r="X96" s="1">
        <v>15.630893860881134</v>
      </c>
      <c r="AC96" s="1">
        <v>1994.0219124826506</v>
      </c>
    </row>
    <row r="97" ht="15.75" customHeight="1">
      <c r="E97" s="82"/>
      <c r="G97" s="79"/>
      <c r="H97" s="79"/>
      <c r="M97" s="86"/>
      <c r="Q97" s="1">
        <v>31.154134927055555</v>
      </c>
      <c r="U97" s="87"/>
      <c r="V97" s="87"/>
      <c r="X97" s="1">
        <v>20.780381095460648</v>
      </c>
      <c r="AC97" s="1">
        <v>2135.610357280417</v>
      </c>
    </row>
    <row r="98" ht="15.75" customHeight="1">
      <c r="E98" s="82"/>
      <c r="G98" s="79"/>
      <c r="H98" s="79"/>
      <c r="M98" s="86"/>
      <c r="Q98" s="1">
        <v>39.07347692242615</v>
      </c>
      <c r="U98" s="87"/>
      <c r="V98" s="87"/>
      <c r="X98" s="1">
        <v>25.94262275267384</v>
      </c>
      <c r="AC98" s="1">
        <v>2209.095566426736</v>
      </c>
    </row>
    <row r="99" ht="15.75" customHeight="1">
      <c r="E99" s="82"/>
      <c r="G99" s="79"/>
      <c r="H99" s="79"/>
      <c r="M99" s="86"/>
      <c r="Q99" s="1">
        <v>47.36740666434849</v>
      </c>
      <c r="U99" s="87"/>
      <c r="V99" s="87"/>
      <c r="X99" s="1">
        <v>31.148860986720372</v>
      </c>
      <c r="AC99" s="1">
        <v>2253.2845291696294</v>
      </c>
    </row>
    <row r="100" ht="15.75" customHeight="1">
      <c r="E100" s="82"/>
      <c r="G100" s="79"/>
      <c r="H100" s="79"/>
      <c r="M100" s="86"/>
      <c r="Q100" s="1">
        <v>56.13090723505949</v>
      </c>
      <c r="U100" s="87"/>
      <c r="V100" s="87"/>
      <c r="X100" s="1">
        <v>36.431587810558796</v>
      </c>
      <c r="AC100" s="1">
        <v>2281.032756851991</v>
      </c>
    </row>
    <row r="101" ht="15.75" customHeight="1">
      <c r="E101" s="82"/>
      <c r="G101" s="79"/>
      <c r="H101" s="79"/>
      <c r="M101" s="86"/>
      <c r="Q101" s="1">
        <v>65.49630025034514</v>
      </c>
      <c r="U101" s="87"/>
      <c r="V101" s="87"/>
      <c r="X101" s="1">
        <v>41.82449766847882</v>
      </c>
      <c r="AC101" s="1">
        <v>2301.4317697829515</v>
      </c>
    </row>
    <row r="102" ht="15.75" customHeight="1">
      <c r="E102" s="82"/>
      <c r="G102" s="79"/>
      <c r="H102" s="79"/>
      <c r="M102" s="86"/>
      <c r="Q102" s="1">
        <v>75.60830646543565</v>
      </c>
      <c r="U102" s="87"/>
      <c r="V102" s="87"/>
      <c r="X102" s="1">
        <v>47.363038754890276</v>
      </c>
      <c r="AC102" s="1">
        <v>2317.691315637708</v>
      </c>
    </row>
    <row r="103" ht="15.75" customHeight="1">
      <c r="E103" s="82"/>
      <c r="G103" s="79"/>
      <c r="H103" s="79"/>
      <c r="M103" s="86"/>
      <c r="Q103" s="1">
        <v>86.63371788481956</v>
      </c>
      <c r="U103" s="87"/>
      <c r="V103" s="87"/>
      <c r="X103" s="1">
        <v>53.085491942961</v>
      </c>
      <c r="AC103" s="1">
        <v>2331.460840662535</v>
      </c>
    </row>
    <row r="104" ht="15.75" customHeight="1">
      <c r="E104" s="82"/>
      <c r="G104" s="79"/>
      <c r="H104" s="79"/>
      <c r="M104" s="86"/>
      <c r="Q104" s="1">
        <v>98.78226130811191</v>
      </c>
      <c r="U104" s="87"/>
      <c r="V104" s="87"/>
      <c r="X104" s="1">
        <v>59.034770318159374</v>
      </c>
      <c r="AC104" s="1">
        <v>2344.4103740955784</v>
      </c>
    </row>
    <row r="105" ht="15.75" customHeight="1">
      <c r="E105" s="82"/>
      <c r="G105" s="79"/>
      <c r="H105" s="79"/>
      <c r="M105" s="86"/>
      <c r="Q105" s="1">
        <v>112.68684805640615</v>
      </c>
      <c r="U105" s="87"/>
      <c r="V105" s="87"/>
      <c r="X105" s="1">
        <v>65.40500759829942</v>
      </c>
    </row>
    <row r="106" ht="15.75" customHeight="1">
      <c r="E106" s="82"/>
      <c r="G106" s="79"/>
      <c r="H106" s="79"/>
      <c r="M106" s="86"/>
      <c r="Q106" s="1">
        <v>128.37571143795833</v>
      </c>
      <c r="U106" s="87"/>
      <c r="V106" s="87"/>
      <c r="X106" s="1">
        <v>72.01176785651413</v>
      </c>
    </row>
    <row r="107" ht="15.75" customHeight="1">
      <c r="E107" s="82"/>
      <c r="G107" s="79"/>
      <c r="H107" s="79"/>
      <c r="M107" s="86"/>
      <c r="Q107" s="1">
        <v>146.52405990717477</v>
      </c>
      <c r="U107" s="87"/>
      <c r="V107" s="87"/>
      <c r="X107" s="1">
        <v>78.94932578056701</v>
      </c>
    </row>
    <row r="108" ht="15.75" customHeight="1">
      <c r="E108" s="82"/>
      <c r="G108" s="79"/>
      <c r="H108" s="79"/>
      <c r="M108" s="86"/>
      <c r="Q108" s="1">
        <v>167.2133011027685</v>
      </c>
      <c r="U108" s="87"/>
      <c r="V108" s="87"/>
      <c r="X108" s="1">
        <v>86.52882114835822</v>
      </c>
    </row>
    <row r="109" ht="15.75" customHeight="1">
      <c r="E109" s="82"/>
      <c r="G109" s="79"/>
      <c r="H109" s="79"/>
      <c r="M109" s="86"/>
      <c r="Q109" s="1">
        <v>191.16489029626968</v>
      </c>
      <c r="U109" s="87"/>
      <c r="V109" s="87"/>
      <c r="X109" s="1">
        <v>94.46253600070254</v>
      </c>
    </row>
    <row r="110" ht="15.75" customHeight="1">
      <c r="E110" s="82"/>
      <c r="G110" s="79"/>
      <c r="H110" s="79"/>
      <c r="M110" s="86"/>
      <c r="Q110" s="1">
        <v>218.41020872402083</v>
      </c>
      <c r="U110" s="87"/>
      <c r="V110" s="87"/>
      <c r="X110" s="1">
        <v>103.19130730230266</v>
      </c>
    </row>
    <row r="111" ht="15.75" customHeight="1">
      <c r="E111" s="82"/>
      <c r="G111" s="79"/>
      <c r="H111" s="79"/>
      <c r="M111" s="86"/>
      <c r="Q111" s="1">
        <v>249.54752250515972</v>
      </c>
      <c r="U111" s="87"/>
      <c r="V111" s="87"/>
      <c r="X111" s="1">
        <v>112.6418452782235</v>
      </c>
    </row>
    <row r="112" ht="15.75" customHeight="1">
      <c r="E112" s="82"/>
      <c r="G112" s="79"/>
      <c r="H112" s="79"/>
      <c r="M112" s="86"/>
      <c r="Q112" s="1">
        <v>284.5892117330764</v>
      </c>
      <c r="U112" s="87"/>
      <c r="V112" s="87"/>
      <c r="X112" s="1">
        <v>122.88938588647916</v>
      </c>
    </row>
    <row r="113" ht="15.75" customHeight="1">
      <c r="E113" s="82"/>
      <c r="G113" s="79"/>
      <c r="H113" s="79"/>
      <c r="M113" s="86"/>
      <c r="Q113" s="1">
        <v>323.15320813997573</v>
      </c>
      <c r="U113" s="87"/>
      <c r="V113" s="87"/>
      <c r="X113" s="1">
        <v>134.03097634341668</v>
      </c>
    </row>
    <row r="114" ht="15.75" customHeight="1">
      <c r="E114" s="82"/>
      <c r="G114" s="79"/>
      <c r="H114" s="79"/>
      <c r="M114" s="86"/>
      <c r="Q114" s="1">
        <v>364.291055712353</v>
      </c>
      <c r="U114" s="87"/>
      <c r="V114" s="87"/>
      <c r="X114" s="1">
        <v>146.43622106139352</v>
      </c>
    </row>
    <row r="115" ht="15.75" customHeight="1">
      <c r="E115" s="82"/>
      <c r="G115" s="79"/>
      <c r="H115" s="79"/>
      <c r="M115" s="86"/>
      <c r="Q115" s="1">
        <v>406.9311699090266</v>
      </c>
      <c r="U115" s="87"/>
      <c r="V115" s="87"/>
      <c r="X115" s="1">
        <v>159.75582302580324</v>
      </c>
    </row>
    <row r="116" ht="15.75" customHeight="1">
      <c r="E116" s="82"/>
      <c r="G116" s="79"/>
      <c r="H116" s="79"/>
      <c r="M116" s="86"/>
      <c r="Q116" s="1">
        <v>449.4258664205451</v>
      </c>
      <c r="U116" s="87"/>
      <c r="V116" s="87"/>
      <c r="X116" s="1">
        <v>174.58544650659144</v>
      </c>
    </row>
    <row r="117" ht="15.75" customHeight="1">
      <c r="E117" s="82"/>
      <c r="G117" s="79"/>
      <c r="H117" s="79"/>
      <c r="M117" s="86"/>
      <c r="Q117" s="1">
        <v>490.0537623478901</v>
      </c>
      <c r="U117" s="87"/>
      <c r="V117" s="87"/>
      <c r="X117" s="1">
        <v>191.0466235776574</v>
      </c>
    </row>
    <row r="118" ht="15.75" customHeight="1">
      <c r="E118" s="82"/>
      <c r="G118" s="79"/>
      <c r="H118" s="79"/>
      <c r="M118" s="86"/>
      <c r="Q118" s="1">
        <v>527.8651055988947</v>
      </c>
      <c r="U118" s="87"/>
      <c r="V118" s="87"/>
      <c r="X118" s="1">
        <v>208.79505089197454</v>
      </c>
    </row>
    <row r="119" ht="15.75" customHeight="1">
      <c r="E119" s="82"/>
      <c r="G119" s="79"/>
      <c r="H119" s="79"/>
      <c r="M119" s="86"/>
      <c r="Q119" s="1">
        <v>561.6866528537153</v>
      </c>
      <c r="U119" s="87"/>
      <c r="V119" s="87"/>
      <c r="X119" s="1">
        <v>228.34324040916206</v>
      </c>
    </row>
    <row r="120" ht="15.75" customHeight="1">
      <c r="E120" s="82"/>
      <c r="G120" s="79"/>
      <c r="H120" s="79"/>
      <c r="M120" s="86"/>
      <c r="Q120" s="1">
        <v>591.4060199443832</v>
      </c>
      <c r="U120" s="87"/>
      <c r="V120" s="87"/>
      <c r="X120" s="1">
        <v>249.53834317815162</v>
      </c>
    </row>
    <row r="121" ht="15.75" customHeight="1">
      <c r="E121" s="82"/>
      <c r="G121" s="79"/>
      <c r="H121" s="79"/>
      <c r="M121" s="86"/>
      <c r="Q121" s="1">
        <v>617.1749977596979</v>
      </c>
      <c r="U121" s="87"/>
      <c r="V121" s="87"/>
      <c r="X121" s="1">
        <v>272.5635120128021</v>
      </c>
    </row>
    <row r="122" ht="15.75" customHeight="1">
      <c r="E122" s="82"/>
      <c r="G122" s="79"/>
      <c r="H122" s="79"/>
      <c r="M122" s="86"/>
      <c r="Q122" s="1">
        <v>639.3966905366331</v>
      </c>
      <c r="U122" s="87"/>
      <c r="V122" s="87"/>
      <c r="X122" s="1">
        <v>297.1477638158403</v>
      </c>
    </row>
    <row r="123" ht="15.75" customHeight="1">
      <c r="E123" s="82"/>
      <c r="G123" s="79"/>
      <c r="H123" s="79"/>
      <c r="M123" s="86"/>
      <c r="Q123" s="1">
        <v>658.1121096763379</v>
      </c>
      <c r="U123" s="87"/>
      <c r="V123" s="87"/>
      <c r="X123" s="1">
        <v>323.1337812351609</v>
      </c>
    </row>
    <row r="124" ht="15.75" customHeight="1">
      <c r="E124" s="82"/>
      <c r="G124" s="79"/>
      <c r="H124" s="79"/>
      <c r="M124" s="86"/>
      <c r="Q124" s="1">
        <v>674.2898070494294</v>
      </c>
      <c r="U124" s="87"/>
      <c r="V124" s="87"/>
      <c r="X124" s="1">
        <v>350.4008237229051</v>
      </c>
    </row>
    <row r="125" ht="15.75" customHeight="1">
      <c r="E125" s="82"/>
      <c r="G125" s="79"/>
      <c r="H125" s="79"/>
      <c r="M125" s="86"/>
      <c r="Q125" s="1">
        <v>688.0322586985938</v>
      </c>
      <c r="U125" s="87"/>
      <c r="V125" s="87"/>
      <c r="X125" s="1">
        <v>378.4208047372685</v>
      </c>
    </row>
    <row r="126" ht="15.75" customHeight="1">
      <c r="E126" s="82"/>
      <c r="G126" s="79"/>
      <c r="H126" s="79"/>
      <c r="M126" s="86"/>
      <c r="Q126" s="1">
        <v>699.7791187457129</v>
      </c>
      <c r="U126" s="87"/>
      <c r="V126" s="87"/>
      <c r="X126" s="1">
        <v>406.92349075539937</v>
      </c>
    </row>
    <row r="127" ht="15.75" customHeight="1">
      <c r="E127" s="82"/>
      <c r="G127" s="79"/>
      <c r="H127" s="79"/>
      <c r="M127" s="86"/>
      <c r="Q127" s="1">
        <v>710.2668300857165</v>
      </c>
      <c r="U127" s="87"/>
      <c r="V127" s="87"/>
      <c r="X127" s="1">
        <v>435.34524065033565</v>
      </c>
    </row>
    <row r="128" ht="15.75" customHeight="1">
      <c r="E128" s="82"/>
      <c r="G128" s="79"/>
      <c r="H128" s="79"/>
      <c r="M128" s="86"/>
      <c r="Q128" s="1">
        <v>719.9704258596088</v>
      </c>
      <c r="U128" s="87"/>
      <c r="V128" s="87"/>
      <c r="X128" s="1">
        <v>463.2668719200139</v>
      </c>
    </row>
    <row r="129" ht="15.75" customHeight="1">
      <c r="E129" s="82"/>
      <c r="G129" s="79"/>
      <c r="H129" s="79"/>
      <c r="M129" s="86"/>
      <c r="Q129" s="1">
        <v>728.239664031323</v>
      </c>
      <c r="U129" s="87"/>
      <c r="V129" s="87"/>
      <c r="X129" s="1">
        <v>490.1002722818125</v>
      </c>
    </row>
    <row r="130" ht="15.75" customHeight="1">
      <c r="E130" s="82"/>
      <c r="G130" s="79"/>
      <c r="H130" s="79"/>
      <c r="M130" s="86"/>
      <c r="Q130" s="1">
        <v>735.718642655919</v>
      </c>
      <c r="U130" s="87"/>
      <c r="V130" s="87"/>
      <c r="X130" s="1">
        <v>515.6382803806748</v>
      </c>
    </row>
    <row r="131" ht="15.75" customHeight="1">
      <c r="E131" s="82"/>
      <c r="G131" s="79"/>
      <c r="H131" s="79"/>
      <c r="M131" s="86"/>
      <c r="Q131" s="1">
        <v>742.8126941454306</v>
      </c>
      <c r="U131" s="87"/>
      <c r="V131" s="87"/>
      <c r="X131" s="1">
        <v>539.7243222101065</v>
      </c>
    </row>
    <row r="132" ht="15.75" customHeight="1">
      <c r="E132" s="82"/>
      <c r="G132" s="79"/>
      <c r="H132" s="79"/>
      <c r="M132" s="86"/>
      <c r="Q132" s="1">
        <v>749.4727668019536</v>
      </c>
      <c r="U132" s="87"/>
      <c r="V132" s="87"/>
      <c r="X132" s="1">
        <v>561.7620395004723</v>
      </c>
    </row>
    <row r="133" ht="15.75" customHeight="1">
      <c r="E133" s="82"/>
      <c r="G133" s="79"/>
      <c r="H133" s="79"/>
      <c r="M133" s="86"/>
      <c r="Q133" s="1">
        <v>755.6328161974259</v>
      </c>
      <c r="U133" s="87"/>
      <c r="V133" s="87"/>
      <c r="X133" s="1">
        <v>582.0618303699306</v>
      </c>
    </row>
    <row r="134" ht="15.75" customHeight="1">
      <c r="E134" s="82"/>
      <c r="G134" s="79"/>
      <c r="H134" s="79"/>
      <c r="M134" s="86"/>
      <c r="Q134" s="1">
        <v>761.6551956993993</v>
      </c>
      <c r="U134" s="87"/>
      <c r="V134" s="87"/>
      <c r="X134" s="1">
        <v>600.4409792236307</v>
      </c>
    </row>
    <row r="135" ht="15.75" customHeight="1">
      <c r="E135" s="82"/>
      <c r="G135" s="79"/>
      <c r="H135" s="79"/>
      <c r="M135" s="86"/>
      <c r="Q135" s="1">
        <v>767.5643754681157</v>
      </c>
      <c r="U135" s="87"/>
      <c r="V135" s="87"/>
      <c r="X135" s="1">
        <v>617.2381918146123</v>
      </c>
    </row>
    <row r="136" ht="15.75" customHeight="1">
      <c r="E136" s="82"/>
      <c r="G136" s="79"/>
      <c r="H136" s="79"/>
      <c r="M136" s="86"/>
      <c r="Q136" s="1">
        <v>773.4182998831562</v>
      </c>
      <c r="U136" s="87"/>
      <c r="V136" s="87"/>
      <c r="X136" s="1">
        <v>632.3228400766978</v>
      </c>
    </row>
    <row r="137" ht="15.75" customHeight="1">
      <c r="E137" s="82"/>
      <c r="G137" s="79"/>
      <c r="H137" s="79"/>
      <c r="M137" s="86"/>
      <c r="Q137" s="1">
        <v>779.2934625839317</v>
      </c>
      <c r="U137" s="87"/>
      <c r="V137" s="87"/>
      <c r="X137" s="1">
        <v>645.7975520022766</v>
      </c>
    </row>
    <row r="138" ht="15.75" customHeight="1">
      <c r="E138" s="82"/>
      <c r="G138" s="79"/>
      <c r="H138" s="79"/>
      <c r="M138" s="86"/>
      <c r="Q138" s="1">
        <v>785.3654472769249</v>
      </c>
      <c r="U138" s="87"/>
      <c r="V138" s="87"/>
      <c r="X138" s="1">
        <v>658.1336957035371</v>
      </c>
    </row>
    <row r="139" ht="15.75" customHeight="1">
      <c r="E139" s="82"/>
      <c r="G139" s="79"/>
      <c r="H139" s="79"/>
      <c r="M139" s="86"/>
      <c r="Q139" s="1">
        <v>791.6100036392234</v>
      </c>
      <c r="U139" s="87"/>
      <c r="V139" s="87"/>
      <c r="X139" s="1">
        <v>669.2114996886609</v>
      </c>
    </row>
    <row r="140" ht="15.75" customHeight="1">
      <c r="E140" s="82"/>
      <c r="G140" s="79"/>
      <c r="H140" s="79"/>
      <c r="M140" s="86"/>
      <c r="Q140" s="1">
        <v>798.1221432085822</v>
      </c>
      <c r="U140" s="87"/>
      <c r="V140" s="87"/>
      <c r="X140" s="1">
        <v>679.1421627864376</v>
      </c>
    </row>
    <row r="141" ht="15.75" customHeight="1">
      <c r="E141" s="82"/>
      <c r="G141" s="79"/>
      <c r="H141" s="79"/>
      <c r="M141" s="86"/>
      <c r="Q141" s="1">
        <v>805.2426196226331</v>
      </c>
      <c r="U141" s="87"/>
      <c r="V141" s="87"/>
      <c r="X141" s="1">
        <v>688.0804481958102</v>
      </c>
    </row>
    <row r="142" ht="15.75" customHeight="1">
      <c r="E142" s="82"/>
      <c r="G142" s="79"/>
      <c r="H142" s="79"/>
      <c r="M142" s="86"/>
      <c r="Q142" s="1">
        <v>812.7408705579213</v>
      </c>
      <c r="U142" s="87"/>
      <c r="V142" s="87"/>
      <c r="X142" s="1">
        <v>696.148094226831</v>
      </c>
    </row>
    <row r="143" ht="15.75" customHeight="1">
      <c r="E143" s="82"/>
      <c r="G143" s="79"/>
      <c r="H143" s="79"/>
      <c r="M143" s="86"/>
      <c r="Q143" s="1">
        <v>821.0097121128367</v>
      </c>
      <c r="U143" s="87"/>
      <c r="V143" s="87"/>
      <c r="X143" s="1">
        <v>703.7355633641898</v>
      </c>
    </row>
    <row r="144" ht="15.75" customHeight="1">
      <c r="E144" s="82"/>
      <c r="G144" s="79"/>
      <c r="H144" s="79"/>
      <c r="M144" s="86"/>
      <c r="Q144" s="1">
        <v>829.735073246338</v>
      </c>
      <c r="U144" s="87"/>
      <c r="V144" s="87"/>
      <c r="X144" s="1">
        <v>710.4528490182245</v>
      </c>
    </row>
    <row r="145" ht="15.75" customHeight="1">
      <c r="E145" s="82"/>
      <c r="G145" s="79"/>
      <c r="H145" s="79"/>
      <c r="M145" s="86"/>
      <c r="Q145" s="1">
        <v>839.6735913193448</v>
      </c>
      <c r="U145" s="87"/>
      <c r="V145" s="87"/>
      <c r="X145" s="1">
        <v>716.7983916677257</v>
      </c>
    </row>
    <row r="146" ht="15.75" customHeight="1">
      <c r="E146" s="82"/>
      <c r="G146" s="79"/>
      <c r="H146" s="79"/>
      <c r="M146" s="86"/>
      <c r="Q146" s="1">
        <v>851.3697825323599</v>
      </c>
      <c r="U146" s="87"/>
      <c r="V146" s="87"/>
      <c r="X146" s="1">
        <v>722.7222315567269</v>
      </c>
    </row>
    <row r="147" ht="15.75" customHeight="1">
      <c r="E147" s="82"/>
      <c r="G147" s="79"/>
      <c r="H147" s="79"/>
      <c r="M147" s="86"/>
      <c r="Q147" s="1">
        <v>864.6347965131852</v>
      </c>
      <c r="U147" s="87"/>
      <c r="V147" s="87"/>
      <c r="X147" s="1">
        <v>728.2386680393854</v>
      </c>
    </row>
    <row r="148" ht="15.75" customHeight="1">
      <c r="E148" s="82"/>
      <c r="G148" s="79"/>
      <c r="H148" s="79"/>
      <c r="M148" s="86"/>
      <c r="Q148" s="1">
        <v>881.5830524750254</v>
      </c>
      <c r="U148" s="87"/>
      <c r="V148" s="87"/>
      <c r="X148" s="1">
        <v>733.3979304313958</v>
      </c>
    </row>
    <row r="149" ht="15.75" customHeight="1">
      <c r="E149" s="82"/>
      <c r="G149" s="79"/>
      <c r="H149" s="79"/>
      <c r="M149" s="86"/>
      <c r="Q149" s="1">
        <v>902.6421984447187</v>
      </c>
      <c r="U149" s="87"/>
      <c r="V149" s="87"/>
      <c r="X149" s="1">
        <v>738.2572233605393</v>
      </c>
    </row>
    <row r="150" ht="15.75" customHeight="1">
      <c r="E150" s="82"/>
      <c r="G150" s="79"/>
      <c r="H150" s="79"/>
      <c r="M150" s="86"/>
      <c r="Q150" s="1">
        <v>930.9218912997754</v>
      </c>
      <c r="U150" s="87"/>
      <c r="V150" s="87"/>
      <c r="X150" s="1">
        <v>742.8677840986054</v>
      </c>
    </row>
    <row r="151" ht="15.75" customHeight="1">
      <c r="E151" s="82"/>
      <c r="G151" s="79"/>
      <c r="H151" s="79"/>
      <c r="M151" s="86"/>
      <c r="Q151" s="1">
        <v>969.0851562921563</v>
      </c>
      <c r="U151" s="87"/>
      <c r="V151" s="87"/>
      <c r="X151" s="1">
        <v>747.2738866482592</v>
      </c>
    </row>
    <row r="152" ht="15.75" customHeight="1">
      <c r="E152" s="82"/>
      <c r="G152" s="79"/>
      <c r="H152" s="79"/>
      <c r="M152" s="86"/>
      <c r="Q152" s="1">
        <v>1026.1881976665081</v>
      </c>
      <c r="U152" s="87"/>
      <c r="V152" s="87"/>
      <c r="X152" s="1">
        <v>751.514922544</v>
      </c>
    </row>
    <row r="153" ht="15.75" customHeight="1">
      <c r="E153" s="82"/>
      <c r="G153" s="79"/>
      <c r="H153" s="79"/>
      <c r="M153" s="86"/>
      <c r="Q153" s="1">
        <v>1112.5661813097338</v>
      </c>
      <c r="U153" s="87"/>
      <c r="V153" s="87"/>
      <c r="X153" s="1">
        <v>755.6271145844804</v>
      </c>
    </row>
    <row r="154" ht="15.75" customHeight="1">
      <c r="E154" s="82"/>
      <c r="G154" s="79"/>
      <c r="H154" s="79"/>
      <c r="M154" s="86"/>
      <c r="Q154" s="1">
        <v>1251.4410660685649</v>
      </c>
      <c r="U154" s="87"/>
      <c r="V154" s="87"/>
      <c r="X154" s="1">
        <v>759.6445381943333</v>
      </c>
    </row>
    <row r="155" ht="15.75" customHeight="1">
      <c r="E155" s="82"/>
      <c r="G155" s="79"/>
      <c r="H155" s="79"/>
      <c r="M155" s="86"/>
      <c r="Q155" s="1">
        <v>1479.8850922675115</v>
      </c>
      <c r="U155" s="87"/>
      <c r="V155" s="87"/>
      <c r="X155" s="1">
        <v>763.5996786283299</v>
      </c>
    </row>
    <row r="156" ht="15.75" customHeight="1">
      <c r="E156" s="82"/>
      <c r="G156" s="79"/>
      <c r="H156" s="79"/>
      <c r="M156" s="86"/>
      <c r="Q156" s="1">
        <v>1859.1295925978702</v>
      </c>
      <c r="U156" s="87"/>
      <c r="V156" s="87"/>
      <c r="X156" s="1">
        <v>767.5237131334699</v>
      </c>
    </row>
    <row r="157" ht="15.75" customHeight="1">
      <c r="E157" s="82"/>
      <c r="G157" s="79"/>
      <c r="H157" s="79"/>
      <c r="M157" s="86"/>
      <c r="Q157" s="1">
        <v>2439.7218055413773</v>
      </c>
      <c r="U157" s="87"/>
      <c r="V157" s="87"/>
      <c r="X157" s="1">
        <v>771.4466428312685</v>
      </c>
    </row>
    <row r="158" ht="15.75" customHeight="1">
      <c r="E158" s="82"/>
      <c r="G158" s="79"/>
      <c r="H158" s="79"/>
      <c r="M158" s="86"/>
      <c r="Q158" s="1">
        <v>3182.9936527127898</v>
      </c>
      <c r="U158" s="87"/>
      <c r="V158" s="87"/>
      <c r="X158" s="1">
        <v>775.3973615592338</v>
      </c>
    </row>
    <row r="159" ht="15.75" customHeight="1">
      <c r="E159" s="82"/>
      <c r="G159" s="79"/>
      <c r="H159" s="79"/>
      <c r="M159" s="86"/>
      <c r="Q159" s="1">
        <v>3914.7577416368517</v>
      </c>
      <c r="U159" s="87"/>
      <c r="V159" s="87"/>
      <c r="X159" s="1">
        <v>779.4037240369677</v>
      </c>
    </row>
    <row r="160" ht="15.75" customHeight="1">
      <c r="E160" s="82"/>
      <c r="G160" s="79"/>
      <c r="H160" s="79"/>
      <c r="M160" s="86"/>
      <c r="Q160" s="1">
        <v>3914.9043674474187</v>
      </c>
      <c r="U160" s="87"/>
      <c r="V160" s="87"/>
      <c r="X160" s="1">
        <v>783.4926552148496</v>
      </c>
    </row>
    <row r="161" ht="15.75" customHeight="1">
      <c r="E161" s="82"/>
      <c r="G161" s="79"/>
      <c r="H161" s="79"/>
      <c r="M161" s="86"/>
      <c r="U161" s="87"/>
      <c r="V161" s="87"/>
      <c r="X161" s="1">
        <v>787.6903253658969</v>
      </c>
    </row>
    <row r="162" ht="15.75" customHeight="1">
      <c r="E162" s="82"/>
      <c r="G162" s="79"/>
      <c r="H162" s="79"/>
      <c r="M162" s="86"/>
      <c r="U162" s="87"/>
      <c r="V162" s="87"/>
      <c r="X162" s="1">
        <v>792.0224030680404</v>
      </c>
    </row>
    <row r="163" ht="15.75" customHeight="1">
      <c r="E163" s="82"/>
      <c r="G163" s="79"/>
      <c r="H163" s="79"/>
      <c r="M163" s="86"/>
      <c r="U163" s="87"/>
      <c r="V163" s="87"/>
      <c r="X163" s="1">
        <v>796.5143919306041</v>
      </c>
    </row>
    <row r="164" ht="15.75" customHeight="1">
      <c r="E164" s="82"/>
      <c r="G164" s="79"/>
      <c r="H164" s="79"/>
      <c r="M164" s="86"/>
      <c r="U164" s="87"/>
      <c r="V164" s="87"/>
      <c r="X164" s="1">
        <v>801.1920581840915</v>
      </c>
    </row>
    <row r="165" ht="15.75" customHeight="1">
      <c r="E165" s="82"/>
      <c r="G165" s="79"/>
      <c r="H165" s="79"/>
      <c r="M165" s="86"/>
      <c r="U165" s="87"/>
      <c r="V165" s="87"/>
      <c r="X165" s="1">
        <v>806.0672837951389</v>
      </c>
    </row>
    <row r="166" ht="15.75" customHeight="1">
      <c r="E166" s="82"/>
      <c r="G166" s="79"/>
      <c r="H166" s="79"/>
      <c r="M166" s="86"/>
      <c r="U166" s="87"/>
      <c r="V166" s="87"/>
      <c r="X166" s="1">
        <v>811.1515189700485</v>
      </c>
    </row>
    <row r="167" ht="15.75" customHeight="1">
      <c r="E167" s="82"/>
      <c r="G167" s="79"/>
      <c r="H167" s="79"/>
      <c r="M167" s="86"/>
      <c r="U167" s="87"/>
      <c r="V167" s="87"/>
      <c r="X167" s="1">
        <v>816.4676919255173</v>
      </c>
    </row>
    <row r="168" ht="15.75" customHeight="1">
      <c r="E168" s="82"/>
      <c r="G168" s="79"/>
      <c r="H168" s="79"/>
      <c r="M168" s="86"/>
      <c r="U168" s="87"/>
      <c r="V168" s="87"/>
      <c r="X168" s="1">
        <v>822.0483911969699</v>
      </c>
    </row>
    <row r="169" ht="15.75" customHeight="1">
      <c r="E169" s="82"/>
      <c r="G169" s="79"/>
      <c r="H169" s="79"/>
      <c r="M169" s="86"/>
      <c r="U169" s="87"/>
      <c r="V169" s="87"/>
      <c r="X169" s="1">
        <v>827.9356759060474</v>
      </c>
    </row>
    <row r="170" ht="15.75" customHeight="1">
      <c r="E170" s="82"/>
      <c r="G170" s="79"/>
      <c r="H170" s="79"/>
      <c r="M170" s="86"/>
      <c r="U170" s="87"/>
      <c r="V170" s="87"/>
      <c r="X170" s="1">
        <v>834.1826817713819</v>
      </c>
    </row>
    <row r="171" ht="15.75" customHeight="1">
      <c r="E171" s="82"/>
      <c r="G171" s="79"/>
      <c r="H171" s="79"/>
      <c r="M171" s="86"/>
      <c r="U171" s="87"/>
      <c r="V171" s="87"/>
      <c r="X171" s="1">
        <v>840.8577242495984</v>
      </c>
    </row>
    <row r="172" ht="15.75" customHeight="1">
      <c r="E172" s="82"/>
      <c r="G172" s="79"/>
      <c r="H172" s="79"/>
      <c r="M172" s="86"/>
      <c r="U172" s="87"/>
      <c r="V172" s="87"/>
      <c r="X172" s="1">
        <v>848.0529226470023</v>
      </c>
    </row>
    <row r="173" ht="15.75" customHeight="1">
      <c r="E173" s="82"/>
      <c r="G173" s="79"/>
      <c r="H173" s="79"/>
      <c r="M173" s="86"/>
      <c r="U173" s="87"/>
      <c r="V173" s="87"/>
      <c r="X173" s="1">
        <v>855.9033782042211</v>
      </c>
    </row>
    <row r="174" ht="15.75" customHeight="1">
      <c r="E174" s="82"/>
      <c r="G174" s="79"/>
      <c r="H174" s="79"/>
      <c r="M174" s="86"/>
      <c r="U174" s="87"/>
      <c r="V174" s="87"/>
      <c r="X174" s="1">
        <v>864.639645605184</v>
      </c>
    </row>
    <row r="175" ht="15.75" customHeight="1">
      <c r="E175" s="82"/>
      <c r="G175" s="79"/>
      <c r="H175" s="79"/>
      <c r="M175" s="86"/>
      <c r="U175" s="87"/>
      <c r="V175" s="87"/>
      <c r="X175" s="1">
        <v>875.5755682017732</v>
      </c>
    </row>
    <row r="176" ht="15.75" customHeight="1">
      <c r="E176" s="82"/>
      <c r="G176" s="79"/>
      <c r="H176" s="79"/>
      <c r="M176" s="86"/>
      <c r="U176" s="87"/>
      <c r="V176" s="87"/>
      <c r="X176" s="1">
        <v>887.8451125615856</v>
      </c>
    </row>
    <row r="177" ht="15.75" customHeight="1">
      <c r="E177" s="82"/>
      <c r="G177" s="79"/>
      <c r="H177" s="79"/>
      <c r="M177" s="86"/>
      <c r="U177" s="87"/>
      <c r="V177" s="87"/>
      <c r="X177" s="1">
        <v>902.5338867900277</v>
      </c>
    </row>
    <row r="178" ht="15.75" customHeight="1">
      <c r="E178" s="82"/>
      <c r="G178" s="79"/>
      <c r="H178" s="79"/>
      <c r="M178" s="86"/>
      <c r="U178" s="87"/>
      <c r="V178" s="87"/>
      <c r="X178" s="1">
        <v>919.9435806489977</v>
      </c>
    </row>
    <row r="179" ht="15.75" customHeight="1">
      <c r="E179" s="82"/>
      <c r="G179" s="79"/>
      <c r="H179" s="79"/>
      <c r="M179" s="86"/>
      <c r="U179" s="87"/>
      <c r="V179" s="87"/>
      <c r="X179" s="1">
        <v>941.9894740791146</v>
      </c>
    </row>
    <row r="180" ht="15.75" customHeight="1">
      <c r="E180" s="82"/>
      <c r="G180" s="79"/>
      <c r="H180" s="79"/>
      <c r="M180" s="86"/>
      <c r="U180" s="87"/>
      <c r="V180" s="87"/>
      <c r="X180" s="1">
        <v>969.0291053250729</v>
      </c>
    </row>
    <row r="181" ht="15.75" customHeight="1">
      <c r="E181" s="82"/>
      <c r="G181" s="79"/>
      <c r="H181" s="79"/>
      <c r="M181" s="86"/>
      <c r="U181" s="87"/>
      <c r="V181" s="87"/>
      <c r="X181" s="1">
        <v>1004.0533091821295</v>
      </c>
    </row>
    <row r="182" ht="15.75" customHeight="1">
      <c r="E182" s="82"/>
      <c r="G182" s="79"/>
      <c r="H182" s="79"/>
      <c r="M182" s="86"/>
      <c r="U182" s="87"/>
      <c r="V182" s="87"/>
      <c r="X182" s="1">
        <v>1050.7031950037708</v>
      </c>
    </row>
    <row r="183" ht="15.75" customHeight="1">
      <c r="E183" s="82"/>
      <c r="G183" s="79"/>
      <c r="H183" s="79"/>
      <c r="M183" s="86"/>
      <c r="U183" s="87"/>
      <c r="V183" s="87"/>
      <c r="X183" s="1">
        <v>1112.3958056215208</v>
      </c>
    </row>
    <row r="184" ht="15.75" customHeight="1">
      <c r="E184" s="82"/>
      <c r="G184" s="79"/>
      <c r="H184" s="79"/>
      <c r="M184" s="86"/>
      <c r="U184" s="87"/>
      <c r="V184" s="87"/>
      <c r="X184" s="1">
        <v>1197.0864980707522</v>
      </c>
    </row>
    <row r="185" ht="15.75" customHeight="1">
      <c r="E185" s="82"/>
      <c r="G185" s="79"/>
      <c r="H185" s="79"/>
      <c r="M185" s="86"/>
      <c r="U185" s="87"/>
      <c r="V185" s="87"/>
      <c r="X185" s="1">
        <v>1314.3924001995485</v>
      </c>
    </row>
    <row r="186" ht="15.75" customHeight="1">
      <c r="E186" s="82"/>
      <c r="G186" s="79"/>
      <c r="H186" s="79"/>
      <c r="M186" s="86"/>
      <c r="U186" s="87"/>
      <c r="V186" s="87"/>
      <c r="X186" s="1">
        <v>1479.8838424209491</v>
      </c>
    </row>
    <row r="187" ht="15.75" customHeight="1">
      <c r="E187" s="82"/>
      <c r="G187" s="79"/>
      <c r="H187" s="79"/>
      <c r="M187" s="86"/>
      <c r="U187" s="87"/>
      <c r="V187" s="87"/>
      <c r="X187" s="1">
        <v>1712.3581265042478</v>
      </c>
    </row>
    <row r="188" ht="15.75" customHeight="1">
      <c r="E188" s="82"/>
      <c r="G188" s="79"/>
      <c r="H188" s="79"/>
      <c r="M188" s="86"/>
      <c r="U188" s="87"/>
      <c r="V188" s="87"/>
      <c r="X188" s="1">
        <v>2029.2251022925348</v>
      </c>
    </row>
    <row r="189" ht="15.75" customHeight="1">
      <c r="E189" s="82"/>
      <c r="G189" s="79"/>
      <c r="H189" s="79"/>
      <c r="M189" s="86"/>
      <c r="U189" s="87"/>
      <c r="V189" s="87"/>
      <c r="X189" s="1">
        <v>2439.72667214603</v>
      </c>
    </row>
    <row r="190" ht="15.75" customHeight="1">
      <c r="E190" s="82"/>
      <c r="G190" s="79"/>
      <c r="H190" s="79"/>
      <c r="M190" s="86"/>
      <c r="U190" s="87"/>
      <c r="V190" s="87"/>
      <c r="X190" s="1">
        <v>2926.1881164639817</v>
      </c>
    </row>
    <row r="191" ht="15.75" customHeight="1">
      <c r="E191" s="82"/>
      <c r="G191" s="79"/>
      <c r="H191" s="79"/>
      <c r="M191" s="86"/>
      <c r="U191" s="87"/>
      <c r="V191" s="87"/>
      <c r="X191" s="1">
        <v>3438.3506560844326</v>
      </c>
    </row>
    <row r="192" ht="15.75" customHeight="1">
      <c r="E192" s="82"/>
      <c r="G192" s="79"/>
      <c r="H192" s="79"/>
      <c r="M192" s="86"/>
      <c r="U192" s="87"/>
      <c r="V192" s="87"/>
      <c r="X192" s="1">
        <v>3914.9043674474187</v>
      </c>
    </row>
    <row r="193" ht="15.75" customHeight="1">
      <c r="E193" s="82"/>
      <c r="G193" s="79"/>
      <c r="H193" s="79"/>
      <c r="M193" s="86"/>
      <c r="U193" s="87"/>
      <c r="V193" s="87"/>
      <c r="W193" s="87"/>
      <c r="X193" s="87"/>
    </row>
    <row r="194" ht="15.75" customHeight="1">
      <c r="E194" s="82"/>
      <c r="G194" s="79"/>
      <c r="H194" s="79"/>
      <c r="M194" s="86"/>
      <c r="U194" s="87"/>
      <c r="V194" s="87"/>
      <c r="W194" s="87"/>
      <c r="X194" s="87"/>
    </row>
    <row r="195" ht="15.75" customHeight="1">
      <c r="E195" s="82"/>
      <c r="G195" s="79"/>
      <c r="H195" s="79"/>
      <c r="M195" s="86"/>
      <c r="U195" s="87"/>
      <c r="V195" s="87"/>
      <c r="W195" s="87"/>
      <c r="X195" s="87"/>
    </row>
    <row r="196" ht="15.75" customHeight="1">
      <c r="E196" s="82"/>
      <c r="G196" s="79"/>
      <c r="H196" s="79"/>
      <c r="M196" s="86"/>
      <c r="U196" s="87"/>
      <c r="V196" s="87"/>
      <c r="W196" s="87"/>
      <c r="X196" s="87"/>
    </row>
    <row r="197" ht="15.75" customHeight="1">
      <c r="E197" s="82"/>
      <c r="G197" s="79"/>
      <c r="H197" s="79"/>
      <c r="M197" s="86"/>
      <c r="U197" s="87"/>
      <c r="V197" s="87"/>
      <c r="W197" s="87"/>
      <c r="X197" s="87"/>
    </row>
    <row r="198" ht="15.75" customHeight="1">
      <c r="E198" s="82"/>
      <c r="G198" s="79"/>
      <c r="H198" s="79"/>
      <c r="M198" s="86"/>
      <c r="U198" s="87"/>
      <c r="V198" s="87"/>
      <c r="W198" s="87"/>
      <c r="X198" s="87"/>
    </row>
    <row r="199" ht="15.75" customHeight="1">
      <c r="E199" s="82"/>
      <c r="G199" s="79"/>
      <c r="H199" s="79"/>
      <c r="M199" s="86"/>
      <c r="U199" s="87"/>
      <c r="V199" s="87"/>
      <c r="W199" s="87"/>
      <c r="X199" s="87"/>
    </row>
    <row r="200" ht="15.75" customHeight="1">
      <c r="E200" s="82"/>
      <c r="G200" s="79"/>
      <c r="H200" s="79"/>
      <c r="M200" s="86"/>
      <c r="U200" s="87"/>
      <c r="V200" s="87"/>
      <c r="W200" s="87"/>
      <c r="X200" s="87"/>
    </row>
    <row r="201" ht="15.75" customHeight="1">
      <c r="E201" s="82"/>
      <c r="G201" s="79"/>
      <c r="H201" s="79"/>
      <c r="M201" s="86"/>
      <c r="U201" s="87"/>
      <c r="V201" s="87"/>
      <c r="W201" s="87"/>
      <c r="X201" s="87"/>
    </row>
    <row r="202" ht="15.75" customHeight="1">
      <c r="E202" s="82"/>
      <c r="G202" s="79"/>
      <c r="H202" s="79"/>
      <c r="M202" s="86"/>
      <c r="U202" s="87"/>
      <c r="V202" s="87"/>
      <c r="W202" s="87"/>
      <c r="X202" s="87"/>
    </row>
    <row r="203" ht="15.75" customHeight="1">
      <c r="E203" s="82"/>
      <c r="G203" s="79"/>
      <c r="H203" s="79"/>
      <c r="M203" s="86"/>
      <c r="U203" s="87"/>
      <c r="V203" s="87"/>
      <c r="W203" s="87"/>
      <c r="X203" s="87"/>
    </row>
    <row r="204" ht="15.75" customHeight="1">
      <c r="E204" s="82"/>
      <c r="G204" s="79"/>
      <c r="H204" s="79"/>
      <c r="M204" s="86"/>
      <c r="U204" s="87"/>
      <c r="V204" s="87"/>
      <c r="W204" s="87"/>
      <c r="X204" s="87"/>
    </row>
    <row r="205" ht="15.75" customHeight="1">
      <c r="E205" s="82"/>
      <c r="G205" s="79"/>
      <c r="H205" s="79"/>
      <c r="M205" s="86"/>
      <c r="U205" s="87"/>
      <c r="V205" s="87"/>
      <c r="W205" s="87"/>
      <c r="X205" s="87"/>
    </row>
    <row r="206" ht="15.75" customHeight="1">
      <c r="E206" s="82"/>
      <c r="G206" s="79"/>
      <c r="H206" s="79"/>
      <c r="M206" s="86"/>
      <c r="U206" s="87"/>
      <c r="V206" s="87"/>
      <c r="W206" s="87"/>
      <c r="X206" s="87"/>
    </row>
    <row r="207" ht="15.75" customHeight="1">
      <c r="E207" s="82"/>
      <c r="G207" s="79"/>
      <c r="H207" s="79"/>
      <c r="M207" s="86"/>
      <c r="U207" s="87"/>
      <c r="V207" s="87"/>
      <c r="W207" s="87"/>
      <c r="X207" s="87"/>
    </row>
    <row r="208" ht="15.75" customHeight="1">
      <c r="E208" s="82"/>
      <c r="G208" s="79"/>
      <c r="H208" s="79"/>
      <c r="M208" s="86"/>
      <c r="U208" s="87"/>
      <c r="V208" s="87"/>
      <c r="W208" s="87"/>
      <c r="X208" s="87"/>
    </row>
    <row r="209" ht="15.75" customHeight="1">
      <c r="E209" s="82"/>
      <c r="G209" s="79"/>
      <c r="H209" s="79"/>
      <c r="M209" s="86"/>
      <c r="U209" s="87"/>
      <c r="V209" s="87"/>
      <c r="W209" s="87"/>
      <c r="X209" s="87"/>
    </row>
    <row r="210" ht="15.75" customHeight="1">
      <c r="E210" s="82"/>
      <c r="G210" s="79"/>
      <c r="H210" s="79"/>
      <c r="M210" s="86"/>
      <c r="U210" s="87"/>
      <c r="V210" s="87"/>
      <c r="W210" s="87"/>
      <c r="X210" s="87"/>
    </row>
    <row r="211" ht="15.75" customHeight="1">
      <c r="E211" s="82"/>
      <c r="G211" s="79"/>
      <c r="H211" s="79"/>
      <c r="M211" s="86"/>
      <c r="U211" s="87"/>
      <c r="V211" s="87"/>
      <c r="W211" s="87"/>
      <c r="X211" s="87"/>
    </row>
    <row r="212" ht="15.75" customHeight="1">
      <c r="E212" s="82"/>
      <c r="G212" s="79"/>
      <c r="H212" s="79"/>
      <c r="M212" s="86"/>
      <c r="U212" s="87"/>
      <c r="V212" s="87"/>
      <c r="W212" s="87"/>
      <c r="X212" s="87"/>
    </row>
    <row r="213" ht="15.75" customHeight="1">
      <c r="E213" s="82"/>
      <c r="G213" s="79"/>
      <c r="H213" s="79"/>
      <c r="M213" s="86"/>
      <c r="U213" s="87"/>
      <c r="V213" s="87"/>
      <c r="W213" s="87"/>
      <c r="X213" s="87"/>
    </row>
    <row r="214" ht="15.75" customHeight="1">
      <c r="E214" s="82"/>
      <c r="G214" s="79"/>
      <c r="H214" s="79"/>
      <c r="M214" s="86"/>
      <c r="U214" s="87"/>
      <c r="V214" s="87"/>
      <c r="W214" s="87"/>
      <c r="X214" s="87"/>
    </row>
    <row r="215" ht="15.75" customHeight="1">
      <c r="E215" s="82"/>
      <c r="G215" s="79"/>
      <c r="H215" s="79"/>
      <c r="M215" s="86"/>
      <c r="U215" s="87"/>
      <c r="V215" s="87"/>
      <c r="W215" s="87"/>
      <c r="X215" s="87"/>
    </row>
    <row r="216" ht="15.75" customHeight="1">
      <c r="E216" s="82"/>
      <c r="G216" s="79"/>
      <c r="H216" s="79"/>
      <c r="M216" s="86"/>
      <c r="U216" s="87"/>
      <c r="V216" s="87"/>
      <c r="W216" s="87"/>
      <c r="X216" s="87"/>
    </row>
    <row r="217" ht="15.75" customHeight="1">
      <c r="E217" s="82"/>
      <c r="G217" s="79"/>
      <c r="H217" s="79"/>
      <c r="M217" s="86"/>
      <c r="U217" s="87"/>
      <c r="V217" s="87"/>
      <c r="W217" s="87"/>
      <c r="X217" s="87"/>
    </row>
    <row r="218" ht="15.75" customHeight="1">
      <c r="E218" s="82"/>
      <c r="G218" s="79"/>
      <c r="H218" s="79"/>
      <c r="M218" s="86"/>
      <c r="U218" s="87"/>
      <c r="V218" s="87"/>
      <c r="W218" s="87"/>
      <c r="X218" s="87"/>
    </row>
    <row r="219" ht="15.75" customHeight="1">
      <c r="E219" s="82"/>
      <c r="G219" s="79"/>
      <c r="H219" s="79"/>
      <c r="M219" s="86"/>
      <c r="U219" s="87"/>
      <c r="V219" s="87"/>
      <c r="W219" s="87"/>
      <c r="X219" s="87"/>
    </row>
    <row r="220" ht="15.75" customHeight="1">
      <c r="E220" s="82"/>
      <c r="G220" s="79"/>
      <c r="H220" s="79"/>
      <c r="M220" s="86"/>
      <c r="U220" s="87"/>
      <c r="V220" s="87"/>
      <c r="W220" s="87"/>
      <c r="X220" s="87"/>
    </row>
    <row r="221" ht="15.75" customHeight="1">
      <c r="E221" s="82"/>
      <c r="G221" s="79"/>
      <c r="H221" s="79"/>
      <c r="M221" s="86"/>
      <c r="U221" s="87"/>
      <c r="V221" s="87"/>
      <c r="W221" s="87"/>
      <c r="X221" s="87"/>
    </row>
    <row r="222" ht="15.75" customHeight="1">
      <c r="E222" s="82"/>
      <c r="G222" s="79"/>
      <c r="H222" s="79"/>
      <c r="M222" s="86"/>
      <c r="U222" s="87"/>
      <c r="V222" s="87"/>
      <c r="W222" s="87"/>
      <c r="X222" s="87"/>
    </row>
    <row r="223" ht="15.75" customHeight="1">
      <c r="E223" s="82"/>
      <c r="G223" s="79"/>
      <c r="H223" s="79"/>
      <c r="M223" s="86"/>
      <c r="U223" s="87"/>
      <c r="V223" s="87"/>
      <c r="W223" s="87"/>
      <c r="X223" s="87"/>
    </row>
    <row r="224" ht="15.75" customHeight="1">
      <c r="E224" s="82"/>
      <c r="G224" s="79"/>
      <c r="H224" s="79"/>
      <c r="M224" s="86"/>
      <c r="U224" s="87"/>
      <c r="V224" s="87"/>
      <c r="W224" s="87"/>
      <c r="X224" s="87"/>
    </row>
    <row r="225" ht="15.75" customHeight="1">
      <c r="E225" s="82"/>
      <c r="G225" s="79"/>
      <c r="H225" s="79"/>
      <c r="M225" s="86"/>
      <c r="U225" s="87"/>
      <c r="V225" s="87"/>
      <c r="W225" s="87"/>
      <c r="X225" s="87"/>
    </row>
    <row r="226" ht="15.75" customHeight="1">
      <c r="E226" s="82"/>
      <c r="G226" s="79"/>
      <c r="H226" s="79"/>
      <c r="M226" s="86"/>
      <c r="U226" s="87"/>
      <c r="V226" s="87"/>
      <c r="W226" s="87"/>
      <c r="X226" s="87"/>
    </row>
    <row r="227" ht="15.75" customHeight="1">
      <c r="E227" s="82"/>
      <c r="G227" s="79"/>
      <c r="H227" s="79"/>
      <c r="M227" s="86"/>
      <c r="U227" s="87"/>
      <c r="V227" s="87"/>
      <c r="W227" s="87"/>
      <c r="X227" s="87"/>
    </row>
    <row r="228" ht="15.75" customHeight="1">
      <c r="E228" s="82"/>
      <c r="G228" s="79"/>
      <c r="H228" s="79"/>
      <c r="M228" s="86"/>
      <c r="U228" s="87"/>
      <c r="V228" s="87"/>
      <c r="W228" s="87"/>
      <c r="X228" s="87"/>
    </row>
    <row r="229" ht="15.75" customHeight="1">
      <c r="E229" s="82"/>
      <c r="G229" s="79"/>
      <c r="H229" s="79"/>
      <c r="M229" s="86"/>
      <c r="U229" s="87"/>
      <c r="V229" s="87"/>
      <c r="W229" s="87"/>
      <c r="X229" s="87"/>
    </row>
    <row r="230" ht="15.75" customHeight="1">
      <c r="E230" s="82"/>
      <c r="G230" s="79"/>
      <c r="H230" s="79"/>
      <c r="M230" s="86"/>
      <c r="U230" s="87"/>
      <c r="V230" s="87"/>
      <c r="W230" s="87"/>
      <c r="X230" s="87"/>
    </row>
    <row r="231" ht="15.75" customHeight="1">
      <c r="E231" s="82"/>
      <c r="G231" s="79"/>
      <c r="H231" s="79"/>
      <c r="M231" s="86"/>
      <c r="U231" s="87"/>
      <c r="V231" s="87"/>
      <c r="W231" s="87"/>
      <c r="X231" s="87"/>
    </row>
    <row r="232" ht="15.75" customHeight="1">
      <c r="E232" s="82"/>
      <c r="G232" s="79"/>
      <c r="H232" s="79"/>
      <c r="M232" s="86"/>
      <c r="U232" s="87"/>
      <c r="V232" s="87"/>
      <c r="W232" s="87"/>
      <c r="X232" s="87"/>
    </row>
    <row r="233" ht="15.75" customHeight="1">
      <c r="E233" s="82"/>
      <c r="G233" s="79"/>
      <c r="H233" s="79"/>
      <c r="M233" s="86"/>
      <c r="U233" s="87"/>
      <c r="V233" s="87"/>
      <c r="W233" s="87"/>
      <c r="X233" s="87"/>
    </row>
    <row r="234" ht="15.75" customHeight="1">
      <c r="E234" s="82"/>
      <c r="G234" s="79"/>
      <c r="H234" s="79"/>
      <c r="M234" s="86"/>
      <c r="U234" s="87"/>
      <c r="V234" s="87"/>
      <c r="W234" s="87"/>
      <c r="X234" s="87"/>
    </row>
    <row r="235" ht="15.75" customHeight="1">
      <c r="E235" s="82"/>
      <c r="G235" s="79"/>
      <c r="H235" s="79"/>
      <c r="M235" s="86"/>
      <c r="U235" s="87"/>
      <c r="V235" s="87"/>
      <c r="W235" s="87"/>
      <c r="X235" s="87"/>
    </row>
    <row r="236" ht="15.75" customHeight="1">
      <c r="E236" s="82"/>
      <c r="G236" s="79"/>
      <c r="H236" s="79"/>
      <c r="M236" s="86"/>
      <c r="U236" s="87"/>
      <c r="V236" s="87"/>
      <c r="W236" s="87"/>
      <c r="X236" s="87"/>
    </row>
    <row r="237" ht="15.75" customHeight="1">
      <c r="E237" s="82"/>
      <c r="G237" s="79"/>
      <c r="H237" s="79"/>
      <c r="M237" s="86"/>
      <c r="U237" s="87"/>
      <c r="V237" s="87"/>
      <c r="W237" s="87"/>
      <c r="X237" s="87"/>
    </row>
    <row r="238" ht="15.75" customHeight="1">
      <c r="E238" s="82"/>
      <c r="G238" s="79"/>
      <c r="H238" s="79"/>
      <c r="M238" s="86"/>
      <c r="U238" s="87"/>
      <c r="V238" s="87"/>
      <c r="W238" s="87"/>
      <c r="X238" s="87"/>
    </row>
    <row r="239" ht="15.75" customHeight="1">
      <c r="E239" s="82"/>
      <c r="G239" s="79"/>
      <c r="H239" s="79"/>
      <c r="M239" s="86"/>
      <c r="U239" s="87"/>
      <c r="V239" s="87"/>
      <c r="W239" s="87"/>
      <c r="X239" s="87"/>
    </row>
    <row r="240" ht="15.75" customHeight="1">
      <c r="E240" s="82"/>
      <c r="G240" s="79"/>
      <c r="H240" s="79"/>
      <c r="M240" s="86"/>
      <c r="U240" s="87"/>
      <c r="V240" s="87"/>
      <c r="W240" s="87"/>
      <c r="X240" s="87"/>
    </row>
    <row r="241" ht="15.75" customHeight="1">
      <c r="E241" s="82"/>
      <c r="G241" s="79"/>
      <c r="H241" s="79"/>
      <c r="M241" s="86"/>
      <c r="U241" s="87"/>
      <c r="V241" s="87"/>
      <c r="W241" s="87"/>
      <c r="X241" s="87"/>
    </row>
    <row r="242" ht="15.75" customHeight="1">
      <c r="E242" s="82"/>
      <c r="G242" s="79"/>
      <c r="H242" s="79"/>
      <c r="M242" s="86"/>
      <c r="U242" s="87"/>
      <c r="V242" s="87"/>
      <c r="W242" s="87"/>
      <c r="X242" s="87"/>
    </row>
    <row r="243" ht="15.75" customHeight="1">
      <c r="E243" s="82"/>
      <c r="G243" s="79"/>
      <c r="H243" s="79"/>
      <c r="M243" s="86"/>
      <c r="U243" s="87"/>
      <c r="V243" s="87"/>
      <c r="W243" s="87"/>
      <c r="X243" s="87"/>
    </row>
    <row r="244" ht="15.75" customHeight="1">
      <c r="E244" s="82"/>
      <c r="G244" s="79"/>
      <c r="H244" s="79"/>
      <c r="M244" s="86"/>
      <c r="U244" s="87"/>
      <c r="V244" s="87"/>
      <c r="W244" s="87"/>
      <c r="X244" s="87"/>
    </row>
    <row r="245" ht="15.75" customHeight="1">
      <c r="E245" s="82"/>
      <c r="G245" s="79"/>
      <c r="H245" s="79"/>
      <c r="M245" s="86"/>
      <c r="U245" s="87"/>
      <c r="V245" s="87"/>
      <c r="W245" s="87"/>
      <c r="X245" s="87"/>
    </row>
    <row r="246" ht="15.75" customHeight="1">
      <c r="E246" s="82"/>
      <c r="G246" s="79"/>
      <c r="H246" s="79"/>
      <c r="M246" s="86"/>
      <c r="U246" s="87"/>
      <c r="V246" s="87"/>
      <c r="W246" s="87"/>
      <c r="X246" s="87"/>
    </row>
    <row r="247" ht="15.75" customHeight="1">
      <c r="E247" s="82"/>
      <c r="G247" s="79"/>
      <c r="H247" s="79"/>
      <c r="M247" s="86"/>
      <c r="U247" s="87"/>
      <c r="V247" s="87"/>
      <c r="W247" s="87"/>
      <c r="X247" s="87"/>
    </row>
    <row r="248" ht="15.75" customHeight="1">
      <c r="E248" s="82"/>
      <c r="G248" s="79"/>
      <c r="H248" s="79"/>
      <c r="M248" s="86"/>
      <c r="U248" s="87"/>
      <c r="V248" s="87"/>
      <c r="W248" s="87"/>
      <c r="X248" s="87"/>
    </row>
    <row r="249" ht="15.75" customHeight="1">
      <c r="E249" s="82"/>
      <c r="G249" s="79"/>
      <c r="H249" s="79"/>
      <c r="M249" s="86"/>
      <c r="U249" s="87"/>
      <c r="V249" s="87"/>
      <c r="W249" s="87"/>
      <c r="X249" s="87"/>
    </row>
    <row r="250" ht="15.75" customHeight="1">
      <c r="E250" s="82"/>
      <c r="G250" s="79"/>
      <c r="H250" s="79"/>
      <c r="M250" s="86"/>
      <c r="U250" s="87"/>
      <c r="V250" s="87"/>
      <c r="W250" s="87"/>
      <c r="X250" s="87"/>
    </row>
    <row r="251" ht="15.75" customHeight="1">
      <c r="E251" s="82"/>
      <c r="G251" s="79"/>
      <c r="H251" s="79"/>
      <c r="M251" s="86"/>
      <c r="U251" s="87"/>
      <c r="V251" s="87"/>
      <c r="W251" s="87"/>
      <c r="X251" s="87"/>
    </row>
    <row r="252" ht="15.75" customHeight="1">
      <c r="E252" s="82"/>
      <c r="G252" s="79"/>
      <c r="H252" s="79"/>
      <c r="M252" s="86"/>
      <c r="U252" s="87"/>
      <c r="V252" s="87"/>
      <c r="W252" s="87"/>
      <c r="X252" s="87"/>
    </row>
    <row r="253" ht="15.75" customHeight="1">
      <c r="E253" s="82"/>
      <c r="G253" s="79"/>
      <c r="H253" s="79"/>
      <c r="M253" s="86"/>
      <c r="U253" s="87"/>
      <c r="V253" s="87"/>
      <c r="W253" s="87"/>
      <c r="X253" s="87"/>
    </row>
    <row r="254" ht="15.75" customHeight="1">
      <c r="E254" s="82"/>
      <c r="G254" s="79"/>
      <c r="H254" s="79"/>
      <c r="M254" s="86"/>
      <c r="U254" s="87"/>
      <c r="V254" s="87"/>
      <c r="W254" s="87"/>
      <c r="X254" s="87"/>
    </row>
    <row r="255" ht="15.75" customHeight="1">
      <c r="E255" s="82"/>
      <c r="G255" s="79"/>
      <c r="H255" s="79"/>
      <c r="M255" s="86"/>
      <c r="U255" s="87"/>
      <c r="V255" s="87"/>
      <c r="W255" s="87"/>
      <c r="X255" s="87"/>
    </row>
    <row r="256" ht="15.75" customHeight="1">
      <c r="E256" s="82"/>
      <c r="G256" s="79"/>
      <c r="H256" s="79"/>
      <c r="M256" s="86"/>
      <c r="U256" s="87"/>
      <c r="V256" s="87"/>
      <c r="W256" s="87"/>
      <c r="X256" s="87"/>
    </row>
    <row r="257" ht="15.75" customHeight="1">
      <c r="E257" s="82"/>
      <c r="G257" s="79"/>
      <c r="H257" s="79"/>
      <c r="M257" s="86"/>
      <c r="U257" s="87"/>
      <c r="V257" s="87"/>
      <c r="W257" s="87"/>
      <c r="X257" s="87"/>
    </row>
    <row r="258" ht="15.75" customHeight="1">
      <c r="E258" s="82"/>
      <c r="G258" s="79"/>
      <c r="H258" s="79"/>
      <c r="M258" s="86"/>
      <c r="U258" s="87"/>
      <c r="V258" s="87"/>
      <c r="W258" s="87"/>
      <c r="X258" s="87"/>
    </row>
    <row r="259" ht="15.75" customHeight="1">
      <c r="E259" s="82"/>
      <c r="G259" s="79"/>
      <c r="H259" s="79"/>
      <c r="M259" s="86"/>
      <c r="U259" s="87"/>
      <c r="V259" s="87"/>
      <c r="W259" s="87"/>
      <c r="X259" s="87"/>
    </row>
    <row r="260" ht="15.75" customHeight="1">
      <c r="E260" s="82"/>
      <c r="G260" s="79"/>
      <c r="H260" s="79"/>
      <c r="M260" s="86"/>
      <c r="U260" s="87"/>
      <c r="V260" s="87"/>
      <c r="W260" s="87"/>
      <c r="X260" s="87"/>
    </row>
    <row r="261" ht="15.75" customHeight="1">
      <c r="E261" s="82"/>
      <c r="G261" s="79"/>
      <c r="H261" s="79"/>
      <c r="M261" s="86"/>
      <c r="U261" s="87"/>
      <c r="V261" s="87"/>
      <c r="W261" s="87"/>
      <c r="X261" s="87"/>
    </row>
    <row r="262" ht="15.75" customHeight="1">
      <c r="E262" s="82"/>
      <c r="G262" s="79"/>
      <c r="H262" s="79"/>
      <c r="M262" s="86"/>
      <c r="U262" s="87"/>
      <c r="V262" s="87"/>
      <c r="W262" s="87"/>
      <c r="X262" s="87"/>
    </row>
    <row r="263" ht="15.75" customHeight="1">
      <c r="E263" s="82"/>
      <c r="G263" s="79"/>
      <c r="H263" s="79"/>
      <c r="M263" s="86"/>
      <c r="U263" s="87"/>
      <c r="V263" s="87"/>
      <c r="W263" s="87"/>
      <c r="X263" s="87"/>
    </row>
    <row r="264" ht="15.75" customHeight="1">
      <c r="E264" s="82"/>
      <c r="G264" s="79"/>
      <c r="H264" s="79"/>
      <c r="M264" s="86"/>
      <c r="U264" s="87"/>
      <c r="V264" s="87"/>
      <c r="W264" s="87"/>
      <c r="X264" s="87"/>
    </row>
    <row r="265" ht="15.75" customHeight="1">
      <c r="E265" s="82"/>
      <c r="G265" s="79"/>
      <c r="H265" s="79"/>
      <c r="M265" s="86"/>
      <c r="U265" s="87"/>
      <c r="V265" s="87"/>
      <c r="W265" s="87"/>
      <c r="X265" s="87"/>
    </row>
    <row r="266" ht="15.75" customHeight="1">
      <c r="E266" s="82"/>
      <c r="G266" s="79"/>
      <c r="H266" s="79"/>
      <c r="M266" s="86"/>
      <c r="U266" s="87"/>
      <c r="V266" s="87"/>
      <c r="W266" s="87"/>
      <c r="X266" s="87"/>
    </row>
    <row r="267" ht="15.75" customHeight="1">
      <c r="E267" s="82"/>
      <c r="G267" s="79"/>
      <c r="H267" s="79"/>
      <c r="M267" s="86"/>
      <c r="U267" s="87"/>
      <c r="V267" s="87"/>
      <c r="W267" s="87"/>
      <c r="X267" s="87"/>
    </row>
    <row r="268" ht="15.75" customHeight="1">
      <c r="E268" s="82"/>
      <c r="G268" s="79"/>
      <c r="H268" s="79"/>
      <c r="M268" s="86"/>
      <c r="U268" s="87"/>
      <c r="V268" s="87"/>
      <c r="W268" s="87"/>
      <c r="X268" s="87"/>
    </row>
    <row r="269" ht="15.75" customHeight="1">
      <c r="E269" s="82"/>
      <c r="G269" s="79"/>
      <c r="H269" s="79"/>
      <c r="M269" s="86"/>
      <c r="U269" s="87"/>
      <c r="V269" s="87"/>
      <c r="W269" s="87"/>
      <c r="X269" s="87"/>
    </row>
    <row r="270" ht="15.75" customHeight="1">
      <c r="E270" s="82"/>
      <c r="G270" s="79"/>
      <c r="H270" s="79"/>
      <c r="M270" s="86"/>
      <c r="U270" s="87"/>
      <c r="V270" s="87"/>
      <c r="W270" s="87"/>
      <c r="X270" s="87"/>
    </row>
    <row r="271" ht="15.75" customHeight="1">
      <c r="E271" s="82"/>
      <c r="G271" s="79"/>
      <c r="H271" s="79"/>
      <c r="M271" s="86"/>
      <c r="U271" s="87"/>
      <c r="V271" s="87"/>
      <c r="W271" s="87"/>
      <c r="X271" s="87"/>
    </row>
    <row r="272" ht="15.75" customHeight="1">
      <c r="E272" s="82"/>
      <c r="G272" s="79"/>
      <c r="H272" s="79"/>
      <c r="M272" s="86"/>
      <c r="U272" s="87"/>
      <c r="V272" s="87"/>
      <c r="W272" s="87"/>
      <c r="X272" s="87"/>
    </row>
    <row r="273" ht="15.75" customHeight="1">
      <c r="E273" s="82"/>
      <c r="G273" s="79"/>
      <c r="H273" s="79"/>
      <c r="M273" s="86"/>
      <c r="U273" s="87"/>
      <c r="V273" s="87"/>
      <c r="W273" s="87"/>
      <c r="X273" s="87"/>
    </row>
    <row r="274" ht="15.75" customHeight="1">
      <c r="E274" s="82"/>
      <c r="G274" s="79"/>
      <c r="H274" s="79"/>
      <c r="M274" s="86"/>
      <c r="U274" s="87"/>
      <c r="V274" s="87"/>
      <c r="W274" s="87"/>
      <c r="X274" s="87"/>
    </row>
    <row r="275" ht="15.75" customHeight="1">
      <c r="E275" s="82"/>
      <c r="G275" s="79"/>
      <c r="H275" s="79"/>
      <c r="M275" s="86"/>
      <c r="U275" s="87"/>
      <c r="V275" s="87"/>
      <c r="W275" s="87"/>
      <c r="X275" s="87"/>
    </row>
    <row r="276" ht="15.75" customHeight="1">
      <c r="E276" s="82"/>
      <c r="G276" s="79"/>
      <c r="H276" s="79"/>
      <c r="M276" s="86"/>
      <c r="U276" s="87"/>
      <c r="V276" s="87"/>
      <c r="W276" s="87"/>
      <c r="X276" s="87"/>
    </row>
    <row r="277" ht="15.75" customHeight="1">
      <c r="E277" s="82"/>
      <c r="G277" s="79"/>
      <c r="H277" s="79"/>
      <c r="M277" s="86"/>
      <c r="U277" s="87"/>
      <c r="V277" s="87"/>
      <c r="W277" s="87"/>
      <c r="X277" s="87"/>
    </row>
    <row r="278" ht="15.75" customHeight="1">
      <c r="E278" s="82"/>
      <c r="G278" s="79"/>
      <c r="H278" s="79"/>
      <c r="M278" s="86"/>
      <c r="U278" s="87"/>
      <c r="V278" s="87"/>
      <c r="W278" s="87"/>
      <c r="X278" s="87"/>
    </row>
    <row r="279" ht="15.75" customHeight="1">
      <c r="E279" s="82"/>
      <c r="G279" s="79"/>
      <c r="H279" s="79"/>
      <c r="M279" s="86"/>
      <c r="U279" s="87"/>
      <c r="V279" s="87"/>
      <c r="W279" s="87"/>
      <c r="X279" s="87"/>
    </row>
    <row r="280" ht="15.75" customHeight="1">
      <c r="E280" s="82"/>
      <c r="G280" s="79"/>
      <c r="H280" s="79"/>
      <c r="M280" s="86"/>
      <c r="U280" s="87"/>
      <c r="V280" s="87"/>
      <c r="W280" s="87"/>
      <c r="X280" s="87"/>
    </row>
    <row r="281" ht="15.75" customHeight="1">
      <c r="E281" s="82"/>
      <c r="G281" s="79"/>
      <c r="H281" s="79"/>
      <c r="M281" s="86"/>
      <c r="U281" s="87"/>
      <c r="V281" s="87"/>
      <c r="W281" s="87"/>
      <c r="X281" s="87"/>
    </row>
    <row r="282" ht="15.75" customHeight="1">
      <c r="E282" s="82"/>
      <c r="G282" s="79"/>
      <c r="H282" s="79"/>
      <c r="M282" s="86"/>
      <c r="U282" s="87"/>
      <c r="V282" s="87"/>
      <c r="W282" s="87"/>
      <c r="X282" s="87"/>
    </row>
    <row r="283" ht="15.75" customHeight="1">
      <c r="E283" s="82"/>
      <c r="G283" s="79"/>
      <c r="H283" s="79"/>
      <c r="M283" s="86"/>
      <c r="U283" s="87"/>
      <c r="V283" s="87"/>
      <c r="W283" s="87"/>
      <c r="X283" s="87"/>
    </row>
    <row r="284" ht="15.75" customHeight="1">
      <c r="E284" s="82"/>
      <c r="G284" s="79"/>
      <c r="H284" s="79"/>
      <c r="M284" s="86"/>
      <c r="U284" s="87"/>
      <c r="V284" s="87"/>
      <c r="W284" s="87"/>
      <c r="X284" s="87"/>
    </row>
    <row r="285" ht="15.75" customHeight="1">
      <c r="E285" s="82"/>
      <c r="G285" s="79"/>
      <c r="H285" s="79"/>
      <c r="M285" s="86"/>
      <c r="U285" s="87"/>
      <c r="V285" s="87"/>
      <c r="W285" s="87"/>
      <c r="X285" s="87"/>
    </row>
    <row r="286" ht="15.75" customHeight="1">
      <c r="E286" s="82"/>
      <c r="G286" s="79"/>
      <c r="H286" s="79"/>
      <c r="M286" s="86"/>
      <c r="U286" s="87"/>
      <c r="V286" s="87"/>
      <c r="W286" s="87"/>
      <c r="X286" s="87"/>
    </row>
    <row r="287" ht="15.75" customHeight="1">
      <c r="E287" s="82"/>
      <c r="G287" s="79"/>
      <c r="H287" s="79"/>
      <c r="M287" s="86"/>
      <c r="U287" s="87"/>
      <c r="V287" s="87"/>
      <c r="W287" s="87"/>
      <c r="X287" s="87"/>
    </row>
    <row r="288" ht="15.75" customHeight="1">
      <c r="E288" s="82"/>
      <c r="G288" s="79"/>
      <c r="H288" s="79"/>
      <c r="M288" s="86"/>
      <c r="U288" s="87"/>
      <c r="V288" s="87"/>
      <c r="W288" s="87"/>
      <c r="X288" s="87"/>
    </row>
    <row r="289" ht="15.75" customHeight="1">
      <c r="E289" s="82"/>
      <c r="G289" s="79"/>
      <c r="H289" s="79"/>
      <c r="M289" s="86"/>
      <c r="U289" s="87"/>
      <c r="V289" s="87"/>
      <c r="W289" s="87"/>
      <c r="X289" s="87"/>
    </row>
    <row r="290" ht="15.75" customHeight="1">
      <c r="E290" s="82"/>
      <c r="G290" s="79"/>
      <c r="H290" s="79"/>
      <c r="M290" s="86"/>
      <c r="U290" s="87"/>
      <c r="V290" s="87"/>
      <c r="W290" s="87"/>
      <c r="X290" s="87"/>
    </row>
    <row r="291" ht="15.75" customHeight="1">
      <c r="E291" s="82"/>
      <c r="G291" s="79"/>
      <c r="H291" s="79"/>
      <c r="M291" s="86"/>
      <c r="U291" s="87"/>
      <c r="V291" s="87"/>
      <c r="W291" s="87"/>
      <c r="X291" s="87"/>
    </row>
    <row r="292" ht="15.75" customHeight="1">
      <c r="E292" s="82"/>
      <c r="G292" s="79"/>
      <c r="H292" s="79"/>
      <c r="M292" s="86"/>
      <c r="U292" s="87"/>
      <c r="V292" s="87"/>
      <c r="W292" s="87"/>
      <c r="X292" s="87"/>
    </row>
    <row r="293" ht="15.75" customHeight="1">
      <c r="E293" s="82"/>
      <c r="G293" s="79"/>
      <c r="H293" s="79"/>
      <c r="M293" s="86"/>
      <c r="U293" s="87"/>
      <c r="V293" s="87"/>
      <c r="W293" s="87"/>
      <c r="X293" s="87"/>
    </row>
    <row r="294" ht="15.75" customHeight="1">
      <c r="E294" s="82"/>
      <c r="G294" s="79"/>
      <c r="H294" s="79"/>
      <c r="M294" s="86"/>
      <c r="U294" s="87"/>
      <c r="V294" s="87"/>
      <c r="W294" s="87"/>
      <c r="X294" s="87"/>
    </row>
    <row r="295" ht="15.75" customHeight="1">
      <c r="E295" s="82"/>
      <c r="G295" s="79"/>
      <c r="H295" s="79"/>
      <c r="M295" s="86"/>
      <c r="U295" s="87"/>
      <c r="V295" s="87"/>
      <c r="W295" s="87"/>
      <c r="X295" s="87"/>
    </row>
    <row r="296" ht="15.75" customHeight="1">
      <c r="E296" s="82"/>
      <c r="G296" s="79"/>
      <c r="H296" s="79"/>
      <c r="M296" s="86"/>
      <c r="U296" s="87"/>
      <c r="V296" s="87"/>
      <c r="W296" s="87"/>
      <c r="X296" s="87"/>
    </row>
    <row r="297" ht="15.75" customHeight="1">
      <c r="E297" s="82"/>
      <c r="G297" s="79"/>
      <c r="H297" s="79"/>
      <c r="M297" s="86"/>
      <c r="U297" s="87"/>
      <c r="V297" s="87"/>
      <c r="W297" s="87"/>
      <c r="X297" s="87"/>
    </row>
    <row r="298" ht="15.75" customHeight="1">
      <c r="E298" s="82"/>
      <c r="G298" s="79"/>
      <c r="H298" s="79"/>
      <c r="M298" s="86"/>
      <c r="U298" s="87"/>
      <c r="V298" s="87"/>
      <c r="W298" s="87"/>
      <c r="X298" s="87"/>
    </row>
    <row r="299" ht="15.75" customHeight="1">
      <c r="E299" s="82"/>
      <c r="G299" s="79"/>
      <c r="H299" s="79"/>
      <c r="M299" s="86"/>
      <c r="U299" s="87"/>
      <c r="V299" s="87"/>
      <c r="W299" s="87"/>
      <c r="X299" s="87"/>
    </row>
    <row r="300" ht="15.75" customHeight="1">
      <c r="E300" s="82"/>
      <c r="G300" s="79"/>
      <c r="H300" s="79"/>
      <c r="M300" s="86"/>
      <c r="U300" s="87"/>
      <c r="V300" s="87"/>
      <c r="W300" s="87"/>
      <c r="X300" s="87"/>
    </row>
    <row r="301" ht="15.75" customHeight="1">
      <c r="E301" s="82"/>
      <c r="G301" s="79"/>
      <c r="H301" s="79"/>
      <c r="M301" s="86"/>
      <c r="U301" s="87"/>
      <c r="V301" s="87"/>
      <c r="W301" s="87"/>
      <c r="X301" s="87"/>
    </row>
    <row r="302" ht="15.75" customHeight="1">
      <c r="E302" s="82"/>
      <c r="G302" s="79"/>
      <c r="H302" s="79"/>
      <c r="M302" s="86"/>
      <c r="U302" s="87"/>
      <c r="V302" s="87"/>
      <c r="W302" s="87"/>
      <c r="X302" s="87"/>
    </row>
    <row r="303" ht="15.75" customHeight="1">
      <c r="E303" s="82"/>
      <c r="G303" s="79"/>
      <c r="H303" s="79"/>
      <c r="M303" s="86"/>
      <c r="U303" s="87"/>
      <c r="V303" s="87"/>
      <c r="W303" s="87"/>
      <c r="X303" s="87"/>
    </row>
    <row r="304" ht="15.75" customHeight="1">
      <c r="E304" s="82"/>
      <c r="G304" s="79"/>
      <c r="H304" s="79"/>
      <c r="M304" s="86"/>
      <c r="U304" s="87"/>
      <c r="V304" s="87"/>
      <c r="W304" s="87"/>
      <c r="X304" s="87"/>
    </row>
    <row r="305" ht="15.75" customHeight="1">
      <c r="E305" s="82"/>
      <c r="G305" s="79"/>
      <c r="H305" s="79"/>
      <c r="M305" s="86"/>
      <c r="U305" s="87"/>
      <c r="V305" s="87"/>
      <c r="W305" s="87"/>
      <c r="X305" s="87"/>
    </row>
    <row r="306" ht="15.75" customHeight="1">
      <c r="E306" s="82"/>
      <c r="G306" s="79"/>
      <c r="H306" s="79"/>
      <c r="M306" s="86"/>
      <c r="U306" s="87"/>
      <c r="V306" s="87"/>
      <c r="W306" s="87"/>
      <c r="X306" s="87"/>
    </row>
    <row r="307" ht="15.75" customHeight="1">
      <c r="E307" s="82"/>
      <c r="G307" s="79"/>
      <c r="H307" s="79"/>
      <c r="M307" s="86"/>
      <c r="U307" s="87"/>
      <c r="V307" s="87"/>
      <c r="W307" s="87"/>
      <c r="X307" s="87"/>
    </row>
    <row r="308" ht="15.75" customHeight="1">
      <c r="E308" s="82"/>
      <c r="G308" s="79"/>
      <c r="H308" s="79"/>
      <c r="M308" s="86"/>
      <c r="U308" s="87"/>
      <c r="V308" s="87"/>
      <c r="W308" s="87"/>
      <c r="X308" s="87"/>
    </row>
    <row r="309" ht="15.75" customHeight="1">
      <c r="E309" s="82"/>
      <c r="G309" s="79"/>
      <c r="H309" s="79"/>
      <c r="M309" s="86"/>
      <c r="U309" s="87"/>
      <c r="V309" s="87"/>
      <c r="W309" s="87"/>
      <c r="X309" s="87"/>
    </row>
    <row r="310" ht="15.75" customHeight="1">
      <c r="E310" s="82"/>
      <c r="G310" s="79"/>
      <c r="H310" s="79"/>
      <c r="M310" s="86"/>
      <c r="U310" s="87"/>
      <c r="V310" s="87"/>
      <c r="W310" s="87"/>
      <c r="X310" s="87"/>
    </row>
    <row r="311" ht="15.75" customHeight="1">
      <c r="E311" s="82"/>
      <c r="G311" s="79"/>
      <c r="H311" s="79"/>
      <c r="M311" s="86"/>
      <c r="U311" s="87"/>
      <c r="V311" s="87"/>
      <c r="W311" s="87"/>
      <c r="X311" s="87"/>
    </row>
    <row r="312" ht="15.75" customHeight="1">
      <c r="E312" s="82"/>
      <c r="G312" s="79"/>
      <c r="H312" s="79"/>
      <c r="M312" s="86"/>
      <c r="U312" s="87"/>
      <c r="V312" s="87"/>
      <c r="W312" s="87"/>
      <c r="X312" s="87"/>
    </row>
    <row r="313" ht="15.75" customHeight="1">
      <c r="E313" s="82"/>
      <c r="G313" s="79"/>
      <c r="H313" s="79"/>
      <c r="M313" s="86"/>
      <c r="U313" s="87"/>
      <c r="V313" s="87"/>
      <c r="W313" s="87"/>
      <c r="X313" s="87"/>
    </row>
    <row r="314" ht="15.75" customHeight="1">
      <c r="E314" s="82"/>
      <c r="G314" s="79"/>
      <c r="H314" s="79"/>
      <c r="M314" s="86"/>
      <c r="U314" s="87"/>
      <c r="V314" s="87"/>
      <c r="W314" s="87"/>
      <c r="X314" s="87"/>
    </row>
    <row r="315" ht="15.75" customHeight="1">
      <c r="E315" s="82"/>
      <c r="G315" s="79"/>
      <c r="H315" s="79"/>
      <c r="M315" s="86"/>
      <c r="U315" s="87"/>
      <c r="V315" s="87"/>
      <c r="W315" s="87"/>
      <c r="X315" s="87"/>
    </row>
    <row r="316" ht="15.75" customHeight="1">
      <c r="E316" s="82"/>
      <c r="G316" s="79"/>
      <c r="H316" s="79"/>
      <c r="M316" s="86"/>
      <c r="U316" s="87"/>
      <c r="V316" s="87"/>
      <c r="W316" s="87"/>
      <c r="X316" s="87"/>
    </row>
    <row r="317" ht="15.75" customHeight="1">
      <c r="E317" s="82"/>
      <c r="G317" s="79"/>
      <c r="H317" s="79"/>
      <c r="M317" s="86"/>
      <c r="U317" s="87"/>
      <c r="V317" s="87"/>
      <c r="W317" s="87"/>
      <c r="X317" s="87"/>
    </row>
    <row r="318" ht="15.75" customHeight="1">
      <c r="E318" s="82"/>
      <c r="G318" s="79"/>
      <c r="H318" s="79"/>
      <c r="M318" s="86"/>
      <c r="U318" s="87"/>
      <c r="V318" s="87"/>
      <c r="W318" s="87"/>
      <c r="X318" s="87"/>
    </row>
    <row r="319" ht="15.75" customHeight="1">
      <c r="E319" s="82"/>
      <c r="G319" s="79"/>
      <c r="H319" s="79"/>
      <c r="M319" s="86"/>
      <c r="U319" s="87"/>
      <c r="V319" s="87"/>
      <c r="W319" s="87"/>
      <c r="X319" s="87"/>
    </row>
    <row r="320" ht="15.75" customHeight="1">
      <c r="E320" s="82"/>
      <c r="G320" s="79"/>
      <c r="H320" s="79"/>
      <c r="M320" s="86"/>
      <c r="U320" s="87"/>
      <c r="V320" s="87"/>
      <c r="W320" s="87"/>
      <c r="X320" s="87"/>
    </row>
    <row r="321" ht="15.75" customHeight="1">
      <c r="E321" s="82"/>
      <c r="G321" s="79"/>
      <c r="H321" s="79"/>
      <c r="M321" s="86"/>
      <c r="U321" s="87"/>
      <c r="V321" s="87"/>
      <c r="W321" s="87"/>
      <c r="X321" s="87"/>
    </row>
    <row r="322" ht="15.75" customHeight="1">
      <c r="E322" s="82"/>
      <c r="G322" s="79"/>
      <c r="H322" s="79"/>
      <c r="M322" s="86"/>
      <c r="U322" s="87"/>
      <c r="V322" s="87"/>
      <c r="W322" s="87"/>
      <c r="X322" s="87"/>
    </row>
    <row r="323" ht="15.75" customHeight="1">
      <c r="E323" s="82"/>
      <c r="G323" s="79"/>
      <c r="H323" s="79"/>
      <c r="M323" s="86"/>
      <c r="U323" s="87"/>
      <c r="V323" s="87"/>
      <c r="W323" s="87"/>
      <c r="X323" s="87"/>
    </row>
    <row r="324" ht="15.75" customHeight="1">
      <c r="E324" s="82"/>
      <c r="G324" s="79"/>
      <c r="H324" s="79"/>
      <c r="M324" s="86"/>
      <c r="U324" s="87"/>
      <c r="V324" s="87"/>
      <c r="W324" s="87"/>
      <c r="X324" s="87"/>
    </row>
    <row r="325" ht="15.75" customHeight="1">
      <c r="E325" s="82"/>
      <c r="G325" s="79"/>
      <c r="H325" s="79"/>
      <c r="M325" s="86"/>
      <c r="U325" s="87"/>
      <c r="V325" s="87"/>
      <c r="W325" s="87"/>
      <c r="X325" s="87"/>
    </row>
    <row r="326" ht="15.75" customHeight="1">
      <c r="E326" s="82"/>
      <c r="G326" s="79"/>
      <c r="H326" s="79"/>
      <c r="M326" s="86"/>
      <c r="U326" s="87"/>
      <c r="V326" s="87"/>
      <c r="W326" s="87"/>
      <c r="X326" s="87"/>
    </row>
    <row r="327" ht="15.75" customHeight="1">
      <c r="E327" s="82"/>
      <c r="G327" s="79"/>
      <c r="H327" s="79"/>
      <c r="M327" s="86"/>
      <c r="U327" s="87"/>
      <c r="V327" s="87"/>
      <c r="W327" s="87"/>
      <c r="X327" s="87"/>
    </row>
    <row r="328" ht="15.75" customHeight="1">
      <c r="E328" s="82"/>
      <c r="G328" s="79"/>
      <c r="H328" s="79"/>
      <c r="M328" s="86"/>
      <c r="U328" s="87"/>
      <c r="V328" s="87"/>
      <c r="W328" s="87"/>
      <c r="X328" s="87"/>
    </row>
    <row r="329" ht="15.75" customHeight="1">
      <c r="E329" s="82"/>
      <c r="G329" s="79"/>
      <c r="H329" s="79"/>
      <c r="M329" s="86"/>
      <c r="U329" s="87"/>
      <c r="V329" s="87"/>
      <c r="W329" s="87"/>
      <c r="X329" s="87"/>
    </row>
    <row r="330" ht="15.75" customHeight="1">
      <c r="E330" s="82"/>
      <c r="G330" s="79"/>
      <c r="H330" s="79"/>
      <c r="M330" s="86"/>
      <c r="U330" s="87"/>
      <c r="V330" s="87"/>
      <c r="W330" s="87"/>
      <c r="X330" s="87"/>
    </row>
    <row r="331" ht="15.75" customHeight="1">
      <c r="E331" s="82"/>
      <c r="G331" s="79"/>
      <c r="H331" s="79"/>
      <c r="M331" s="86"/>
      <c r="U331" s="87"/>
      <c r="V331" s="87"/>
      <c r="W331" s="87"/>
      <c r="X331" s="87"/>
    </row>
    <row r="332" ht="15.75" customHeight="1">
      <c r="E332" s="82"/>
      <c r="G332" s="79"/>
      <c r="H332" s="79"/>
      <c r="M332" s="86"/>
      <c r="U332" s="87"/>
      <c r="V332" s="87"/>
      <c r="W332" s="87"/>
      <c r="X332" s="87"/>
    </row>
    <row r="333" ht="15.75" customHeight="1">
      <c r="E333" s="82"/>
      <c r="G333" s="79"/>
      <c r="H333" s="79"/>
      <c r="M333" s="86"/>
      <c r="U333" s="87"/>
      <c r="V333" s="87"/>
      <c r="W333" s="87"/>
      <c r="X333" s="87"/>
    </row>
    <row r="334" ht="15.75" customHeight="1">
      <c r="E334" s="82"/>
      <c r="G334" s="79"/>
      <c r="H334" s="79"/>
      <c r="M334" s="86"/>
      <c r="U334" s="87"/>
      <c r="V334" s="87"/>
      <c r="W334" s="87"/>
      <c r="X334" s="87"/>
    </row>
    <row r="335" ht="15.75" customHeight="1">
      <c r="E335" s="82"/>
      <c r="G335" s="79"/>
      <c r="H335" s="79"/>
      <c r="M335" s="86"/>
      <c r="U335" s="87"/>
      <c r="V335" s="87"/>
      <c r="W335" s="87"/>
      <c r="X335" s="87"/>
    </row>
    <row r="336" ht="15.75" customHeight="1">
      <c r="E336" s="82"/>
      <c r="G336" s="79"/>
      <c r="H336" s="79"/>
      <c r="M336" s="86"/>
      <c r="U336" s="87"/>
      <c r="V336" s="87"/>
      <c r="W336" s="87"/>
      <c r="X336" s="87"/>
    </row>
    <row r="337" ht="15.75" customHeight="1">
      <c r="E337" s="82"/>
      <c r="G337" s="79"/>
      <c r="H337" s="79"/>
      <c r="M337" s="86"/>
      <c r="U337" s="87"/>
      <c r="V337" s="87"/>
      <c r="W337" s="87"/>
      <c r="X337" s="87"/>
    </row>
    <row r="338" ht="15.75" customHeight="1">
      <c r="E338" s="82"/>
      <c r="G338" s="79"/>
      <c r="H338" s="79"/>
      <c r="M338" s="86"/>
      <c r="U338" s="87"/>
      <c r="V338" s="87"/>
      <c r="W338" s="87"/>
      <c r="X338" s="87"/>
    </row>
    <row r="339" ht="15.75" customHeight="1">
      <c r="E339" s="82"/>
      <c r="G339" s="79"/>
      <c r="H339" s="79"/>
      <c r="M339" s="86"/>
      <c r="U339" s="87"/>
      <c r="V339" s="87"/>
      <c r="W339" s="87"/>
      <c r="X339" s="87"/>
    </row>
    <row r="340" ht="15.75" customHeight="1">
      <c r="E340" s="82"/>
      <c r="G340" s="79"/>
      <c r="H340" s="79"/>
      <c r="M340" s="86"/>
      <c r="U340" s="87"/>
      <c r="V340" s="87"/>
      <c r="W340" s="87"/>
      <c r="X340" s="87"/>
    </row>
    <row r="341" ht="15.75" customHeight="1">
      <c r="E341" s="82"/>
      <c r="G341" s="79"/>
      <c r="H341" s="79"/>
      <c r="M341" s="86"/>
      <c r="U341" s="87"/>
      <c r="V341" s="87"/>
      <c r="W341" s="87"/>
      <c r="X341" s="87"/>
    </row>
    <row r="342" ht="15.75" customHeight="1">
      <c r="E342" s="82"/>
      <c r="G342" s="79"/>
      <c r="H342" s="79"/>
      <c r="M342" s="86"/>
      <c r="U342" s="87"/>
      <c r="V342" s="87"/>
      <c r="W342" s="87"/>
      <c r="X342" s="87"/>
    </row>
    <row r="343" ht="15.75" customHeight="1">
      <c r="E343" s="82"/>
      <c r="G343" s="79"/>
      <c r="H343" s="79"/>
      <c r="M343" s="86"/>
      <c r="U343" s="87"/>
      <c r="V343" s="87"/>
      <c r="W343" s="87"/>
      <c r="X343" s="87"/>
    </row>
    <row r="344" ht="15.75" customHeight="1">
      <c r="E344" s="82"/>
      <c r="G344" s="79"/>
      <c r="H344" s="79"/>
      <c r="M344" s="86"/>
      <c r="U344" s="87"/>
      <c r="V344" s="87"/>
      <c r="W344" s="87"/>
      <c r="X344" s="87"/>
    </row>
    <row r="345" ht="15.75" customHeight="1">
      <c r="E345" s="82"/>
      <c r="G345" s="79"/>
      <c r="H345" s="79"/>
      <c r="M345" s="86"/>
      <c r="U345" s="87"/>
      <c r="V345" s="87"/>
      <c r="W345" s="87"/>
      <c r="X345" s="87"/>
    </row>
    <row r="346" ht="15.75" customHeight="1">
      <c r="E346" s="82"/>
      <c r="G346" s="79"/>
      <c r="H346" s="79"/>
      <c r="M346" s="86"/>
      <c r="U346" s="87"/>
      <c r="V346" s="87"/>
      <c r="W346" s="87"/>
      <c r="X346" s="87"/>
    </row>
    <row r="347" ht="15.75" customHeight="1">
      <c r="E347" s="82"/>
      <c r="G347" s="79"/>
      <c r="H347" s="79"/>
      <c r="M347" s="86"/>
      <c r="U347" s="87"/>
      <c r="V347" s="87"/>
      <c r="W347" s="87"/>
      <c r="X347" s="87"/>
    </row>
    <row r="348" ht="15.75" customHeight="1">
      <c r="E348" s="82"/>
      <c r="G348" s="79"/>
      <c r="H348" s="79"/>
      <c r="M348" s="86"/>
      <c r="U348" s="87"/>
      <c r="V348" s="87"/>
      <c r="W348" s="87"/>
      <c r="X348" s="87"/>
    </row>
    <row r="349" ht="15.75" customHeight="1">
      <c r="E349" s="82"/>
      <c r="G349" s="79"/>
      <c r="H349" s="79"/>
      <c r="M349" s="86"/>
      <c r="U349" s="87"/>
      <c r="V349" s="87"/>
      <c r="W349" s="87"/>
      <c r="X349" s="87"/>
    </row>
    <row r="350" ht="15.75" customHeight="1">
      <c r="E350" s="82"/>
      <c r="G350" s="79"/>
      <c r="H350" s="79"/>
      <c r="M350" s="86"/>
      <c r="U350" s="87"/>
      <c r="V350" s="87"/>
      <c r="W350" s="87"/>
      <c r="X350" s="87"/>
    </row>
    <row r="351" ht="15.75" customHeight="1">
      <c r="E351" s="82"/>
      <c r="G351" s="79"/>
      <c r="H351" s="79"/>
      <c r="M351" s="86"/>
      <c r="U351" s="87"/>
      <c r="V351" s="87"/>
      <c r="W351" s="87"/>
      <c r="X351" s="87"/>
    </row>
    <row r="352" ht="15.75" customHeight="1">
      <c r="E352" s="82"/>
      <c r="G352" s="79"/>
      <c r="H352" s="79"/>
      <c r="M352" s="86"/>
      <c r="U352" s="87"/>
      <c r="V352" s="87"/>
      <c r="W352" s="87"/>
      <c r="X352" s="87"/>
    </row>
    <row r="353" ht="15.75" customHeight="1">
      <c r="E353" s="82"/>
      <c r="G353" s="79"/>
      <c r="H353" s="79"/>
      <c r="M353" s="86"/>
      <c r="U353" s="87"/>
      <c r="V353" s="87"/>
      <c r="W353" s="87"/>
      <c r="X353" s="87"/>
    </row>
    <row r="354" ht="15.75" customHeight="1">
      <c r="E354" s="82"/>
      <c r="G354" s="79"/>
      <c r="H354" s="79"/>
      <c r="M354" s="86"/>
      <c r="U354" s="87"/>
      <c r="V354" s="87"/>
      <c r="W354" s="87"/>
      <c r="X354" s="87"/>
    </row>
    <row r="355" ht="15.75" customHeight="1">
      <c r="E355" s="82"/>
      <c r="G355" s="79"/>
      <c r="H355" s="79"/>
      <c r="M355" s="86"/>
      <c r="U355" s="87"/>
      <c r="V355" s="87"/>
      <c r="W355" s="87"/>
      <c r="X355" s="87"/>
    </row>
    <row r="356" ht="15.75" customHeight="1">
      <c r="E356" s="82"/>
      <c r="G356" s="79"/>
      <c r="H356" s="79"/>
      <c r="M356" s="86"/>
      <c r="U356" s="87"/>
      <c r="V356" s="87"/>
      <c r="W356" s="87"/>
      <c r="X356" s="87"/>
    </row>
    <row r="357" ht="15.75" customHeight="1">
      <c r="E357" s="82"/>
      <c r="G357" s="79"/>
      <c r="H357" s="79"/>
      <c r="M357" s="86"/>
      <c r="U357" s="87"/>
      <c r="V357" s="87"/>
      <c r="W357" s="87"/>
      <c r="X357" s="87"/>
    </row>
    <row r="358" ht="15.75" customHeight="1">
      <c r="E358" s="82"/>
      <c r="G358" s="79"/>
      <c r="H358" s="79"/>
      <c r="M358" s="86"/>
      <c r="U358" s="87"/>
      <c r="V358" s="87"/>
      <c r="W358" s="87"/>
      <c r="X358" s="87"/>
    </row>
    <row r="359" ht="15.75" customHeight="1">
      <c r="E359" s="82"/>
      <c r="G359" s="79"/>
      <c r="H359" s="79"/>
      <c r="M359" s="86"/>
      <c r="U359" s="87"/>
      <c r="V359" s="87"/>
      <c r="W359" s="87"/>
      <c r="X359" s="87"/>
    </row>
    <row r="360" ht="15.75" customHeight="1">
      <c r="E360" s="82"/>
      <c r="G360" s="79"/>
      <c r="H360" s="79"/>
      <c r="M360" s="86"/>
      <c r="U360" s="87"/>
      <c r="V360" s="87"/>
      <c r="W360" s="87"/>
      <c r="X360" s="87"/>
    </row>
    <row r="361" ht="15.75" customHeight="1">
      <c r="E361" s="82"/>
      <c r="G361" s="79"/>
      <c r="H361" s="79"/>
      <c r="M361" s="86"/>
      <c r="U361" s="87"/>
      <c r="V361" s="87"/>
      <c r="W361" s="87"/>
      <c r="X361" s="87"/>
    </row>
    <row r="362" ht="15.75" customHeight="1">
      <c r="E362" s="82"/>
      <c r="G362" s="79"/>
      <c r="H362" s="79"/>
      <c r="M362" s="86"/>
      <c r="U362" s="87"/>
      <c r="V362" s="87"/>
      <c r="W362" s="87"/>
      <c r="X362" s="87"/>
    </row>
    <row r="363" ht="15.75" customHeight="1">
      <c r="E363" s="82"/>
      <c r="G363" s="79"/>
      <c r="H363" s="79"/>
      <c r="M363" s="86"/>
      <c r="U363" s="87"/>
      <c r="V363" s="87"/>
      <c r="W363" s="87"/>
      <c r="X363" s="87"/>
    </row>
    <row r="364" ht="15.75" customHeight="1">
      <c r="E364" s="82"/>
      <c r="G364" s="79"/>
      <c r="H364" s="79"/>
      <c r="M364" s="86"/>
      <c r="U364" s="87"/>
      <c r="V364" s="87"/>
      <c r="W364" s="87"/>
      <c r="X364" s="87"/>
    </row>
    <row r="365" ht="15.75" customHeight="1">
      <c r="E365" s="82"/>
      <c r="G365" s="79"/>
      <c r="H365" s="79"/>
      <c r="M365" s="86"/>
      <c r="U365" s="87"/>
      <c r="V365" s="87"/>
      <c r="W365" s="87"/>
      <c r="X365" s="87"/>
    </row>
    <row r="366" ht="15.75" customHeight="1">
      <c r="E366" s="82"/>
      <c r="G366" s="79"/>
      <c r="H366" s="79"/>
      <c r="M366" s="86"/>
      <c r="U366" s="87"/>
      <c r="V366" s="87"/>
      <c r="W366" s="87"/>
      <c r="X366" s="87"/>
    </row>
    <row r="367" ht="15.75" customHeight="1">
      <c r="E367" s="82"/>
      <c r="G367" s="79"/>
      <c r="H367" s="79"/>
      <c r="M367" s="86"/>
      <c r="U367" s="87"/>
      <c r="V367" s="87"/>
      <c r="W367" s="87"/>
      <c r="X367" s="87"/>
    </row>
    <row r="368" ht="15.75" customHeight="1">
      <c r="E368" s="82"/>
      <c r="G368" s="79"/>
      <c r="H368" s="79"/>
      <c r="M368" s="86"/>
      <c r="U368" s="87"/>
      <c r="V368" s="87"/>
      <c r="W368" s="87"/>
      <c r="X368" s="87"/>
    </row>
    <row r="369" ht="15.75" customHeight="1">
      <c r="E369" s="82"/>
      <c r="G369" s="79"/>
      <c r="H369" s="79"/>
      <c r="M369" s="86"/>
      <c r="U369" s="87"/>
      <c r="V369" s="87"/>
      <c r="W369" s="87"/>
      <c r="X369" s="87"/>
    </row>
    <row r="370" ht="15.75" customHeight="1">
      <c r="E370" s="82"/>
      <c r="G370" s="79"/>
      <c r="H370" s="79"/>
      <c r="M370" s="86"/>
      <c r="U370" s="87"/>
      <c r="V370" s="87"/>
      <c r="W370" s="87"/>
      <c r="X370" s="87"/>
    </row>
    <row r="371" ht="15.75" customHeight="1">
      <c r="E371" s="82"/>
      <c r="G371" s="79"/>
      <c r="H371" s="79"/>
      <c r="M371" s="86"/>
      <c r="U371" s="87"/>
      <c r="V371" s="87"/>
      <c r="W371" s="87"/>
      <c r="X371" s="87"/>
    </row>
    <row r="372" ht="15.75" customHeight="1">
      <c r="E372" s="82"/>
      <c r="G372" s="79"/>
      <c r="H372" s="79"/>
      <c r="M372" s="86"/>
      <c r="U372" s="87"/>
      <c r="V372" s="87"/>
      <c r="W372" s="87"/>
      <c r="X372" s="87"/>
    </row>
    <row r="373" ht="15.75" customHeight="1">
      <c r="E373" s="82"/>
      <c r="G373" s="79"/>
      <c r="H373" s="79"/>
      <c r="M373" s="86"/>
      <c r="U373" s="87"/>
      <c r="V373" s="87"/>
      <c r="W373" s="87"/>
      <c r="X373" s="87"/>
    </row>
    <row r="374" ht="15.75" customHeight="1">
      <c r="E374" s="82"/>
      <c r="G374" s="79"/>
      <c r="H374" s="79"/>
      <c r="M374" s="86"/>
      <c r="U374" s="87"/>
      <c r="V374" s="87"/>
      <c r="W374" s="87"/>
      <c r="X374" s="87"/>
    </row>
    <row r="375" ht="15.75" customHeight="1">
      <c r="E375" s="82"/>
      <c r="G375" s="79"/>
      <c r="H375" s="79"/>
      <c r="M375" s="86"/>
      <c r="U375" s="87"/>
      <c r="V375" s="87"/>
      <c r="W375" s="87"/>
      <c r="X375" s="87"/>
    </row>
    <row r="376" ht="15.75" customHeight="1">
      <c r="E376" s="82"/>
      <c r="G376" s="79"/>
      <c r="H376" s="79"/>
      <c r="M376" s="86"/>
      <c r="U376" s="87"/>
      <c r="V376" s="87"/>
      <c r="W376" s="87"/>
      <c r="X376" s="87"/>
    </row>
    <row r="377" ht="15.75" customHeight="1">
      <c r="E377" s="82"/>
      <c r="G377" s="79"/>
      <c r="H377" s="79"/>
      <c r="M377" s="86"/>
      <c r="U377" s="87"/>
      <c r="V377" s="87"/>
      <c r="W377" s="87"/>
      <c r="X377" s="87"/>
    </row>
    <row r="378" ht="15.75" customHeight="1">
      <c r="E378" s="82"/>
      <c r="G378" s="79"/>
      <c r="H378" s="79"/>
      <c r="M378" s="86"/>
      <c r="U378" s="87"/>
      <c r="V378" s="87"/>
      <c r="W378" s="87"/>
      <c r="X378" s="87"/>
    </row>
    <row r="379" ht="15.75" customHeight="1">
      <c r="E379" s="82"/>
      <c r="G379" s="79"/>
      <c r="H379" s="79"/>
      <c r="M379" s="86"/>
      <c r="U379" s="87"/>
      <c r="V379" s="87"/>
      <c r="W379" s="87"/>
      <c r="X379" s="87"/>
    </row>
    <row r="380" ht="15.75" customHeight="1">
      <c r="E380" s="82"/>
      <c r="G380" s="79"/>
      <c r="H380" s="79"/>
      <c r="M380" s="86"/>
      <c r="U380" s="87"/>
      <c r="V380" s="87"/>
      <c r="W380" s="87"/>
      <c r="X380" s="87"/>
    </row>
    <row r="381" ht="15.75" customHeight="1">
      <c r="E381" s="82"/>
      <c r="G381" s="79"/>
      <c r="H381" s="79"/>
      <c r="M381" s="86"/>
      <c r="U381" s="87"/>
      <c r="V381" s="87"/>
      <c r="W381" s="87"/>
      <c r="X381" s="87"/>
    </row>
    <row r="382" ht="15.75" customHeight="1">
      <c r="E382" s="82"/>
      <c r="G382" s="79"/>
      <c r="H382" s="79"/>
      <c r="M382" s="86"/>
      <c r="U382" s="87"/>
      <c r="V382" s="87"/>
      <c r="W382" s="87"/>
      <c r="X382" s="87"/>
    </row>
    <row r="383" ht="15.75" customHeight="1">
      <c r="E383" s="82"/>
      <c r="G383" s="79"/>
      <c r="H383" s="79"/>
      <c r="M383" s="86"/>
      <c r="U383" s="87"/>
      <c r="V383" s="87"/>
      <c r="W383" s="87"/>
      <c r="X383" s="87"/>
    </row>
    <row r="384" ht="15.75" customHeight="1">
      <c r="E384" s="82"/>
      <c r="G384" s="79"/>
      <c r="H384" s="79"/>
      <c r="M384" s="86"/>
      <c r="U384" s="87"/>
      <c r="V384" s="87"/>
      <c r="W384" s="87"/>
      <c r="X384" s="87"/>
    </row>
    <row r="385" ht="15.75" customHeight="1">
      <c r="E385" s="82"/>
      <c r="G385" s="79"/>
      <c r="H385" s="79"/>
      <c r="M385" s="86"/>
      <c r="U385" s="87"/>
      <c r="V385" s="87"/>
      <c r="W385" s="87"/>
      <c r="X385" s="87"/>
    </row>
    <row r="386" ht="15.75" customHeight="1">
      <c r="E386" s="82"/>
      <c r="G386" s="79"/>
      <c r="H386" s="79"/>
      <c r="M386" s="86"/>
      <c r="U386" s="87"/>
      <c r="V386" s="87"/>
      <c r="W386" s="87"/>
      <c r="X386" s="87"/>
    </row>
    <row r="387" ht="15.75" customHeight="1">
      <c r="E387" s="82"/>
      <c r="G387" s="79"/>
      <c r="H387" s="79"/>
      <c r="M387" s="86"/>
      <c r="U387" s="87"/>
      <c r="V387" s="87"/>
      <c r="W387" s="87"/>
      <c r="X387" s="87"/>
    </row>
    <row r="388" ht="15.75" customHeight="1">
      <c r="E388" s="82"/>
      <c r="G388" s="79"/>
      <c r="H388" s="79"/>
      <c r="M388" s="86"/>
      <c r="U388" s="87"/>
      <c r="V388" s="87"/>
      <c r="W388" s="87"/>
      <c r="X388" s="87"/>
    </row>
    <row r="389" ht="15.75" customHeight="1">
      <c r="E389" s="82"/>
      <c r="G389" s="79"/>
      <c r="H389" s="79"/>
      <c r="M389" s="86"/>
      <c r="U389" s="87"/>
      <c r="V389" s="87"/>
      <c r="W389" s="87"/>
      <c r="X389" s="87"/>
    </row>
    <row r="390" ht="15.75" customHeight="1">
      <c r="E390" s="82"/>
      <c r="G390" s="79"/>
      <c r="H390" s="79"/>
      <c r="M390" s="86"/>
      <c r="U390" s="87"/>
      <c r="V390" s="87"/>
      <c r="W390" s="87"/>
      <c r="X390" s="87"/>
    </row>
    <row r="391" ht="15.75" customHeight="1">
      <c r="E391" s="82"/>
      <c r="G391" s="79"/>
      <c r="H391" s="79"/>
      <c r="M391" s="86"/>
      <c r="U391" s="87"/>
      <c r="V391" s="87"/>
      <c r="W391" s="87"/>
      <c r="X391" s="87"/>
    </row>
    <row r="392" ht="15.75" customHeight="1">
      <c r="E392" s="82"/>
      <c r="G392" s="79"/>
      <c r="H392" s="79"/>
      <c r="M392" s="86"/>
      <c r="U392" s="87"/>
      <c r="V392" s="87"/>
      <c r="W392" s="87"/>
      <c r="X392" s="87"/>
    </row>
    <row r="393" ht="15.75" customHeight="1">
      <c r="E393" s="82"/>
      <c r="G393" s="79"/>
      <c r="H393" s="79"/>
      <c r="M393" s="86"/>
      <c r="U393" s="87"/>
      <c r="V393" s="87"/>
      <c r="W393" s="87"/>
      <c r="X393" s="87"/>
    </row>
    <row r="394" ht="15.75" customHeight="1">
      <c r="E394" s="82"/>
      <c r="G394" s="79"/>
      <c r="H394" s="79"/>
      <c r="M394" s="86"/>
      <c r="U394" s="87"/>
      <c r="V394" s="87"/>
      <c r="W394" s="87"/>
      <c r="X394" s="87"/>
    </row>
    <row r="395" ht="15.75" customHeight="1">
      <c r="E395" s="82"/>
      <c r="G395" s="79"/>
      <c r="H395" s="79"/>
      <c r="M395" s="86"/>
      <c r="U395" s="87"/>
      <c r="V395" s="87"/>
      <c r="W395" s="87"/>
      <c r="X395" s="87"/>
    </row>
    <row r="396" ht="15.75" customHeight="1">
      <c r="E396" s="82"/>
      <c r="G396" s="79"/>
      <c r="H396" s="79"/>
      <c r="M396" s="86"/>
      <c r="U396" s="87"/>
      <c r="V396" s="87"/>
      <c r="W396" s="87"/>
      <c r="X396" s="87"/>
    </row>
    <row r="397" ht="15.75" customHeight="1">
      <c r="E397" s="82"/>
      <c r="G397" s="79"/>
      <c r="H397" s="79"/>
      <c r="M397" s="86"/>
      <c r="U397" s="87"/>
      <c r="V397" s="87"/>
      <c r="W397" s="87"/>
      <c r="X397" s="87"/>
    </row>
    <row r="398" ht="15.75" customHeight="1">
      <c r="E398" s="82"/>
      <c r="G398" s="79"/>
      <c r="H398" s="79"/>
      <c r="M398" s="86"/>
      <c r="U398" s="87"/>
      <c r="V398" s="87"/>
      <c r="W398" s="87"/>
      <c r="X398" s="87"/>
    </row>
    <row r="399" ht="15.75" customHeight="1">
      <c r="E399" s="82"/>
      <c r="G399" s="79"/>
      <c r="H399" s="79"/>
      <c r="M399" s="86"/>
      <c r="U399" s="87"/>
      <c r="V399" s="87"/>
      <c r="W399" s="87"/>
      <c r="X399" s="87"/>
    </row>
    <row r="400" ht="15.75" customHeight="1">
      <c r="E400" s="82"/>
      <c r="G400" s="79"/>
      <c r="H400" s="79"/>
      <c r="M400" s="86"/>
      <c r="U400" s="87"/>
      <c r="V400" s="87"/>
      <c r="W400" s="87"/>
      <c r="X400" s="87"/>
    </row>
    <row r="401" ht="15.75" customHeight="1">
      <c r="E401" s="82"/>
      <c r="G401" s="79"/>
      <c r="H401" s="79"/>
      <c r="M401" s="86"/>
      <c r="U401" s="87"/>
      <c r="V401" s="87"/>
      <c r="W401" s="87"/>
      <c r="X401" s="87"/>
    </row>
    <row r="402" ht="15.75" customHeight="1">
      <c r="E402" s="82"/>
      <c r="G402" s="79"/>
      <c r="H402" s="79"/>
      <c r="M402" s="86"/>
      <c r="U402" s="87"/>
      <c r="V402" s="87"/>
      <c r="W402" s="87"/>
      <c r="X402" s="87"/>
    </row>
    <row r="403" ht="15.75" customHeight="1">
      <c r="E403" s="82"/>
      <c r="G403" s="79"/>
      <c r="H403" s="79"/>
      <c r="M403" s="86"/>
      <c r="U403" s="87"/>
      <c r="V403" s="87"/>
      <c r="W403" s="87"/>
      <c r="X403" s="87"/>
    </row>
    <row r="404" ht="15.75" customHeight="1">
      <c r="E404" s="82"/>
      <c r="G404" s="79"/>
      <c r="H404" s="79"/>
      <c r="M404" s="86"/>
      <c r="U404" s="87"/>
      <c r="V404" s="87"/>
      <c r="W404" s="87"/>
      <c r="X404" s="87"/>
    </row>
    <row r="405" ht="15.75" customHeight="1">
      <c r="E405" s="82"/>
      <c r="G405" s="79"/>
      <c r="H405" s="79"/>
      <c r="M405" s="86"/>
      <c r="U405" s="87"/>
      <c r="V405" s="87"/>
      <c r="W405" s="87"/>
      <c r="X405" s="87"/>
    </row>
    <row r="406" ht="15.75" customHeight="1">
      <c r="E406" s="82"/>
      <c r="G406" s="79"/>
      <c r="H406" s="79"/>
      <c r="M406" s="86"/>
      <c r="U406" s="87"/>
      <c r="V406" s="87"/>
      <c r="W406" s="87"/>
      <c r="X406" s="87"/>
    </row>
    <row r="407" ht="15.75" customHeight="1">
      <c r="E407" s="82"/>
      <c r="G407" s="79"/>
      <c r="H407" s="79"/>
      <c r="M407" s="86"/>
      <c r="U407" s="87"/>
      <c r="V407" s="87"/>
      <c r="W407" s="87"/>
      <c r="X407" s="87"/>
    </row>
    <row r="408" ht="15.75" customHeight="1">
      <c r="E408" s="82"/>
      <c r="G408" s="79"/>
      <c r="H408" s="79"/>
      <c r="M408" s="86"/>
      <c r="U408" s="87"/>
      <c r="V408" s="87"/>
      <c r="W408" s="87"/>
      <c r="X408" s="87"/>
    </row>
    <row r="409" ht="15.75" customHeight="1">
      <c r="E409" s="82"/>
      <c r="G409" s="79"/>
      <c r="H409" s="79"/>
      <c r="M409" s="86"/>
      <c r="U409" s="87"/>
      <c r="V409" s="87"/>
      <c r="W409" s="87"/>
      <c r="X409" s="87"/>
    </row>
    <row r="410" ht="15.75" customHeight="1">
      <c r="E410" s="82"/>
      <c r="G410" s="79"/>
      <c r="H410" s="79"/>
      <c r="M410" s="86"/>
      <c r="U410" s="87"/>
      <c r="V410" s="87"/>
      <c r="W410" s="87"/>
      <c r="X410" s="87"/>
    </row>
    <row r="411" ht="15.75" customHeight="1">
      <c r="E411" s="82"/>
      <c r="G411" s="79"/>
      <c r="H411" s="79"/>
      <c r="M411" s="86"/>
      <c r="U411" s="87"/>
      <c r="V411" s="87"/>
      <c r="W411" s="87"/>
      <c r="X411" s="87"/>
    </row>
    <row r="412" ht="15.75" customHeight="1">
      <c r="E412" s="82"/>
      <c r="G412" s="79"/>
      <c r="H412" s="79"/>
      <c r="M412" s="86"/>
      <c r="U412" s="87"/>
      <c r="V412" s="87"/>
      <c r="W412" s="87"/>
      <c r="X412" s="87"/>
    </row>
    <row r="413" ht="15.75" customHeight="1">
      <c r="E413" s="82"/>
      <c r="G413" s="79"/>
      <c r="H413" s="79"/>
      <c r="M413" s="86"/>
      <c r="U413" s="87"/>
      <c r="V413" s="87"/>
      <c r="W413" s="87"/>
      <c r="X413" s="87"/>
    </row>
    <row r="414" ht="15.75" customHeight="1">
      <c r="E414" s="82"/>
      <c r="G414" s="79"/>
      <c r="H414" s="79"/>
      <c r="M414" s="86"/>
      <c r="U414" s="87"/>
      <c r="V414" s="87"/>
      <c r="W414" s="87"/>
      <c r="X414" s="87"/>
    </row>
    <row r="415" ht="15.75" customHeight="1">
      <c r="E415" s="82"/>
      <c r="G415" s="79"/>
      <c r="H415" s="79"/>
      <c r="M415" s="86"/>
      <c r="U415" s="87"/>
      <c r="V415" s="87"/>
      <c r="W415" s="87"/>
      <c r="X415" s="87"/>
    </row>
    <row r="416" ht="15.75" customHeight="1">
      <c r="E416" s="82"/>
      <c r="G416" s="79"/>
      <c r="H416" s="79"/>
      <c r="M416" s="86"/>
      <c r="U416" s="87"/>
      <c r="V416" s="87"/>
      <c r="W416" s="87"/>
      <c r="X416" s="87"/>
    </row>
    <row r="417" ht="15.75" customHeight="1">
      <c r="E417" s="82"/>
      <c r="G417" s="79"/>
      <c r="H417" s="79"/>
      <c r="M417" s="86"/>
      <c r="U417" s="87"/>
      <c r="V417" s="87"/>
      <c r="W417" s="87"/>
      <c r="X417" s="87"/>
    </row>
    <row r="418" ht="15.75" customHeight="1">
      <c r="E418" s="82"/>
      <c r="G418" s="79"/>
      <c r="H418" s="79"/>
      <c r="M418" s="86"/>
      <c r="U418" s="87"/>
      <c r="V418" s="87"/>
      <c r="W418" s="87"/>
      <c r="X418" s="87"/>
    </row>
    <row r="419" ht="15.75" customHeight="1">
      <c r="E419" s="82"/>
      <c r="G419" s="79"/>
      <c r="H419" s="79"/>
      <c r="M419" s="86"/>
      <c r="U419" s="87"/>
      <c r="V419" s="87"/>
      <c r="W419" s="87"/>
      <c r="X419" s="87"/>
    </row>
    <row r="420" ht="15.75" customHeight="1">
      <c r="E420" s="82"/>
      <c r="G420" s="79"/>
      <c r="H420" s="79"/>
      <c r="M420" s="86"/>
      <c r="U420" s="87"/>
      <c r="V420" s="87"/>
      <c r="W420" s="87"/>
      <c r="X420" s="87"/>
    </row>
    <row r="421" ht="15.75" customHeight="1">
      <c r="E421" s="82"/>
      <c r="G421" s="79"/>
      <c r="H421" s="79"/>
      <c r="M421" s="86"/>
      <c r="U421" s="87"/>
      <c r="V421" s="87"/>
      <c r="W421" s="87"/>
      <c r="X421" s="87"/>
    </row>
    <row r="422" ht="15.75" customHeight="1">
      <c r="E422" s="82"/>
      <c r="G422" s="79"/>
      <c r="H422" s="79"/>
      <c r="M422" s="86"/>
      <c r="U422" s="87"/>
      <c r="V422" s="87"/>
      <c r="W422" s="87"/>
      <c r="X422" s="87"/>
    </row>
    <row r="423" ht="15.75" customHeight="1">
      <c r="E423" s="82"/>
      <c r="G423" s="79"/>
      <c r="H423" s="79"/>
      <c r="M423" s="86"/>
      <c r="U423" s="87"/>
      <c r="V423" s="87"/>
      <c r="W423" s="87"/>
      <c r="X423" s="87"/>
    </row>
    <row r="424" ht="15.75" customHeight="1">
      <c r="E424" s="82"/>
      <c r="G424" s="79"/>
      <c r="H424" s="79"/>
      <c r="M424" s="86"/>
      <c r="U424" s="87"/>
      <c r="V424" s="87"/>
      <c r="W424" s="87"/>
      <c r="X424" s="87"/>
    </row>
    <row r="425" ht="15.75" customHeight="1">
      <c r="E425" s="82"/>
      <c r="G425" s="79"/>
      <c r="H425" s="79"/>
      <c r="M425" s="86"/>
      <c r="U425" s="87"/>
      <c r="V425" s="87"/>
      <c r="W425" s="87"/>
      <c r="X425" s="87"/>
    </row>
    <row r="426" ht="15.75" customHeight="1">
      <c r="E426" s="82"/>
      <c r="G426" s="79"/>
      <c r="H426" s="79"/>
      <c r="M426" s="86"/>
      <c r="U426" s="87"/>
      <c r="V426" s="87"/>
      <c r="W426" s="87"/>
      <c r="X426" s="87"/>
    </row>
    <row r="427" ht="15.75" customHeight="1">
      <c r="E427" s="82"/>
      <c r="G427" s="79"/>
      <c r="H427" s="79"/>
      <c r="M427" s="86"/>
      <c r="U427" s="87"/>
      <c r="V427" s="87"/>
      <c r="W427" s="87"/>
      <c r="X427" s="87"/>
    </row>
    <row r="428" ht="15.75" customHeight="1">
      <c r="E428" s="82"/>
      <c r="G428" s="79"/>
      <c r="H428" s="79"/>
      <c r="M428" s="86"/>
      <c r="U428" s="87"/>
      <c r="V428" s="87"/>
      <c r="W428" s="87"/>
      <c r="X428" s="87"/>
    </row>
    <row r="429" ht="15.75" customHeight="1">
      <c r="E429" s="82"/>
      <c r="G429" s="79"/>
      <c r="H429" s="79"/>
      <c r="M429" s="86"/>
      <c r="U429" s="87"/>
      <c r="V429" s="87"/>
      <c r="W429" s="87"/>
      <c r="X429" s="87"/>
    </row>
    <row r="430" ht="15.75" customHeight="1">
      <c r="E430" s="82"/>
      <c r="G430" s="79"/>
      <c r="H430" s="79"/>
      <c r="M430" s="86"/>
      <c r="U430" s="87"/>
      <c r="V430" s="87"/>
      <c r="W430" s="87"/>
      <c r="X430" s="87"/>
    </row>
    <row r="431" ht="15.75" customHeight="1">
      <c r="E431" s="82"/>
      <c r="G431" s="79"/>
      <c r="H431" s="79"/>
      <c r="M431" s="86"/>
      <c r="U431" s="87"/>
      <c r="V431" s="87"/>
      <c r="W431" s="87"/>
      <c r="X431" s="87"/>
    </row>
    <row r="432" ht="15.75" customHeight="1">
      <c r="E432" s="82"/>
      <c r="G432" s="79"/>
      <c r="H432" s="79"/>
      <c r="M432" s="86"/>
      <c r="U432" s="87"/>
      <c r="V432" s="87"/>
      <c r="W432" s="87"/>
      <c r="X432" s="87"/>
    </row>
    <row r="433" ht="15.75" customHeight="1">
      <c r="E433" s="82"/>
      <c r="G433" s="79"/>
      <c r="H433" s="79"/>
      <c r="M433" s="86"/>
      <c r="U433" s="87"/>
      <c r="V433" s="87"/>
      <c r="W433" s="87"/>
      <c r="X433" s="87"/>
    </row>
    <row r="434" ht="15.75" customHeight="1">
      <c r="E434" s="82"/>
      <c r="G434" s="79"/>
      <c r="H434" s="79"/>
      <c r="M434" s="86"/>
      <c r="U434" s="87"/>
      <c r="V434" s="87"/>
      <c r="W434" s="87"/>
      <c r="X434" s="87"/>
    </row>
    <row r="435" ht="15.75" customHeight="1">
      <c r="E435" s="82"/>
      <c r="G435" s="79"/>
      <c r="H435" s="79"/>
      <c r="M435" s="86"/>
      <c r="U435" s="87"/>
      <c r="V435" s="87"/>
      <c r="W435" s="87"/>
      <c r="X435" s="87"/>
    </row>
    <row r="436" ht="15.75" customHeight="1">
      <c r="E436" s="82"/>
      <c r="G436" s="79"/>
      <c r="H436" s="79"/>
      <c r="M436" s="86"/>
      <c r="U436" s="87"/>
      <c r="V436" s="87"/>
      <c r="W436" s="87"/>
      <c r="X436" s="87"/>
    </row>
    <row r="437" ht="15.75" customHeight="1">
      <c r="E437" s="82"/>
      <c r="G437" s="79"/>
      <c r="H437" s="79"/>
      <c r="M437" s="86"/>
      <c r="U437" s="87"/>
      <c r="V437" s="87"/>
      <c r="W437" s="87"/>
      <c r="X437" s="87"/>
    </row>
    <row r="438" ht="15.75" customHeight="1">
      <c r="E438" s="82"/>
      <c r="G438" s="79"/>
      <c r="H438" s="79"/>
      <c r="M438" s="86"/>
      <c r="U438" s="87"/>
      <c r="V438" s="87"/>
      <c r="W438" s="87"/>
      <c r="X438" s="87"/>
    </row>
    <row r="439" ht="15.75" customHeight="1">
      <c r="E439" s="82"/>
      <c r="G439" s="79"/>
      <c r="H439" s="79"/>
      <c r="M439" s="86"/>
      <c r="U439" s="87"/>
      <c r="V439" s="87"/>
      <c r="W439" s="87"/>
      <c r="X439" s="87"/>
    </row>
    <row r="440" ht="15.75" customHeight="1">
      <c r="E440" s="82"/>
      <c r="G440" s="79"/>
      <c r="H440" s="79"/>
      <c r="M440" s="86"/>
      <c r="U440" s="87"/>
      <c r="V440" s="87"/>
      <c r="W440" s="87"/>
      <c r="X440" s="87"/>
    </row>
    <row r="441" ht="15.75" customHeight="1">
      <c r="E441" s="82"/>
      <c r="G441" s="79"/>
      <c r="H441" s="79"/>
      <c r="M441" s="86"/>
      <c r="U441" s="87"/>
      <c r="V441" s="87"/>
      <c r="W441" s="87"/>
      <c r="X441" s="87"/>
    </row>
    <row r="442" ht="15.75" customHeight="1">
      <c r="E442" s="82"/>
      <c r="G442" s="79"/>
      <c r="H442" s="79"/>
      <c r="M442" s="86"/>
      <c r="U442" s="87"/>
      <c r="V442" s="87"/>
      <c r="W442" s="87"/>
      <c r="X442" s="87"/>
    </row>
    <row r="443" ht="15.75" customHeight="1">
      <c r="E443" s="82"/>
      <c r="G443" s="79"/>
      <c r="H443" s="79"/>
      <c r="M443" s="86"/>
      <c r="U443" s="87"/>
      <c r="V443" s="87"/>
      <c r="W443" s="87"/>
      <c r="X443" s="87"/>
    </row>
    <row r="444" ht="15.75" customHeight="1">
      <c r="E444" s="82"/>
      <c r="G444" s="79"/>
      <c r="H444" s="79"/>
      <c r="M444" s="86"/>
      <c r="U444" s="87"/>
      <c r="V444" s="87"/>
      <c r="W444" s="87"/>
      <c r="X444" s="87"/>
    </row>
    <row r="445" ht="15.75" customHeight="1">
      <c r="E445" s="82"/>
      <c r="G445" s="79"/>
      <c r="H445" s="79"/>
      <c r="M445" s="86"/>
      <c r="U445" s="87"/>
      <c r="V445" s="87"/>
      <c r="W445" s="87"/>
      <c r="X445" s="87"/>
    </row>
    <row r="446" ht="15.75" customHeight="1">
      <c r="E446" s="82"/>
      <c r="G446" s="79"/>
      <c r="H446" s="79"/>
      <c r="M446" s="86"/>
      <c r="U446" s="87"/>
      <c r="V446" s="87"/>
      <c r="W446" s="87"/>
      <c r="X446" s="87"/>
    </row>
    <row r="447" ht="15.75" customHeight="1">
      <c r="E447" s="82"/>
      <c r="G447" s="79"/>
      <c r="H447" s="79"/>
      <c r="M447" s="86"/>
      <c r="U447" s="87"/>
      <c r="V447" s="87"/>
      <c r="W447" s="87"/>
      <c r="X447" s="87"/>
    </row>
    <row r="448" ht="15.75" customHeight="1">
      <c r="E448" s="82"/>
      <c r="G448" s="79"/>
      <c r="H448" s="79"/>
      <c r="M448" s="86"/>
      <c r="U448" s="87"/>
      <c r="V448" s="87"/>
      <c r="W448" s="87"/>
      <c r="X448" s="87"/>
    </row>
    <row r="449" ht="15.75" customHeight="1">
      <c r="E449" s="82"/>
      <c r="G449" s="79"/>
      <c r="H449" s="79"/>
      <c r="M449" s="86"/>
      <c r="U449" s="87"/>
      <c r="V449" s="87"/>
      <c r="W449" s="87"/>
      <c r="X449" s="87"/>
    </row>
    <row r="450" ht="15.75" customHeight="1">
      <c r="E450" s="82"/>
      <c r="G450" s="79"/>
      <c r="H450" s="79"/>
      <c r="M450" s="86"/>
      <c r="U450" s="87"/>
      <c r="V450" s="87"/>
      <c r="W450" s="87"/>
      <c r="X450" s="87"/>
    </row>
    <row r="451" ht="15.75" customHeight="1">
      <c r="E451" s="82"/>
      <c r="G451" s="79"/>
      <c r="H451" s="79"/>
      <c r="M451" s="86"/>
      <c r="U451" s="87"/>
      <c r="V451" s="87"/>
      <c r="W451" s="87"/>
      <c r="X451" s="87"/>
    </row>
    <row r="452" ht="15.75" customHeight="1">
      <c r="E452" s="82"/>
      <c r="G452" s="79"/>
      <c r="H452" s="79"/>
      <c r="M452" s="86"/>
      <c r="U452" s="87"/>
      <c r="V452" s="87"/>
      <c r="W452" s="87"/>
      <c r="X452" s="87"/>
    </row>
    <row r="453" ht="15.75" customHeight="1">
      <c r="E453" s="82"/>
      <c r="G453" s="79"/>
      <c r="H453" s="79"/>
      <c r="M453" s="86"/>
      <c r="U453" s="87"/>
      <c r="V453" s="87"/>
      <c r="W453" s="87"/>
      <c r="X453" s="87"/>
    </row>
    <row r="454" ht="15.75" customHeight="1">
      <c r="E454" s="82"/>
      <c r="G454" s="79"/>
      <c r="H454" s="79"/>
      <c r="M454" s="86"/>
      <c r="U454" s="87"/>
      <c r="V454" s="87"/>
      <c r="W454" s="87"/>
      <c r="X454" s="87"/>
    </row>
    <row r="455" ht="15.75" customHeight="1">
      <c r="E455" s="82"/>
      <c r="G455" s="79"/>
      <c r="H455" s="79"/>
      <c r="M455" s="86"/>
      <c r="U455" s="87"/>
      <c r="V455" s="87"/>
      <c r="W455" s="87"/>
      <c r="X455" s="87"/>
    </row>
    <row r="456" ht="15.75" customHeight="1">
      <c r="E456" s="82"/>
      <c r="G456" s="79"/>
      <c r="H456" s="79"/>
      <c r="M456" s="86"/>
      <c r="U456" s="87"/>
      <c r="V456" s="87"/>
      <c r="W456" s="87"/>
      <c r="X456" s="87"/>
    </row>
    <row r="457" ht="15.75" customHeight="1">
      <c r="E457" s="82"/>
      <c r="G457" s="79"/>
      <c r="H457" s="79"/>
      <c r="M457" s="86"/>
      <c r="U457" s="87"/>
      <c r="V457" s="87"/>
      <c r="W457" s="87"/>
      <c r="X457" s="87"/>
    </row>
    <row r="458" ht="15.75" customHeight="1">
      <c r="E458" s="82"/>
      <c r="G458" s="79"/>
      <c r="H458" s="79"/>
      <c r="M458" s="86"/>
      <c r="U458" s="87"/>
      <c r="V458" s="87"/>
      <c r="W458" s="87"/>
      <c r="X458" s="87"/>
    </row>
    <row r="459" ht="15.75" customHeight="1">
      <c r="E459" s="82"/>
      <c r="G459" s="79"/>
      <c r="H459" s="79"/>
      <c r="M459" s="86"/>
      <c r="U459" s="87"/>
      <c r="V459" s="87"/>
      <c r="W459" s="87"/>
      <c r="X459" s="87"/>
    </row>
    <row r="460" ht="15.75" customHeight="1">
      <c r="E460" s="82"/>
      <c r="G460" s="79"/>
      <c r="H460" s="79"/>
      <c r="M460" s="86"/>
      <c r="U460" s="87"/>
      <c r="V460" s="87"/>
      <c r="W460" s="87"/>
      <c r="X460" s="87"/>
    </row>
    <row r="461" ht="15.75" customHeight="1">
      <c r="E461" s="82"/>
      <c r="G461" s="79"/>
      <c r="H461" s="79"/>
      <c r="M461" s="86"/>
      <c r="U461" s="87"/>
      <c r="V461" s="87"/>
      <c r="W461" s="87"/>
      <c r="X461" s="87"/>
    </row>
    <row r="462" ht="15.75" customHeight="1">
      <c r="E462" s="82"/>
      <c r="G462" s="79"/>
      <c r="H462" s="79"/>
      <c r="M462" s="86"/>
      <c r="U462" s="87"/>
      <c r="V462" s="87"/>
      <c r="W462" s="87"/>
      <c r="X462" s="87"/>
    </row>
    <row r="463" ht="15.75" customHeight="1">
      <c r="E463" s="82"/>
      <c r="G463" s="79"/>
      <c r="H463" s="79"/>
      <c r="M463" s="86"/>
      <c r="U463" s="87"/>
      <c r="V463" s="87"/>
      <c r="W463" s="87"/>
      <c r="X463" s="87"/>
    </row>
    <row r="464" ht="15.75" customHeight="1">
      <c r="E464" s="82"/>
      <c r="G464" s="79"/>
      <c r="H464" s="79"/>
      <c r="M464" s="86"/>
      <c r="U464" s="87"/>
      <c r="V464" s="87"/>
      <c r="W464" s="87"/>
      <c r="X464" s="87"/>
    </row>
    <row r="465" ht="15.75" customHeight="1">
      <c r="E465" s="82"/>
      <c r="G465" s="79"/>
      <c r="H465" s="79"/>
      <c r="M465" s="86"/>
      <c r="U465" s="87"/>
      <c r="V465" s="87"/>
      <c r="W465" s="87"/>
      <c r="X465" s="87"/>
    </row>
    <row r="466" ht="15.75" customHeight="1">
      <c r="E466" s="82"/>
      <c r="G466" s="79"/>
      <c r="H466" s="79"/>
      <c r="M466" s="86"/>
      <c r="U466" s="87"/>
      <c r="V466" s="87"/>
      <c r="W466" s="87"/>
      <c r="X466" s="87"/>
    </row>
    <row r="467" ht="15.75" customHeight="1">
      <c r="E467" s="82"/>
      <c r="G467" s="79"/>
      <c r="H467" s="79"/>
      <c r="M467" s="86"/>
      <c r="U467" s="87"/>
      <c r="V467" s="87"/>
      <c r="W467" s="87"/>
      <c r="X467" s="87"/>
    </row>
    <row r="468" ht="15.75" customHeight="1">
      <c r="E468" s="82"/>
      <c r="G468" s="79"/>
      <c r="H468" s="79"/>
      <c r="M468" s="86"/>
      <c r="U468" s="87"/>
      <c r="V468" s="87"/>
      <c r="W468" s="87"/>
      <c r="X468" s="87"/>
    </row>
    <row r="469" ht="15.75" customHeight="1">
      <c r="E469" s="82"/>
      <c r="G469" s="79"/>
      <c r="H469" s="79"/>
      <c r="M469" s="86"/>
      <c r="U469" s="87"/>
      <c r="V469" s="87"/>
      <c r="W469" s="87"/>
      <c r="X469" s="87"/>
    </row>
    <row r="470" ht="15.75" customHeight="1">
      <c r="E470" s="82"/>
      <c r="G470" s="79"/>
      <c r="H470" s="79"/>
      <c r="M470" s="86"/>
      <c r="U470" s="87"/>
      <c r="V470" s="87"/>
      <c r="W470" s="87"/>
      <c r="X470" s="87"/>
    </row>
    <row r="471" ht="15.75" customHeight="1">
      <c r="E471" s="82"/>
      <c r="G471" s="79"/>
      <c r="H471" s="79"/>
      <c r="M471" s="86"/>
      <c r="U471" s="87"/>
      <c r="V471" s="87"/>
      <c r="W471" s="87"/>
      <c r="X471" s="87"/>
    </row>
    <row r="472" ht="15.75" customHeight="1">
      <c r="E472" s="82"/>
      <c r="G472" s="79"/>
      <c r="H472" s="79"/>
      <c r="M472" s="86"/>
      <c r="U472" s="87"/>
      <c r="V472" s="87"/>
      <c r="W472" s="87"/>
      <c r="X472" s="87"/>
    </row>
    <row r="473" ht="15.75" customHeight="1">
      <c r="E473" s="82"/>
      <c r="G473" s="79"/>
      <c r="H473" s="79"/>
      <c r="M473" s="86"/>
      <c r="U473" s="87"/>
      <c r="V473" s="87"/>
      <c r="W473" s="87"/>
      <c r="X473" s="87"/>
    </row>
    <row r="474" ht="15.75" customHeight="1">
      <c r="E474" s="82"/>
      <c r="G474" s="79"/>
      <c r="H474" s="79"/>
      <c r="M474" s="86"/>
      <c r="U474" s="87"/>
      <c r="V474" s="87"/>
      <c r="W474" s="87"/>
      <c r="X474" s="87"/>
    </row>
    <row r="475" ht="15.75" customHeight="1">
      <c r="E475" s="82"/>
      <c r="G475" s="79"/>
      <c r="H475" s="79"/>
      <c r="M475" s="86"/>
      <c r="U475" s="87"/>
      <c r="V475" s="87"/>
      <c r="W475" s="87"/>
      <c r="X475" s="87"/>
    </row>
    <row r="476" ht="15.75" customHeight="1">
      <c r="E476" s="82"/>
      <c r="G476" s="79"/>
      <c r="H476" s="79"/>
      <c r="M476" s="86"/>
      <c r="U476" s="87"/>
      <c r="V476" s="87"/>
      <c r="W476" s="87"/>
      <c r="X476" s="87"/>
    </row>
    <row r="477" ht="15.75" customHeight="1">
      <c r="E477" s="82"/>
      <c r="G477" s="79"/>
      <c r="H477" s="79"/>
      <c r="M477" s="86"/>
      <c r="U477" s="87"/>
      <c r="V477" s="87"/>
      <c r="W477" s="87"/>
      <c r="X477" s="87"/>
    </row>
    <row r="478" ht="15.75" customHeight="1">
      <c r="E478" s="82"/>
      <c r="G478" s="79"/>
      <c r="H478" s="79"/>
      <c r="M478" s="86"/>
      <c r="U478" s="87"/>
      <c r="V478" s="87"/>
      <c r="W478" s="87"/>
      <c r="X478" s="87"/>
    </row>
    <row r="479" ht="15.75" customHeight="1">
      <c r="E479" s="82"/>
      <c r="G479" s="79"/>
      <c r="H479" s="79"/>
      <c r="M479" s="86"/>
      <c r="U479" s="87"/>
      <c r="V479" s="87"/>
      <c r="W479" s="87"/>
      <c r="X479" s="87"/>
    </row>
    <row r="480" ht="15.75" customHeight="1">
      <c r="E480" s="82"/>
      <c r="G480" s="79"/>
      <c r="H480" s="79"/>
      <c r="M480" s="86"/>
      <c r="U480" s="87"/>
      <c r="V480" s="87"/>
      <c r="W480" s="87"/>
      <c r="X480" s="87"/>
    </row>
    <row r="481" ht="15.75" customHeight="1">
      <c r="E481" s="82"/>
      <c r="G481" s="79"/>
      <c r="H481" s="79"/>
      <c r="M481" s="86"/>
      <c r="U481" s="87"/>
      <c r="V481" s="87"/>
      <c r="W481" s="87"/>
      <c r="X481" s="87"/>
    </row>
    <row r="482" ht="15.75" customHeight="1">
      <c r="E482" s="82"/>
      <c r="G482" s="79"/>
      <c r="H482" s="79"/>
      <c r="M482" s="86"/>
      <c r="U482" s="87"/>
      <c r="V482" s="87"/>
      <c r="W482" s="87"/>
      <c r="X482" s="87"/>
    </row>
    <row r="483" ht="15.75" customHeight="1">
      <c r="E483" s="82"/>
      <c r="G483" s="79"/>
      <c r="H483" s="79"/>
      <c r="M483" s="86"/>
      <c r="U483" s="87"/>
      <c r="V483" s="87"/>
      <c r="W483" s="87"/>
      <c r="X483" s="87"/>
    </row>
    <row r="484" ht="15.75" customHeight="1">
      <c r="E484" s="82"/>
      <c r="G484" s="79"/>
      <c r="H484" s="79"/>
      <c r="M484" s="86"/>
      <c r="U484" s="87"/>
      <c r="V484" s="87"/>
      <c r="W484" s="87"/>
      <c r="X484" s="87"/>
    </row>
    <row r="485" ht="15.75" customHeight="1">
      <c r="E485" s="82"/>
      <c r="G485" s="79"/>
      <c r="H485" s="79"/>
      <c r="M485" s="86"/>
      <c r="U485" s="87"/>
      <c r="V485" s="87"/>
      <c r="W485" s="87"/>
      <c r="X485" s="87"/>
    </row>
    <row r="486" ht="15.75" customHeight="1">
      <c r="E486" s="82"/>
      <c r="G486" s="79"/>
      <c r="H486" s="79"/>
      <c r="M486" s="86"/>
      <c r="U486" s="87"/>
      <c r="V486" s="87"/>
      <c r="W486" s="87"/>
      <c r="X486" s="87"/>
    </row>
    <row r="487" ht="15.75" customHeight="1">
      <c r="E487" s="82"/>
      <c r="G487" s="79"/>
      <c r="H487" s="79"/>
      <c r="M487" s="86"/>
      <c r="U487" s="87"/>
      <c r="V487" s="87"/>
      <c r="W487" s="87"/>
      <c r="X487" s="87"/>
    </row>
    <row r="488" ht="15.75" customHeight="1">
      <c r="E488" s="82"/>
      <c r="G488" s="79"/>
      <c r="H488" s="79"/>
      <c r="M488" s="86"/>
      <c r="U488" s="87"/>
      <c r="V488" s="87"/>
      <c r="W488" s="87"/>
      <c r="X488" s="87"/>
    </row>
    <row r="489" ht="15.75" customHeight="1">
      <c r="E489" s="82"/>
      <c r="G489" s="79"/>
      <c r="H489" s="79"/>
      <c r="M489" s="86"/>
      <c r="U489" s="87"/>
      <c r="V489" s="87"/>
      <c r="W489" s="87"/>
      <c r="X489" s="87"/>
    </row>
    <row r="490" ht="15.75" customHeight="1">
      <c r="E490" s="82"/>
      <c r="G490" s="79"/>
      <c r="H490" s="79"/>
      <c r="M490" s="86"/>
      <c r="U490" s="87"/>
      <c r="V490" s="87"/>
      <c r="W490" s="87"/>
      <c r="X490" s="87"/>
    </row>
    <row r="491" ht="15.75" customHeight="1">
      <c r="E491" s="82"/>
      <c r="G491" s="79"/>
      <c r="H491" s="79"/>
      <c r="M491" s="86"/>
      <c r="U491" s="87"/>
      <c r="V491" s="87"/>
      <c r="W491" s="87"/>
      <c r="X491" s="87"/>
    </row>
    <row r="492" ht="15.75" customHeight="1">
      <c r="E492" s="82"/>
      <c r="G492" s="79"/>
      <c r="H492" s="79"/>
      <c r="M492" s="86"/>
      <c r="U492" s="87"/>
      <c r="V492" s="87"/>
      <c r="W492" s="87"/>
      <c r="X492" s="87"/>
    </row>
    <row r="493" ht="15.75" customHeight="1">
      <c r="E493" s="82"/>
      <c r="G493" s="79"/>
      <c r="H493" s="79"/>
      <c r="M493" s="86"/>
      <c r="U493" s="87"/>
      <c r="V493" s="87"/>
      <c r="W493" s="87"/>
      <c r="X493" s="87"/>
    </row>
    <row r="494" ht="15.75" customHeight="1">
      <c r="E494" s="82"/>
      <c r="G494" s="79"/>
      <c r="H494" s="79"/>
      <c r="M494" s="86"/>
      <c r="U494" s="87"/>
      <c r="V494" s="87"/>
      <c r="W494" s="87"/>
      <c r="X494" s="87"/>
    </row>
    <row r="495" ht="15.75" customHeight="1">
      <c r="E495" s="82"/>
      <c r="G495" s="79"/>
      <c r="H495" s="79"/>
      <c r="M495" s="86"/>
      <c r="U495" s="87"/>
      <c r="V495" s="87"/>
      <c r="W495" s="87"/>
      <c r="X495" s="87"/>
    </row>
    <row r="496" ht="15.75" customHeight="1">
      <c r="E496" s="82"/>
      <c r="G496" s="79"/>
      <c r="H496" s="79"/>
      <c r="M496" s="86"/>
      <c r="U496" s="87"/>
      <c r="V496" s="87"/>
      <c r="W496" s="87"/>
      <c r="X496" s="87"/>
    </row>
    <row r="497" ht="15.75" customHeight="1">
      <c r="E497" s="82"/>
      <c r="G497" s="79"/>
      <c r="H497" s="79"/>
      <c r="M497" s="86"/>
      <c r="U497" s="87"/>
      <c r="V497" s="87"/>
      <c r="W497" s="87"/>
      <c r="X497" s="87"/>
    </row>
    <row r="498" ht="15.75" customHeight="1">
      <c r="E498" s="82"/>
      <c r="G498" s="79"/>
      <c r="H498" s="79"/>
      <c r="M498" s="86"/>
      <c r="U498" s="87"/>
      <c r="V498" s="87"/>
      <c r="W498" s="87"/>
      <c r="X498" s="87"/>
    </row>
    <row r="499" ht="15.75" customHeight="1">
      <c r="E499" s="82"/>
      <c r="G499" s="79"/>
      <c r="H499" s="79"/>
      <c r="M499" s="86"/>
      <c r="U499" s="87"/>
      <c r="V499" s="87"/>
      <c r="W499" s="87"/>
      <c r="X499" s="87"/>
    </row>
    <row r="500" ht="15.75" customHeight="1">
      <c r="E500" s="82"/>
      <c r="G500" s="79"/>
      <c r="H500" s="79"/>
      <c r="M500" s="86"/>
      <c r="U500" s="87"/>
      <c r="V500" s="87"/>
      <c r="W500" s="87"/>
      <c r="X500" s="87"/>
    </row>
    <row r="501" ht="15.75" customHeight="1">
      <c r="E501" s="82"/>
      <c r="G501" s="79"/>
      <c r="H501" s="79"/>
      <c r="M501" s="86"/>
      <c r="U501" s="87"/>
      <c r="V501" s="87"/>
      <c r="W501" s="87"/>
      <c r="X501" s="87"/>
    </row>
    <row r="502" ht="15.75" customHeight="1">
      <c r="E502" s="82"/>
      <c r="G502" s="79"/>
      <c r="H502" s="79"/>
      <c r="M502" s="86"/>
      <c r="U502" s="87"/>
      <c r="V502" s="87"/>
      <c r="W502" s="87"/>
      <c r="X502" s="87"/>
    </row>
    <row r="503" ht="15.75" customHeight="1">
      <c r="E503" s="82"/>
      <c r="G503" s="79"/>
      <c r="H503" s="79"/>
      <c r="M503" s="86"/>
      <c r="U503" s="87"/>
      <c r="V503" s="87"/>
      <c r="W503" s="87"/>
      <c r="X503" s="87"/>
    </row>
    <row r="504" ht="15.75" customHeight="1">
      <c r="E504" s="82"/>
      <c r="G504" s="79"/>
      <c r="H504" s="79"/>
      <c r="M504" s="86"/>
      <c r="U504" s="87"/>
      <c r="V504" s="87"/>
      <c r="W504" s="87"/>
      <c r="X504" s="87"/>
    </row>
    <row r="505" ht="15.75" customHeight="1">
      <c r="E505" s="82"/>
      <c r="G505" s="79"/>
      <c r="H505" s="79"/>
      <c r="M505" s="86"/>
      <c r="U505" s="87"/>
      <c r="V505" s="87"/>
      <c r="W505" s="87"/>
      <c r="X505" s="87"/>
    </row>
    <row r="506" ht="15.75" customHeight="1">
      <c r="E506" s="82"/>
      <c r="G506" s="79"/>
      <c r="H506" s="79"/>
      <c r="M506" s="86"/>
      <c r="U506" s="87"/>
      <c r="V506" s="87"/>
      <c r="W506" s="87"/>
      <c r="X506" s="87"/>
    </row>
    <row r="507" ht="15.75" customHeight="1">
      <c r="E507" s="82"/>
      <c r="G507" s="79"/>
      <c r="H507" s="79"/>
      <c r="M507" s="86"/>
      <c r="U507" s="87"/>
      <c r="V507" s="87"/>
      <c r="W507" s="87"/>
      <c r="X507" s="87"/>
    </row>
    <row r="508" ht="15.75" customHeight="1">
      <c r="E508" s="82"/>
      <c r="G508" s="79"/>
      <c r="H508" s="79"/>
      <c r="M508" s="86"/>
      <c r="U508" s="87"/>
      <c r="V508" s="87"/>
      <c r="W508" s="87"/>
      <c r="X508" s="87"/>
    </row>
    <row r="509" ht="15.75" customHeight="1">
      <c r="E509" s="82"/>
      <c r="G509" s="79"/>
      <c r="H509" s="79"/>
      <c r="M509" s="86"/>
      <c r="U509" s="87"/>
      <c r="V509" s="87"/>
      <c r="W509" s="87"/>
      <c r="X509" s="87"/>
    </row>
    <row r="510" ht="15.75" customHeight="1">
      <c r="E510" s="82"/>
      <c r="G510" s="79"/>
      <c r="H510" s="79"/>
      <c r="M510" s="86"/>
      <c r="U510" s="87"/>
      <c r="V510" s="87"/>
      <c r="W510" s="87"/>
      <c r="X510" s="87"/>
    </row>
    <row r="511" ht="15.75" customHeight="1">
      <c r="E511" s="82"/>
      <c r="G511" s="79"/>
      <c r="H511" s="79"/>
      <c r="M511" s="86"/>
      <c r="U511" s="87"/>
      <c r="V511" s="87"/>
      <c r="W511" s="87"/>
      <c r="X511" s="87"/>
    </row>
    <row r="512" ht="15.75" customHeight="1">
      <c r="E512" s="82"/>
      <c r="G512" s="79"/>
      <c r="H512" s="79"/>
      <c r="M512" s="86"/>
      <c r="U512" s="87"/>
      <c r="V512" s="87"/>
      <c r="W512" s="87"/>
      <c r="X512" s="87"/>
    </row>
    <row r="513" ht="15.75" customHeight="1">
      <c r="E513" s="82"/>
      <c r="G513" s="79"/>
      <c r="H513" s="79"/>
      <c r="M513" s="86"/>
      <c r="U513" s="87"/>
      <c r="V513" s="87"/>
      <c r="W513" s="87"/>
      <c r="X513" s="87"/>
    </row>
    <row r="514" ht="15.75" customHeight="1">
      <c r="E514" s="82"/>
      <c r="G514" s="79"/>
      <c r="H514" s="79"/>
      <c r="M514" s="86"/>
      <c r="U514" s="87"/>
      <c r="V514" s="87"/>
      <c r="W514" s="87"/>
      <c r="X514" s="87"/>
    </row>
    <row r="515" ht="15.75" customHeight="1">
      <c r="E515" s="82"/>
      <c r="G515" s="79"/>
      <c r="H515" s="79"/>
      <c r="M515" s="86"/>
      <c r="U515" s="87"/>
      <c r="V515" s="87"/>
      <c r="W515" s="87"/>
      <c r="X515" s="87"/>
    </row>
    <row r="516" ht="15.75" customHeight="1">
      <c r="E516" s="82"/>
      <c r="G516" s="79"/>
      <c r="H516" s="79"/>
      <c r="M516" s="86"/>
      <c r="U516" s="87"/>
      <c r="V516" s="87"/>
      <c r="W516" s="87"/>
      <c r="X516" s="87"/>
    </row>
    <row r="517" ht="15.75" customHeight="1">
      <c r="E517" s="82"/>
      <c r="G517" s="79"/>
      <c r="H517" s="79"/>
      <c r="M517" s="86"/>
      <c r="U517" s="87"/>
      <c r="V517" s="87"/>
      <c r="W517" s="87"/>
      <c r="X517" s="87"/>
    </row>
    <row r="518" ht="15.75" customHeight="1">
      <c r="E518" s="82"/>
      <c r="G518" s="79"/>
      <c r="H518" s="79"/>
      <c r="M518" s="86"/>
      <c r="U518" s="87"/>
      <c r="V518" s="87"/>
      <c r="W518" s="87"/>
      <c r="X518" s="87"/>
    </row>
    <row r="519" ht="15.75" customHeight="1">
      <c r="E519" s="82"/>
      <c r="G519" s="79"/>
      <c r="H519" s="79"/>
      <c r="M519" s="86"/>
      <c r="U519" s="87"/>
      <c r="V519" s="87"/>
      <c r="W519" s="87"/>
      <c r="X519" s="87"/>
    </row>
    <row r="520" ht="15.75" customHeight="1">
      <c r="E520" s="82"/>
      <c r="G520" s="79"/>
      <c r="H520" s="79"/>
      <c r="M520" s="86"/>
      <c r="U520" s="87"/>
      <c r="V520" s="87"/>
      <c r="W520" s="87"/>
      <c r="X520" s="87"/>
    </row>
    <row r="521" ht="15.75" customHeight="1">
      <c r="E521" s="82"/>
      <c r="G521" s="79"/>
      <c r="H521" s="79"/>
      <c r="M521" s="86"/>
      <c r="U521" s="87"/>
      <c r="V521" s="87"/>
      <c r="W521" s="87"/>
      <c r="X521" s="87"/>
    </row>
    <row r="522" ht="15.75" customHeight="1">
      <c r="E522" s="82"/>
      <c r="G522" s="79"/>
      <c r="H522" s="79"/>
      <c r="M522" s="86"/>
      <c r="U522" s="87"/>
      <c r="V522" s="87"/>
      <c r="W522" s="87"/>
      <c r="X522" s="87"/>
    </row>
    <row r="523" ht="15.75" customHeight="1">
      <c r="E523" s="82"/>
      <c r="G523" s="79"/>
      <c r="H523" s="79"/>
      <c r="M523" s="86"/>
      <c r="U523" s="87"/>
      <c r="V523" s="87"/>
      <c r="W523" s="87"/>
      <c r="X523" s="87"/>
    </row>
    <row r="524" ht="15.75" customHeight="1">
      <c r="E524" s="82"/>
      <c r="G524" s="79"/>
      <c r="H524" s="79"/>
      <c r="M524" s="86"/>
      <c r="U524" s="87"/>
      <c r="V524" s="87"/>
      <c r="W524" s="87"/>
      <c r="X524" s="87"/>
    </row>
    <row r="525" ht="15.75" customHeight="1">
      <c r="E525" s="82"/>
      <c r="G525" s="79"/>
      <c r="H525" s="79"/>
      <c r="M525" s="86"/>
      <c r="U525" s="87"/>
      <c r="V525" s="87"/>
      <c r="W525" s="87"/>
      <c r="X525" s="87"/>
    </row>
    <row r="526" ht="15.75" customHeight="1">
      <c r="E526" s="82"/>
      <c r="G526" s="79"/>
      <c r="H526" s="79"/>
      <c r="M526" s="86"/>
      <c r="U526" s="87"/>
      <c r="V526" s="87"/>
      <c r="W526" s="87"/>
      <c r="X526" s="87"/>
    </row>
    <row r="527" ht="15.75" customHeight="1">
      <c r="E527" s="82"/>
      <c r="G527" s="79"/>
      <c r="H527" s="79"/>
      <c r="M527" s="86"/>
      <c r="U527" s="87"/>
      <c r="V527" s="87"/>
      <c r="W527" s="87"/>
      <c r="X527" s="87"/>
    </row>
    <row r="528" ht="15.75" customHeight="1">
      <c r="E528" s="82"/>
      <c r="G528" s="79"/>
      <c r="H528" s="79"/>
      <c r="M528" s="86"/>
      <c r="U528" s="87"/>
      <c r="V528" s="87"/>
      <c r="W528" s="87"/>
      <c r="X528" s="87"/>
    </row>
    <row r="529" ht="15.75" customHeight="1">
      <c r="E529" s="82"/>
      <c r="G529" s="79"/>
      <c r="H529" s="79"/>
      <c r="M529" s="86"/>
      <c r="U529" s="87"/>
      <c r="V529" s="87"/>
      <c r="W529" s="87"/>
      <c r="X529" s="87"/>
    </row>
    <row r="530" ht="15.75" customHeight="1">
      <c r="E530" s="82"/>
      <c r="G530" s="79"/>
      <c r="H530" s="79"/>
      <c r="M530" s="86"/>
      <c r="U530" s="87"/>
      <c r="V530" s="87"/>
      <c r="W530" s="87"/>
      <c r="X530" s="87"/>
    </row>
    <row r="531" ht="15.75" customHeight="1">
      <c r="E531" s="82"/>
      <c r="G531" s="79"/>
      <c r="H531" s="79"/>
      <c r="M531" s="86"/>
      <c r="U531" s="87"/>
      <c r="V531" s="87"/>
      <c r="W531" s="87"/>
      <c r="X531" s="87"/>
    </row>
    <row r="532" ht="15.75" customHeight="1">
      <c r="E532" s="82"/>
      <c r="G532" s="79"/>
      <c r="H532" s="79"/>
      <c r="M532" s="86"/>
      <c r="U532" s="87"/>
      <c r="V532" s="87"/>
      <c r="W532" s="87"/>
      <c r="X532" s="87"/>
    </row>
    <row r="533" ht="15.75" customHeight="1">
      <c r="E533" s="82"/>
      <c r="G533" s="79"/>
      <c r="H533" s="79"/>
      <c r="M533" s="86"/>
      <c r="U533" s="87"/>
      <c r="V533" s="87"/>
      <c r="W533" s="87"/>
      <c r="X533" s="87"/>
    </row>
    <row r="534" ht="15.75" customHeight="1">
      <c r="E534" s="82"/>
      <c r="G534" s="79"/>
      <c r="H534" s="79"/>
      <c r="M534" s="86"/>
      <c r="U534" s="87"/>
      <c r="V534" s="87"/>
      <c r="W534" s="87"/>
      <c r="X534" s="87"/>
    </row>
    <row r="535" ht="15.75" customHeight="1">
      <c r="E535" s="82"/>
      <c r="G535" s="79"/>
      <c r="H535" s="79"/>
      <c r="M535" s="86"/>
      <c r="U535" s="87"/>
      <c r="V535" s="87"/>
      <c r="W535" s="87"/>
      <c r="X535" s="87"/>
    </row>
    <row r="536" ht="15.75" customHeight="1">
      <c r="E536" s="82"/>
      <c r="G536" s="79"/>
      <c r="H536" s="79"/>
      <c r="M536" s="86"/>
      <c r="U536" s="87"/>
      <c r="V536" s="87"/>
      <c r="W536" s="87"/>
      <c r="X536" s="87"/>
    </row>
    <row r="537" ht="15.75" customHeight="1">
      <c r="E537" s="82"/>
      <c r="G537" s="79"/>
      <c r="H537" s="79"/>
      <c r="M537" s="86"/>
      <c r="U537" s="87"/>
      <c r="V537" s="87"/>
      <c r="W537" s="87"/>
      <c r="X537" s="87"/>
    </row>
    <row r="538" ht="15.75" customHeight="1">
      <c r="E538" s="82"/>
      <c r="G538" s="79"/>
      <c r="H538" s="79"/>
      <c r="M538" s="86"/>
      <c r="U538" s="87"/>
      <c r="V538" s="87"/>
      <c r="W538" s="87"/>
      <c r="X538" s="87"/>
    </row>
    <row r="539" ht="15.75" customHeight="1">
      <c r="E539" s="82"/>
      <c r="G539" s="79"/>
      <c r="H539" s="79"/>
      <c r="M539" s="86"/>
      <c r="U539" s="87"/>
      <c r="V539" s="87"/>
      <c r="W539" s="87"/>
      <c r="X539" s="87"/>
    </row>
    <row r="540" ht="15.75" customHeight="1">
      <c r="E540" s="82"/>
      <c r="G540" s="79"/>
      <c r="H540" s="79"/>
      <c r="M540" s="86"/>
      <c r="U540" s="87"/>
      <c r="V540" s="87"/>
      <c r="W540" s="87"/>
      <c r="X540" s="87"/>
    </row>
    <row r="541" ht="15.75" customHeight="1">
      <c r="E541" s="82"/>
      <c r="G541" s="79"/>
      <c r="H541" s="79"/>
      <c r="M541" s="86"/>
      <c r="U541" s="87"/>
      <c r="V541" s="87"/>
      <c r="W541" s="87"/>
      <c r="X541" s="87"/>
    </row>
    <row r="542" ht="15.75" customHeight="1">
      <c r="E542" s="82"/>
      <c r="G542" s="79"/>
      <c r="H542" s="79"/>
      <c r="M542" s="86"/>
      <c r="U542" s="87"/>
      <c r="V542" s="87"/>
      <c r="W542" s="87"/>
      <c r="X542" s="87"/>
    </row>
    <row r="543" ht="15.75" customHeight="1">
      <c r="E543" s="82"/>
      <c r="G543" s="79"/>
      <c r="H543" s="79"/>
      <c r="M543" s="86"/>
      <c r="U543" s="87"/>
      <c r="V543" s="87"/>
      <c r="W543" s="87"/>
      <c r="X543" s="87"/>
    </row>
    <row r="544" ht="15.75" customHeight="1">
      <c r="E544" s="82"/>
      <c r="G544" s="79"/>
      <c r="H544" s="79"/>
      <c r="M544" s="86"/>
      <c r="U544" s="87"/>
      <c r="V544" s="87"/>
      <c r="W544" s="87"/>
      <c r="X544" s="87"/>
    </row>
    <row r="545" ht="15.75" customHeight="1">
      <c r="E545" s="82"/>
      <c r="G545" s="79"/>
      <c r="H545" s="79"/>
      <c r="M545" s="86"/>
      <c r="U545" s="87"/>
      <c r="V545" s="87"/>
      <c r="W545" s="87"/>
      <c r="X545" s="87"/>
    </row>
    <row r="546" ht="15.75" customHeight="1">
      <c r="E546" s="82"/>
      <c r="G546" s="79"/>
      <c r="H546" s="79"/>
      <c r="M546" s="86"/>
      <c r="U546" s="87"/>
      <c r="V546" s="87"/>
      <c r="W546" s="87"/>
      <c r="X546" s="87"/>
    </row>
    <row r="547" ht="15.75" customHeight="1">
      <c r="E547" s="82"/>
      <c r="G547" s="79"/>
      <c r="H547" s="79"/>
      <c r="M547" s="86"/>
      <c r="U547" s="87"/>
      <c r="V547" s="87"/>
      <c r="W547" s="87"/>
      <c r="X547" s="87"/>
    </row>
    <row r="548" ht="15.75" customHeight="1">
      <c r="E548" s="82"/>
      <c r="G548" s="79"/>
      <c r="H548" s="79"/>
      <c r="M548" s="86"/>
      <c r="U548" s="87"/>
      <c r="V548" s="87"/>
      <c r="W548" s="87"/>
      <c r="X548" s="87"/>
    </row>
    <row r="549" ht="15.75" customHeight="1">
      <c r="E549" s="82"/>
      <c r="G549" s="79"/>
      <c r="H549" s="79"/>
      <c r="M549" s="86"/>
      <c r="U549" s="87"/>
      <c r="V549" s="87"/>
      <c r="W549" s="87"/>
      <c r="X549" s="87"/>
    </row>
    <row r="550" ht="15.75" customHeight="1">
      <c r="E550" s="82"/>
      <c r="G550" s="79"/>
      <c r="H550" s="79"/>
      <c r="M550" s="86"/>
      <c r="U550" s="87"/>
      <c r="V550" s="87"/>
      <c r="W550" s="87"/>
      <c r="X550" s="87"/>
    </row>
    <row r="551" ht="15.75" customHeight="1">
      <c r="E551" s="82"/>
      <c r="G551" s="79"/>
      <c r="H551" s="79"/>
      <c r="M551" s="86"/>
      <c r="U551" s="87"/>
      <c r="V551" s="87"/>
      <c r="W551" s="87"/>
      <c r="X551" s="87"/>
    </row>
    <row r="552" ht="15.75" customHeight="1">
      <c r="E552" s="82"/>
      <c r="G552" s="79"/>
      <c r="H552" s="79"/>
      <c r="M552" s="86"/>
      <c r="U552" s="87"/>
      <c r="V552" s="87"/>
      <c r="W552" s="87"/>
      <c r="X552" s="87"/>
    </row>
    <row r="553" ht="15.75" customHeight="1">
      <c r="E553" s="82"/>
      <c r="G553" s="79"/>
      <c r="H553" s="79"/>
      <c r="M553" s="86"/>
      <c r="U553" s="87"/>
      <c r="V553" s="87"/>
      <c r="W553" s="87"/>
      <c r="X553" s="87"/>
    </row>
    <row r="554" ht="15.75" customHeight="1">
      <c r="E554" s="82"/>
      <c r="G554" s="79"/>
      <c r="H554" s="79"/>
      <c r="M554" s="86"/>
      <c r="U554" s="87"/>
      <c r="V554" s="87"/>
      <c r="W554" s="87"/>
      <c r="X554" s="87"/>
    </row>
    <row r="555" ht="15.75" customHeight="1">
      <c r="E555" s="82"/>
      <c r="G555" s="79"/>
      <c r="H555" s="79"/>
      <c r="M555" s="86"/>
      <c r="U555" s="87"/>
      <c r="V555" s="87"/>
      <c r="W555" s="87"/>
      <c r="X555" s="87"/>
    </row>
    <row r="556" ht="15.75" customHeight="1">
      <c r="E556" s="82"/>
      <c r="G556" s="79"/>
      <c r="H556" s="79"/>
      <c r="M556" s="86"/>
      <c r="U556" s="87"/>
      <c r="V556" s="87"/>
      <c r="W556" s="87"/>
      <c r="X556" s="87"/>
    </row>
    <row r="557" ht="15.75" customHeight="1">
      <c r="E557" s="82"/>
      <c r="G557" s="79"/>
      <c r="H557" s="79"/>
      <c r="M557" s="86"/>
      <c r="U557" s="87"/>
      <c r="V557" s="87"/>
      <c r="W557" s="87"/>
      <c r="X557" s="87"/>
    </row>
    <row r="558" ht="15.75" customHeight="1">
      <c r="E558" s="82"/>
      <c r="G558" s="79"/>
      <c r="H558" s="79"/>
      <c r="M558" s="86"/>
      <c r="U558" s="87"/>
      <c r="V558" s="87"/>
      <c r="W558" s="87"/>
      <c r="X558" s="87"/>
    </row>
    <row r="559" ht="15.75" customHeight="1">
      <c r="E559" s="82"/>
      <c r="G559" s="79"/>
      <c r="H559" s="79"/>
      <c r="M559" s="86"/>
      <c r="U559" s="87"/>
      <c r="V559" s="87"/>
      <c r="W559" s="87"/>
      <c r="X559" s="87"/>
    </row>
    <row r="560" ht="15.75" customHeight="1">
      <c r="E560" s="82"/>
      <c r="G560" s="79"/>
      <c r="H560" s="79"/>
      <c r="M560" s="86"/>
      <c r="U560" s="87"/>
      <c r="V560" s="87"/>
      <c r="W560" s="87"/>
      <c r="X560" s="87"/>
    </row>
    <row r="561" ht="15.75" customHeight="1">
      <c r="E561" s="82"/>
      <c r="G561" s="79"/>
      <c r="H561" s="79"/>
      <c r="M561" s="86"/>
      <c r="U561" s="87"/>
      <c r="V561" s="87"/>
      <c r="W561" s="87"/>
      <c r="X561" s="87"/>
    </row>
    <row r="562" ht="15.75" customHeight="1">
      <c r="E562" s="82"/>
      <c r="G562" s="79"/>
      <c r="H562" s="79"/>
      <c r="M562" s="86"/>
      <c r="U562" s="87"/>
      <c r="V562" s="87"/>
      <c r="W562" s="87"/>
      <c r="X562" s="87"/>
    </row>
    <row r="563" ht="15.75" customHeight="1">
      <c r="E563" s="82"/>
      <c r="G563" s="79"/>
      <c r="H563" s="79"/>
      <c r="M563" s="86"/>
      <c r="U563" s="87"/>
      <c r="V563" s="87"/>
      <c r="W563" s="87"/>
      <c r="X563" s="87"/>
    </row>
    <row r="564" ht="15.75" customHeight="1">
      <c r="E564" s="82"/>
      <c r="G564" s="79"/>
      <c r="H564" s="79"/>
      <c r="M564" s="86"/>
      <c r="U564" s="87"/>
      <c r="V564" s="87"/>
      <c r="W564" s="87"/>
      <c r="X564" s="87"/>
    </row>
    <row r="565" ht="15.75" customHeight="1">
      <c r="E565" s="82"/>
      <c r="G565" s="79"/>
      <c r="H565" s="79"/>
      <c r="M565" s="86"/>
      <c r="U565" s="87"/>
      <c r="V565" s="87"/>
      <c r="W565" s="87"/>
      <c r="X565" s="87"/>
    </row>
    <row r="566" ht="15.75" customHeight="1">
      <c r="E566" s="82"/>
      <c r="G566" s="79"/>
      <c r="H566" s="79"/>
      <c r="M566" s="86"/>
      <c r="U566" s="87"/>
      <c r="V566" s="87"/>
      <c r="W566" s="87"/>
      <c r="X566" s="87"/>
    </row>
    <row r="567" ht="15.75" customHeight="1">
      <c r="E567" s="82"/>
      <c r="G567" s="79"/>
      <c r="H567" s="79"/>
      <c r="M567" s="86"/>
      <c r="U567" s="87"/>
      <c r="V567" s="87"/>
      <c r="W567" s="87"/>
      <c r="X567" s="87"/>
    </row>
    <row r="568" ht="15.75" customHeight="1">
      <c r="E568" s="82"/>
      <c r="G568" s="79"/>
      <c r="H568" s="79"/>
      <c r="M568" s="86"/>
      <c r="U568" s="87"/>
      <c r="V568" s="87"/>
      <c r="W568" s="87"/>
      <c r="X568" s="87"/>
    </row>
    <row r="569" ht="15.75" customHeight="1">
      <c r="E569" s="82"/>
      <c r="G569" s="79"/>
      <c r="H569" s="79"/>
      <c r="M569" s="86"/>
      <c r="U569" s="87"/>
      <c r="V569" s="87"/>
      <c r="W569" s="87"/>
      <c r="X569" s="87"/>
    </row>
    <row r="570" ht="15.75" customHeight="1">
      <c r="E570" s="82"/>
      <c r="G570" s="79"/>
      <c r="H570" s="79"/>
      <c r="M570" s="86"/>
      <c r="U570" s="87"/>
      <c r="V570" s="87"/>
      <c r="W570" s="87"/>
      <c r="X570" s="87"/>
    </row>
    <row r="571" ht="15.75" customHeight="1">
      <c r="E571" s="82"/>
      <c r="G571" s="79"/>
      <c r="H571" s="79"/>
      <c r="M571" s="86"/>
      <c r="U571" s="87"/>
      <c r="V571" s="87"/>
      <c r="W571" s="87"/>
      <c r="X571" s="87"/>
    </row>
    <row r="572" ht="15.75" customHeight="1">
      <c r="E572" s="82"/>
      <c r="G572" s="79"/>
      <c r="H572" s="79"/>
      <c r="M572" s="86"/>
      <c r="U572" s="87"/>
      <c r="V572" s="87"/>
      <c r="W572" s="87"/>
      <c r="X572" s="87"/>
    </row>
    <row r="573" ht="15.75" customHeight="1">
      <c r="E573" s="82"/>
      <c r="G573" s="79"/>
      <c r="H573" s="79"/>
      <c r="M573" s="86"/>
      <c r="U573" s="87"/>
      <c r="V573" s="87"/>
      <c r="W573" s="87"/>
      <c r="X573" s="87"/>
    </row>
    <row r="574" ht="15.75" customHeight="1">
      <c r="E574" s="82"/>
      <c r="G574" s="79"/>
      <c r="H574" s="79"/>
      <c r="M574" s="86"/>
      <c r="U574" s="87"/>
      <c r="V574" s="87"/>
      <c r="W574" s="87"/>
      <c r="X574" s="87"/>
    </row>
    <row r="575" ht="15.75" customHeight="1">
      <c r="E575" s="82"/>
      <c r="G575" s="79"/>
      <c r="H575" s="79"/>
      <c r="M575" s="86"/>
      <c r="U575" s="87"/>
      <c r="V575" s="87"/>
      <c r="W575" s="87"/>
      <c r="X575" s="87"/>
    </row>
    <row r="576" ht="15.75" customHeight="1">
      <c r="E576" s="82"/>
      <c r="G576" s="79"/>
      <c r="H576" s="79"/>
      <c r="M576" s="86"/>
      <c r="U576" s="87"/>
      <c r="V576" s="87"/>
      <c r="W576" s="87"/>
      <c r="X576" s="87"/>
    </row>
    <row r="577" ht="15.75" customHeight="1">
      <c r="E577" s="82"/>
      <c r="G577" s="79"/>
      <c r="H577" s="79"/>
      <c r="M577" s="86"/>
      <c r="U577" s="87"/>
      <c r="V577" s="87"/>
      <c r="W577" s="87"/>
      <c r="X577" s="87"/>
    </row>
    <row r="578" ht="15.75" customHeight="1">
      <c r="E578" s="82"/>
      <c r="G578" s="79"/>
      <c r="H578" s="79"/>
      <c r="M578" s="86"/>
      <c r="U578" s="87"/>
      <c r="V578" s="87"/>
      <c r="W578" s="87"/>
      <c r="X578" s="87"/>
    </row>
    <row r="579" ht="15.75" customHeight="1">
      <c r="E579" s="82"/>
      <c r="G579" s="79"/>
      <c r="H579" s="79"/>
      <c r="M579" s="86"/>
      <c r="U579" s="87"/>
      <c r="V579" s="87"/>
      <c r="W579" s="87"/>
      <c r="X579" s="87"/>
    </row>
    <row r="580" ht="15.75" customHeight="1">
      <c r="E580" s="82"/>
      <c r="G580" s="79"/>
      <c r="H580" s="79"/>
      <c r="M580" s="86"/>
      <c r="U580" s="87"/>
      <c r="V580" s="87"/>
      <c r="W580" s="87"/>
      <c r="X580" s="87"/>
    </row>
    <row r="581" ht="15.75" customHeight="1">
      <c r="E581" s="82"/>
      <c r="G581" s="79"/>
      <c r="H581" s="79"/>
      <c r="M581" s="86"/>
      <c r="U581" s="87"/>
      <c r="V581" s="87"/>
      <c r="W581" s="87"/>
      <c r="X581" s="87"/>
    </row>
    <row r="582" ht="15.75" customHeight="1">
      <c r="E582" s="82"/>
      <c r="G582" s="79"/>
      <c r="H582" s="79"/>
      <c r="M582" s="86"/>
      <c r="U582" s="87"/>
      <c r="V582" s="87"/>
      <c r="W582" s="87"/>
      <c r="X582" s="87"/>
    </row>
    <row r="583" ht="15.75" customHeight="1">
      <c r="E583" s="82"/>
      <c r="G583" s="79"/>
      <c r="H583" s="79"/>
      <c r="M583" s="86"/>
      <c r="U583" s="87"/>
      <c r="V583" s="87"/>
      <c r="W583" s="87"/>
      <c r="X583" s="87"/>
    </row>
    <row r="584" ht="15.75" customHeight="1">
      <c r="E584" s="82"/>
      <c r="G584" s="79"/>
      <c r="H584" s="79"/>
      <c r="M584" s="86"/>
      <c r="U584" s="87"/>
      <c r="V584" s="87"/>
      <c r="W584" s="87"/>
      <c r="X584" s="87"/>
    </row>
    <row r="585" ht="15.75" customHeight="1">
      <c r="E585" s="82"/>
      <c r="G585" s="79"/>
      <c r="H585" s="79"/>
      <c r="M585" s="86"/>
      <c r="U585" s="87"/>
      <c r="V585" s="87"/>
      <c r="W585" s="87"/>
      <c r="X585" s="87"/>
    </row>
    <row r="586" ht="15.75" customHeight="1">
      <c r="E586" s="82"/>
      <c r="G586" s="79"/>
      <c r="H586" s="79"/>
      <c r="M586" s="86"/>
      <c r="U586" s="87"/>
      <c r="V586" s="87"/>
      <c r="W586" s="87"/>
      <c r="X586" s="87"/>
    </row>
    <row r="587" ht="15.75" customHeight="1">
      <c r="E587" s="82"/>
      <c r="G587" s="79"/>
      <c r="H587" s="79"/>
      <c r="M587" s="86"/>
      <c r="U587" s="87"/>
      <c r="V587" s="87"/>
      <c r="W587" s="87"/>
      <c r="X587" s="87"/>
    </row>
    <row r="588" ht="15.75" customHeight="1">
      <c r="E588" s="82"/>
      <c r="G588" s="79"/>
      <c r="H588" s="79"/>
      <c r="M588" s="86"/>
      <c r="U588" s="87"/>
      <c r="V588" s="87"/>
      <c r="W588" s="87"/>
      <c r="X588" s="87"/>
    </row>
    <row r="589" ht="15.75" customHeight="1">
      <c r="E589" s="82"/>
      <c r="G589" s="79"/>
      <c r="H589" s="79"/>
      <c r="M589" s="86"/>
      <c r="U589" s="87"/>
      <c r="V589" s="87"/>
      <c r="W589" s="87"/>
      <c r="X589" s="87"/>
    </row>
    <row r="590" ht="15.75" customHeight="1">
      <c r="E590" s="82"/>
      <c r="G590" s="79"/>
      <c r="H590" s="79"/>
      <c r="M590" s="86"/>
      <c r="U590" s="87"/>
      <c r="V590" s="87"/>
      <c r="W590" s="87"/>
      <c r="X590" s="87"/>
    </row>
    <row r="591" ht="15.75" customHeight="1">
      <c r="E591" s="82"/>
      <c r="G591" s="79"/>
      <c r="H591" s="79"/>
      <c r="M591" s="86"/>
      <c r="U591" s="87"/>
      <c r="V591" s="87"/>
      <c r="W591" s="87"/>
      <c r="X591" s="87"/>
    </row>
    <row r="592" ht="15.75" customHeight="1">
      <c r="E592" s="82"/>
      <c r="G592" s="79"/>
      <c r="H592" s="79"/>
      <c r="M592" s="86"/>
      <c r="U592" s="87"/>
      <c r="V592" s="87"/>
      <c r="W592" s="87"/>
      <c r="X592" s="87"/>
    </row>
    <row r="593" ht="15.75" customHeight="1">
      <c r="E593" s="82"/>
      <c r="G593" s="79"/>
      <c r="H593" s="79"/>
      <c r="M593" s="86"/>
      <c r="U593" s="87"/>
      <c r="V593" s="87"/>
      <c r="W593" s="87"/>
      <c r="X593" s="87"/>
    </row>
    <row r="594" ht="15.75" customHeight="1">
      <c r="E594" s="82"/>
      <c r="G594" s="79"/>
      <c r="H594" s="79"/>
      <c r="M594" s="86"/>
      <c r="U594" s="87"/>
      <c r="V594" s="87"/>
      <c r="W594" s="87"/>
      <c r="X594" s="87"/>
    </row>
    <row r="595" ht="15.75" customHeight="1">
      <c r="E595" s="82"/>
      <c r="G595" s="79"/>
      <c r="H595" s="79"/>
      <c r="M595" s="86"/>
      <c r="U595" s="87"/>
      <c r="V595" s="87"/>
      <c r="W595" s="87"/>
      <c r="X595" s="87"/>
    </row>
    <row r="596" ht="15.75" customHeight="1">
      <c r="E596" s="82"/>
      <c r="G596" s="79"/>
      <c r="H596" s="79"/>
      <c r="M596" s="86"/>
      <c r="U596" s="87"/>
      <c r="V596" s="87"/>
      <c r="W596" s="87"/>
      <c r="X596" s="87"/>
    </row>
    <row r="597" ht="15.75" customHeight="1">
      <c r="E597" s="82"/>
      <c r="G597" s="79"/>
      <c r="H597" s="79"/>
      <c r="M597" s="86"/>
      <c r="U597" s="87"/>
      <c r="V597" s="87"/>
      <c r="W597" s="87"/>
      <c r="X597" s="87"/>
    </row>
    <row r="598" ht="15.75" customHeight="1">
      <c r="E598" s="82"/>
      <c r="G598" s="79"/>
      <c r="H598" s="79"/>
      <c r="M598" s="86"/>
      <c r="U598" s="87"/>
      <c r="V598" s="87"/>
      <c r="W598" s="87"/>
      <c r="X598" s="87"/>
    </row>
    <row r="599" ht="15.75" customHeight="1">
      <c r="E599" s="82"/>
      <c r="G599" s="79"/>
      <c r="H599" s="79"/>
      <c r="M599" s="86"/>
      <c r="U599" s="87"/>
      <c r="V599" s="87"/>
      <c r="W599" s="87"/>
      <c r="X599" s="87"/>
    </row>
    <row r="600" ht="15.75" customHeight="1">
      <c r="E600" s="82"/>
      <c r="G600" s="79"/>
      <c r="H600" s="79"/>
      <c r="M600" s="86"/>
      <c r="U600" s="87"/>
      <c r="V600" s="87"/>
      <c r="W600" s="87"/>
      <c r="X600" s="87"/>
    </row>
    <row r="601" ht="15.75" customHeight="1">
      <c r="E601" s="82"/>
      <c r="G601" s="79"/>
      <c r="H601" s="79"/>
      <c r="M601" s="86"/>
      <c r="U601" s="87"/>
      <c r="V601" s="87"/>
      <c r="W601" s="87"/>
      <c r="X601" s="87"/>
    </row>
    <row r="602" ht="15.75" customHeight="1">
      <c r="E602" s="82"/>
      <c r="G602" s="79"/>
      <c r="H602" s="79"/>
      <c r="M602" s="86"/>
      <c r="U602" s="87"/>
      <c r="V602" s="87"/>
      <c r="W602" s="87"/>
      <c r="X602" s="87"/>
    </row>
    <row r="603" ht="15.75" customHeight="1">
      <c r="E603" s="82"/>
      <c r="G603" s="79"/>
      <c r="H603" s="79"/>
      <c r="M603" s="86"/>
      <c r="U603" s="87"/>
      <c r="V603" s="87"/>
      <c r="W603" s="87"/>
      <c r="X603" s="87"/>
    </row>
    <row r="604" ht="15.75" customHeight="1">
      <c r="E604" s="82"/>
      <c r="G604" s="79"/>
      <c r="H604" s="79"/>
      <c r="M604" s="86"/>
      <c r="U604" s="87"/>
      <c r="V604" s="87"/>
      <c r="W604" s="87"/>
      <c r="X604" s="87"/>
    </row>
    <row r="605" ht="15.75" customHeight="1">
      <c r="E605" s="82"/>
      <c r="G605" s="79"/>
      <c r="H605" s="79"/>
      <c r="M605" s="86"/>
      <c r="U605" s="87"/>
      <c r="V605" s="87"/>
      <c r="W605" s="87"/>
      <c r="X605" s="87"/>
    </row>
    <row r="606" ht="15.75" customHeight="1">
      <c r="E606" s="82"/>
      <c r="G606" s="79"/>
      <c r="H606" s="79"/>
      <c r="M606" s="86"/>
      <c r="U606" s="87"/>
      <c r="V606" s="87"/>
      <c r="W606" s="87"/>
      <c r="X606" s="87"/>
    </row>
    <row r="607" ht="15.75" customHeight="1">
      <c r="E607" s="82"/>
      <c r="G607" s="79"/>
      <c r="H607" s="79"/>
      <c r="M607" s="86"/>
      <c r="U607" s="87"/>
      <c r="V607" s="87"/>
      <c r="W607" s="87"/>
      <c r="X607" s="87"/>
    </row>
    <row r="608" ht="15.75" customHeight="1">
      <c r="E608" s="82"/>
      <c r="G608" s="79"/>
      <c r="H608" s="79"/>
      <c r="M608" s="86"/>
      <c r="U608" s="87"/>
      <c r="V608" s="87"/>
      <c r="W608" s="87"/>
      <c r="X608" s="87"/>
    </row>
    <row r="609" ht="15.75" customHeight="1">
      <c r="E609" s="82"/>
      <c r="G609" s="79"/>
      <c r="H609" s="79"/>
      <c r="M609" s="86"/>
      <c r="U609" s="87"/>
      <c r="V609" s="87"/>
      <c r="W609" s="87"/>
      <c r="X609" s="87"/>
    </row>
    <row r="610" ht="15.75" customHeight="1">
      <c r="E610" s="82"/>
      <c r="G610" s="79"/>
      <c r="H610" s="79"/>
      <c r="M610" s="86"/>
      <c r="U610" s="87"/>
      <c r="V610" s="87"/>
      <c r="W610" s="87"/>
      <c r="X610" s="87"/>
    </row>
    <row r="611" ht="15.75" customHeight="1">
      <c r="E611" s="82"/>
      <c r="G611" s="79"/>
      <c r="H611" s="79"/>
      <c r="M611" s="86"/>
      <c r="U611" s="87"/>
      <c r="V611" s="87"/>
      <c r="W611" s="87"/>
      <c r="X611" s="87"/>
    </row>
    <row r="612" ht="15.75" customHeight="1">
      <c r="E612" s="82"/>
      <c r="G612" s="79"/>
      <c r="H612" s="79"/>
      <c r="M612" s="86"/>
      <c r="U612" s="87"/>
      <c r="V612" s="87"/>
      <c r="W612" s="87"/>
      <c r="X612" s="87"/>
    </row>
    <row r="613" ht="15.75" customHeight="1">
      <c r="E613" s="82"/>
      <c r="G613" s="79"/>
      <c r="H613" s="79"/>
      <c r="M613" s="86"/>
      <c r="U613" s="87"/>
      <c r="V613" s="87"/>
      <c r="W613" s="87"/>
      <c r="X613" s="87"/>
    </row>
    <row r="614" ht="15.75" customHeight="1">
      <c r="E614" s="82"/>
      <c r="G614" s="79"/>
      <c r="H614" s="79"/>
      <c r="M614" s="86"/>
      <c r="U614" s="87"/>
      <c r="V614" s="87"/>
      <c r="W614" s="87"/>
      <c r="X614" s="87"/>
    </row>
    <row r="615" ht="15.75" customHeight="1">
      <c r="E615" s="82"/>
      <c r="G615" s="79"/>
      <c r="H615" s="79"/>
      <c r="M615" s="86"/>
      <c r="U615" s="87"/>
      <c r="V615" s="87"/>
      <c r="W615" s="87"/>
      <c r="X615" s="87"/>
    </row>
    <row r="616" ht="15.75" customHeight="1">
      <c r="E616" s="82"/>
      <c r="G616" s="79"/>
      <c r="H616" s="79"/>
      <c r="M616" s="86"/>
      <c r="U616" s="87"/>
      <c r="V616" s="87"/>
      <c r="W616" s="87"/>
      <c r="X616" s="87"/>
    </row>
    <row r="617" ht="15.75" customHeight="1">
      <c r="E617" s="82"/>
      <c r="G617" s="79"/>
      <c r="H617" s="79"/>
      <c r="M617" s="86"/>
      <c r="U617" s="87"/>
      <c r="V617" s="87"/>
      <c r="W617" s="87"/>
      <c r="X617" s="87"/>
    </row>
    <row r="618" ht="15.75" customHeight="1">
      <c r="E618" s="82"/>
      <c r="G618" s="79"/>
      <c r="H618" s="79"/>
      <c r="M618" s="86"/>
      <c r="U618" s="87"/>
      <c r="V618" s="87"/>
      <c r="W618" s="87"/>
      <c r="X618" s="87"/>
    </row>
    <row r="619" ht="15.75" customHeight="1">
      <c r="E619" s="82"/>
      <c r="G619" s="79"/>
      <c r="H619" s="79"/>
      <c r="M619" s="86"/>
      <c r="U619" s="87"/>
      <c r="V619" s="87"/>
      <c r="W619" s="87"/>
      <c r="X619" s="87"/>
    </row>
    <row r="620" ht="15.75" customHeight="1">
      <c r="E620" s="82"/>
      <c r="G620" s="79"/>
      <c r="H620" s="79"/>
      <c r="M620" s="86"/>
      <c r="U620" s="87"/>
      <c r="V620" s="87"/>
      <c r="W620" s="87"/>
      <c r="X620" s="87"/>
    </row>
    <row r="621" ht="15.75" customHeight="1">
      <c r="E621" s="82"/>
      <c r="G621" s="79"/>
      <c r="H621" s="79"/>
      <c r="M621" s="86"/>
      <c r="U621" s="87"/>
      <c r="V621" s="87"/>
      <c r="W621" s="87"/>
      <c r="X621" s="87"/>
    </row>
    <row r="622" ht="15.75" customHeight="1">
      <c r="E622" s="82"/>
      <c r="G622" s="79"/>
      <c r="H622" s="79"/>
      <c r="M622" s="86"/>
      <c r="U622" s="87"/>
      <c r="V622" s="87"/>
      <c r="W622" s="87"/>
      <c r="X622" s="87"/>
    </row>
    <row r="623" ht="15.75" customHeight="1">
      <c r="E623" s="82"/>
      <c r="G623" s="79"/>
      <c r="H623" s="79"/>
      <c r="M623" s="86"/>
      <c r="U623" s="87"/>
      <c r="V623" s="87"/>
      <c r="W623" s="87"/>
      <c r="X623" s="87"/>
    </row>
    <row r="624" ht="15.75" customHeight="1">
      <c r="E624" s="82"/>
      <c r="G624" s="79"/>
      <c r="H624" s="79"/>
      <c r="M624" s="86"/>
      <c r="U624" s="87"/>
      <c r="V624" s="87"/>
      <c r="W624" s="87"/>
      <c r="X624" s="87"/>
    </row>
    <row r="625" ht="15.75" customHeight="1">
      <c r="E625" s="82"/>
      <c r="G625" s="79"/>
      <c r="H625" s="79"/>
      <c r="M625" s="86"/>
      <c r="U625" s="87"/>
      <c r="V625" s="87"/>
      <c r="W625" s="87"/>
      <c r="X625" s="87"/>
    </row>
    <row r="626" ht="15.75" customHeight="1">
      <c r="E626" s="82"/>
      <c r="G626" s="79"/>
      <c r="H626" s="79"/>
      <c r="M626" s="86"/>
      <c r="U626" s="87"/>
      <c r="V626" s="87"/>
      <c r="W626" s="87"/>
      <c r="X626" s="87"/>
    </row>
    <row r="627" ht="15.75" customHeight="1">
      <c r="E627" s="82"/>
      <c r="G627" s="79"/>
      <c r="H627" s="79"/>
      <c r="M627" s="86"/>
      <c r="U627" s="87"/>
      <c r="V627" s="87"/>
      <c r="W627" s="87"/>
      <c r="X627" s="87"/>
    </row>
    <row r="628" ht="15.75" customHeight="1">
      <c r="E628" s="82"/>
      <c r="G628" s="79"/>
      <c r="H628" s="79"/>
      <c r="M628" s="86"/>
      <c r="U628" s="87"/>
      <c r="V628" s="87"/>
      <c r="W628" s="87"/>
      <c r="X628" s="87"/>
    </row>
    <row r="629" ht="15.75" customHeight="1">
      <c r="E629" s="82"/>
      <c r="G629" s="79"/>
      <c r="H629" s="79"/>
      <c r="M629" s="86"/>
      <c r="U629" s="87"/>
      <c r="V629" s="87"/>
      <c r="W629" s="87"/>
      <c r="X629" s="87"/>
    </row>
    <row r="630" ht="15.75" customHeight="1">
      <c r="E630" s="82"/>
      <c r="G630" s="79"/>
      <c r="H630" s="79"/>
      <c r="M630" s="86"/>
      <c r="U630" s="87"/>
      <c r="V630" s="87"/>
      <c r="W630" s="87"/>
      <c r="X630" s="87"/>
    </row>
    <row r="631" ht="15.75" customHeight="1">
      <c r="E631" s="82"/>
      <c r="G631" s="79"/>
      <c r="H631" s="79"/>
      <c r="M631" s="86"/>
      <c r="U631" s="87"/>
      <c r="V631" s="87"/>
      <c r="W631" s="87"/>
      <c r="X631" s="87"/>
    </row>
    <row r="632" ht="15.75" customHeight="1">
      <c r="E632" s="82"/>
      <c r="G632" s="79"/>
      <c r="H632" s="79"/>
      <c r="M632" s="86"/>
      <c r="U632" s="87"/>
      <c r="V632" s="87"/>
      <c r="W632" s="87"/>
      <c r="X632" s="87"/>
    </row>
    <row r="633" ht="15.75" customHeight="1">
      <c r="E633" s="82"/>
      <c r="G633" s="79"/>
      <c r="H633" s="79"/>
      <c r="M633" s="86"/>
      <c r="U633" s="87"/>
      <c r="V633" s="87"/>
      <c r="W633" s="87"/>
      <c r="X633" s="87"/>
    </row>
    <row r="634" ht="15.75" customHeight="1">
      <c r="E634" s="82"/>
      <c r="G634" s="79"/>
      <c r="H634" s="79"/>
      <c r="M634" s="86"/>
      <c r="U634" s="87"/>
      <c r="V634" s="87"/>
      <c r="W634" s="87"/>
      <c r="X634" s="87"/>
    </row>
    <row r="635" ht="15.75" customHeight="1">
      <c r="E635" s="82"/>
      <c r="G635" s="79"/>
      <c r="H635" s="79"/>
      <c r="M635" s="86"/>
      <c r="U635" s="87"/>
      <c r="V635" s="87"/>
      <c r="W635" s="87"/>
      <c r="X635" s="87"/>
    </row>
    <row r="636" ht="15.75" customHeight="1">
      <c r="E636" s="82"/>
      <c r="G636" s="79"/>
      <c r="H636" s="79"/>
      <c r="M636" s="86"/>
      <c r="U636" s="87"/>
      <c r="V636" s="87"/>
      <c r="W636" s="87"/>
      <c r="X636" s="87"/>
    </row>
    <row r="637" ht="15.75" customHeight="1">
      <c r="E637" s="82"/>
      <c r="G637" s="79"/>
      <c r="H637" s="79"/>
      <c r="M637" s="86"/>
      <c r="U637" s="87"/>
      <c r="V637" s="87"/>
      <c r="W637" s="87"/>
      <c r="X637" s="87"/>
    </row>
    <row r="638" ht="15.75" customHeight="1">
      <c r="E638" s="82"/>
      <c r="G638" s="79"/>
      <c r="H638" s="79"/>
      <c r="M638" s="86"/>
      <c r="U638" s="87"/>
      <c r="V638" s="87"/>
      <c r="W638" s="87"/>
      <c r="X638" s="87"/>
    </row>
    <row r="639" ht="15.75" customHeight="1">
      <c r="E639" s="82"/>
      <c r="G639" s="79"/>
      <c r="H639" s="79"/>
      <c r="M639" s="86"/>
      <c r="U639" s="87"/>
      <c r="V639" s="87"/>
      <c r="W639" s="87"/>
      <c r="X639" s="87"/>
    </row>
    <row r="640" ht="15.75" customHeight="1">
      <c r="E640" s="82"/>
      <c r="G640" s="79"/>
      <c r="H640" s="79"/>
      <c r="M640" s="86"/>
      <c r="U640" s="87"/>
      <c r="V640" s="87"/>
      <c r="W640" s="87"/>
      <c r="X640" s="87"/>
    </row>
    <row r="641" ht="15.75" customHeight="1">
      <c r="E641" s="82"/>
      <c r="G641" s="79"/>
      <c r="H641" s="79"/>
      <c r="M641" s="86"/>
      <c r="U641" s="87"/>
      <c r="V641" s="87"/>
      <c r="W641" s="87"/>
      <c r="X641" s="87"/>
    </row>
    <row r="642" ht="15.75" customHeight="1">
      <c r="E642" s="82"/>
      <c r="G642" s="79"/>
      <c r="H642" s="79"/>
      <c r="M642" s="86"/>
      <c r="U642" s="87"/>
      <c r="V642" s="87"/>
      <c r="W642" s="87"/>
      <c r="X642" s="87"/>
    </row>
    <row r="643" ht="15.75" customHeight="1">
      <c r="E643" s="82"/>
      <c r="G643" s="79"/>
      <c r="H643" s="79"/>
      <c r="M643" s="86"/>
      <c r="U643" s="87"/>
      <c r="V643" s="87"/>
      <c r="W643" s="87"/>
      <c r="X643" s="87"/>
    </row>
    <row r="644" ht="15.75" customHeight="1">
      <c r="E644" s="82"/>
      <c r="G644" s="79"/>
      <c r="H644" s="79"/>
      <c r="M644" s="86"/>
      <c r="U644" s="87"/>
      <c r="V644" s="87"/>
      <c r="W644" s="87"/>
      <c r="X644" s="87"/>
    </row>
    <row r="645" ht="15.75" customHeight="1">
      <c r="E645" s="82"/>
      <c r="G645" s="79"/>
      <c r="H645" s="79"/>
      <c r="M645" s="86"/>
      <c r="U645" s="87"/>
      <c r="V645" s="87"/>
      <c r="W645" s="87"/>
      <c r="X645" s="87"/>
    </row>
    <row r="646" ht="15.75" customHeight="1">
      <c r="E646" s="82"/>
      <c r="G646" s="79"/>
      <c r="H646" s="79"/>
      <c r="M646" s="86"/>
      <c r="U646" s="87"/>
      <c r="V646" s="87"/>
      <c r="W646" s="87"/>
      <c r="X646" s="87"/>
    </row>
    <row r="647" ht="15.75" customHeight="1">
      <c r="E647" s="82"/>
      <c r="G647" s="79"/>
      <c r="H647" s="79"/>
      <c r="M647" s="86"/>
      <c r="U647" s="87"/>
      <c r="V647" s="87"/>
      <c r="W647" s="87"/>
      <c r="X647" s="87"/>
    </row>
    <row r="648" ht="15.75" customHeight="1">
      <c r="E648" s="82"/>
      <c r="G648" s="79"/>
      <c r="H648" s="79"/>
      <c r="M648" s="86"/>
      <c r="U648" s="87"/>
      <c r="V648" s="87"/>
      <c r="W648" s="87"/>
      <c r="X648" s="87"/>
    </row>
    <row r="649" ht="15.75" customHeight="1">
      <c r="E649" s="82"/>
      <c r="G649" s="79"/>
      <c r="H649" s="79"/>
      <c r="M649" s="86"/>
      <c r="U649" s="87"/>
      <c r="V649" s="87"/>
      <c r="W649" s="87"/>
      <c r="X649" s="87"/>
    </row>
    <row r="650" ht="15.75" customHeight="1">
      <c r="E650" s="82"/>
      <c r="G650" s="79"/>
      <c r="H650" s="79"/>
      <c r="M650" s="86"/>
      <c r="U650" s="87"/>
      <c r="V650" s="87"/>
      <c r="W650" s="87"/>
      <c r="X650" s="87"/>
    </row>
    <row r="651" ht="15.75" customHeight="1">
      <c r="E651" s="82"/>
      <c r="G651" s="79"/>
      <c r="H651" s="79"/>
      <c r="M651" s="86"/>
      <c r="U651" s="87"/>
      <c r="V651" s="87"/>
      <c r="W651" s="87"/>
      <c r="X651" s="87"/>
    </row>
    <row r="652" ht="15.75" customHeight="1">
      <c r="E652" s="82"/>
      <c r="G652" s="79"/>
      <c r="H652" s="79"/>
      <c r="M652" s="86"/>
      <c r="U652" s="87"/>
      <c r="V652" s="87"/>
      <c r="W652" s="87"/>
      <c r="X652" s="87"/>
    </row>
    <row r="653" ht="15.75" customHeight="1">
      <c r="E653" s="82"/>
      <c r="G653" s="79"/>
      <c r="H653" s="79"/>
      <c r="M653" s="86"/>
      <c r="U653" s="87"/>
      <c r="V653" s="87"/>
      <c r="W653" s="87"/>
      <c r="X653" s="87"/>
    </row>
    <row r="654" ht="15.75" customHeight="1">
      <c r="E654" s="82"/>
      <c r="G654" s="79"/>
      <c r="H654" s="79"/>
      <c r="M654" s="86"/>
      <c r="U654" s="87"/>
      <c r="V654" s="87"/>
      <c r="W654" s="87"/>
      <c r="X654" s="87"/>
    </row>
    <row r="655" ht="15.75" customHeight="1">
      <c r="E655" s="82"/>
      <c r="G655" s="79"/>
      <c r="H655" s="79"/>
      <c r="M655" s="86"/>
      <c r="U655" s="87"/>
      <c r="V655" s="87"/>
      <c r="W655" s="87"/>
      <c r="X655" s="87"/>
    </row>
    <row r="656" ht="15.75" customHeight="1">
      <c r="E656" s="82"/>
      <c r="G656" s="79"/>
      <c r="H656" s="79"/>
      <c r="M656" s="86"/>
      <c r="U656" s="87"/>
      <c r="V656" s="87"/>
      <c r="W656" s="87"/>
      <c r="X656" s="87"/>
    </row>
    <row r="657" ht="15.75" customHeight="1">
      <c r="E657" s="82"/>
      <c r="G657" s="79"/>
      <c r="H657" s="79"/>
      <c r="M657" s="86"/>
      <c r="U657" s="87"/>
      <c r="V657" s="87"/>
      <c r="W657" s="87"/>
      <c r="X657" s="87"/>
    </row>
    <row r="658" ht="15.75" customHeight="1">
      <c r="E658" s="82"/>
      <c r="G658" s="79"/>
      <c r="H658" s="79"/>
      <c r="M658" s="86"/>
      <c r="U658" s="87"/>
      <c r="V658" s="87"/>
      <c r="W658" s="87"/>
      <c r="X658" s="87"/>
    </row>
    <row r="659" ht="15.75" customHeight="1">
      <c r="E659" s="82"/>
      <c r="G659" s="79"/>
      <c r="H659" s="79"/>
      <c r="M659" s="86"/>
      <c r="U659" s="87"/>
      <c r="V659" s="87"/>
      <c r="W659" s="87"/>
      <c r="X659" s="87"/>
    </row>
    <row r="660" ht="15.75" customHeight="1">
      <c r="E660" s="82"/>
      <c r="G660" s="79"/>
      <c r="H660" s="79"/>
      <c r="M660" s="86"/>
      <c r="U660" s="87"/>
      <c r="V660" s="87"/>
      <c r="W660" s="87"/>
      <c r="X660" s="87"/>
    </row>
    <row r="661" ht="15.75" customHeight="1">
      <c r="E661" s="82"/>
      <c r="G661" s="79"/>
      <c r="H661" s="79"/>
      <c r="M661" s="86"/>
      <c r="U661" s="87"/>
      <c r="V661" s="87"/>
      <c r="W661" s="87"/>
      <c r="X661" s="87"/>
    </row>
    <row r="662" ht="15.75" customHeight="1">
      <c r="E662" s="82"/>
      <c r="G662" s="79"/>
      <c r="H662" s="79"/>
      <c r="M662" s="86"/>
      <c r="U662" s="87"/>
      <c r="V662" s="87"/>
      <c r="W662" s="87"/>
      <c r="X662" s="87"/>
    </row>
    <row r="663" ht="15.75" customHeight="1">
      <c r="E663" s="82"/>
      <c r="G663" s="79"/>
      <c r="H663" s="79"/>
      <c r="M663" s="86"/>
      <c r="U663" s="87"/>
      <c r="V663" s="87"/>
      <c r="W663" s="87"/>
      <c r="X663" s="87"/>
    </row>
    <row r="664" ht="15.75" customHeight="1">
      <c r="E664" s="82"/>
      <c r="G664" s="79"/>
      <c r="H664" s="79"/>
      <c r="M664" s="86"/>
      <c r="U664" s="87"/>
      <c r="V664" s="87"/>
      <c r="W664" s="87"/>
      <c r="X664" s="87"/>
    </row>
    <row r="665" ht="15.75" customHeight="1">
      <c r="E665" s="82"/>
      <c r="G665" s="79"/>
      <c r="H665" s="79"/>
      <c r="M665" s="86"/>
      <c r="U665" s="87"/>
      <c r="V665" s="87"/>
      <c r="W665" s="87"/>
      <c r="X665" s="87"/>
    </row>
    <row r="666" ht="15.75" customHeight="1">
      <c r="E666" s="82"/>
      <c r="G666" s="79"/>
      <c r="H666" s="79"/>
      <c r="M666" s="86"/>
      <c r="U666" s="87"/>
      <c r="V666" s="87"/>
      <c r="W666" s="87"/>
      <c r="X666" s="87"/>
    </row>
    <row r="667" ht="15.75" customHeight="1">
      <c r="E667" s="82"/>
      <c r="G667" s="79"/>
      <c r="H667" s="79"/>
      <c r="M667" s="86"/>
      <c r="U667" s="87"/>
      <c r="V667" s="87"/>
      <c r="W667" s="87"/>
      <c r="X667" s="87"/>
    </row>
    <row r="668" ht="15.75" customHeight="1">
      <c r="E668" s="82"/>
      <c r="G668" s="79"/>
      <c r="H668" s="79"/>
      <c r="M668" s="86"/>
      <c r="U668" s="87"/>
      <c r="V668" s="87"/>
      <c r="W668" s="87"/>
      <c r="X668" s="87"/>
    </row>
    <row r="669" ht="15.75" customHeight="1">
      <c r="E669" s="82"/>
      <c r="G669" s="79"/>
      <c r="H669" s="79"/>
      <c r="M669" s="86"/>
      <c r="U669" s="87"/>
      <c r="V669" s="87"/>
      <c r="W669" s="87"/>
      <c r="X669" s="87"/>
    </row>
    <row r="670" ht="15.75" customHeight="1">
      <c r="E670" s="82"/>
      <c r="G670" s="79"/>
      <c r="H670" s="79"/>
      <c r="M670" s="86"/>
      <c r="U670" s="87"/>
      <c r="V670" s="87"/>
      <c r="W670" s="87"/>
      <c r="X670" s="87"/>
    </row>
    <row r="671" ht="15.75" customHeight="1">
      <c r="E671" s="82"/>
      <c r="G671" s="79"/>
      <c r="H671" s="79"/>
      <c r="M671" s="86"/>
      <c r="U671" s="87"/>
      <c r="V671" s="87"/>
      <c r="W671" s="87"/>
      <c r="X671" s="87"/>
    </row>
    <row r="672" ht="15.75" customHeight="1">
      <c r="E672" s="82"/>
      <c r="G672" s="79"/>
      <c r="H672" s="79"/>
      <c r="M672" s="86"/>
      <c r="U672" s="87"/>
      <c r="V672" s="87"/>
      <c r="W672" s="87"/>
      <c r="X672" s="87"/>
    </row>
    <row r="673" ht="15.75" customHeight="1">
      <c r="E673" s="82"/>
      <c r="G673" s="79"/>
      <c r="H673" s="79"/>
      <c r="M673" s="86"/>
      <c r="U673" s="87"/>
      <c r="V673" s="87"/>
      <c r="W673" s="87"/>
      <c r="X673" s="87"/>
    </row>
    <row r="674" ht="15.75" customHeight="1">
      <c r="E674" s="82"/>
      <c r="G674" s="79"/>
      <c r="H674" s="79"/>
      <c r="M674" s="86"/>
      <c r="U674" s="87"/>
      <c r="V674" s="87"/>
      <c r="W674" s="87"/>
      <c r="X674" s="87"/>
    </row>
    <row r="675" ht="15.75" customHeight="1">
      <c r="E675" s="82"/>
      <c r="G675" s="79"/>
      <c r="H675" s="79"/>
      <c r="M675" s="86"/>
      <c r="U675" s="87"/>
      <c r="V675" s="87"/>
      <c r="W675" s="87"/>
      <c r="X675" s="87"/>
    </row>
    <row r="676" ht="15.75" customHeight="1">
      <c r="E676" s="82"/>
      <c r="G676" s="79"/>
      <c r="H676" s="79"/>
      <c r="M676" s="86"/>
      <c r="U676" s="87"/>
      <c r="V676" s="87"/>
      <c r="W676" s="87"/>
      <c r="X676" s="87"/>
    </row>
    <row r="677" ht="15.75" customHeight="1">
      <c r="E677" s="82"/>
      <c r="G677" s="79"/>
      <c r="H677" s="79"/>
      <c r="M677" s="86"/>
      <c r="U677" s="87"/>
      <c r="V677" s="87"/>
      <c r="W677" s="87"/>
      <c r="X677" s="87"/>
    </row>
    <row r="678" ht="15.75" customHeight="1">
      <c r="E678" s="82"/>
      <c r="G678" s="79"/>
      <c r="H678" s="79"/>
      <c r="M678" s="86"/>
      <c r="U678" s="87"/>
      <c r="V678" s="87"/>
      <c r="W678" s="87"/>
      <c r="X678" s="87"/>
    </row>
    <row r="679" ht="15.75" customHeight="1">
      <c r="E679" s="82"/>
      <c r="G679" s="79"/>
      <c r="H679" s="79"/>
      <c r="M679" s="86"/>
      <c r="U679" s="87"/>
      <c r="V679" s="87"/>
      <c r="W679" s="87"/>
      <c r="X679" s="87"/>
    </row>
    <row r="680" ht="15.75" customHeight="1">
      <c r="E680" s="82"/>
      <c r="G680" s="79"/>
      <c r="H680" s="79"/>
      <c r="M680" s="86"/>
      <c r="U680" s="87"/>
      <c r="V680" s="87"/>
      <c r="W680" s="87"/>
      <c r="X680" s="87"/>
    </row>
    <row r="681" ht="15.75" customHeight="1">
      <c r="E681" s="82"/>
      <c r="G681" s="79"/>
      <c r="H681" s="79"/>
      <c r="M681" s="86"/>
      <c r="U681" s="87"/>
      <c r="V681" s="87"/>
      <c r="W681" s="87"/>
      <c r="X681" s="87"/>
    </row>
    <row r="682" ht="15.75" customHeight="1">
      <c r="E682" s="82"/>
      <c r="G682" s="79"/>
      <c r="H682" s="79"/>
      <c r="M682" s="86"/>
      <c r="U682" s="87"/>
      <c r="V682" s="87"/>
      <c r="W682" s="87"/>
      <c r="X682" s="87"/>
    </row>
    <row r="683" ht="15.75" customHeight="1">
      <c r="E683" s="82"/>
      <c r="G683" s="79"/>
      <c r="H683" s="79"/>
      <c r="M683" s="86"/>
      <c r="U683" s="87"/>
      <c r="V683" s="87"/>
      <c r="W683" s="87"/>
      <c r="X683" s="87"/>
    </row>
    <row r="684" ht="15.75" customHeight="1">
      <c r="E684" s="82"/>
      <c r="G684" s="79"/>
      <c r="H684" s="79"/>
      <c r="M684" s="86"/>
      <c r="U684" s="87"/>
      <c r="V684" s="87"/>
      <c r="W684" s="87"/>
      <c r="X684" s="87"/>
    </row>
    <row r="685" ht="15.75" customHeight="1">
      <c r="E685" s="82"/>
      <c r="G685" s="79"/>
      <c r="H685" s="79"/>
      <c r="M685" s="86"/>
      <c r="U685" s="87"/>
      <c r="V685" s="87"/>
      <c r="W685" s="87"/>
      <c r="X685" s="87"/>
    </row>
    <row r="686" ht="15.75" customHeight="1">
      <c r="E686" s="82"/>
      <c r="G686" s="79"/>
      <c r="H686" s="79"/>
      <c r="M686" s="86"/>
      <c r="U686" s="87"/>
      <c r="V686" s="87"/>
      <c r="W686" s="87"/>
      <c r="X686" s="87"/>
    </row>
    <row r="687" ht="15.75" customHeight="1">
      <c r="E687" s="82"/>
      <c r="G687" s="79"/>
      <c r="H687" s="79"/>
      <c r="M687" s="86"/>
      <c r="U687" s="87"/>
      <c r="V687" s="87"/>
      <c r="W687" s="87"/>
      <c r="X687" s="87"/>
    </row>
    <row r="688" ht="15.75" customHeight="1">
      <c r="E688" s="82"/>
      <c r="G688" s="79"/>
      <c r="H688" s="79"/>
      <c r="M688" s="86"/>
      <c r="U688" s="87"/>
      <c r="V688" s="87"/>
      <c r="W688" s="87"/>
      <c r="X688" s="87"/>
    </row>
    <row r="689" ht="15.75" customHeight="1">
      <c r="E689" s="82"/>
      <c r="G689" s="79"/>
      <c r="H689" s="79"/>
      <c r="M689" s="86"/>
      <c r="U689" s="87"/>
      <c r="V689" s="87"/>
      <c r="W689" s="87"/>
      <c r="X689" s="87"/>
    </row>
    <row r="690" ht="15.75" customHeight="1">
      <c r="E690" s="82"/>
      <c r="G690" s="79"/>
      <c r="H690" s="79"/>
      <c r="M690" s="86"/>
      <c r="U690" s="87"/>
      <c r="V690" s="87"/>
      <c r="W690" s="87"/>
      <c r="X690" s="87"/>
    </row>
    <row r="691" ht="15.75" customHeight="1">
      <c r="E691" s="82"/>
      <c r="G691" s="79"/>
      <c r="H691" s="79"/>
      <c r="M691" s="86"/>
      <c r="U691" s="87"/>
      <c r="V691" s="87"/>
      <c r="W691" s="87"/>
      <c r="X691" s="87"/>
    </row>
    <row r="692" ht="15.75" customHeight="1">
      <c r="E692" s="82"/>
      <c r="G692" s="79"/>
      <c r="H692" s="79"/>
      <c r="M692" s="86"/>
      <c r="U692" s="87"/>
      <c r="V692" s="87"/>
      <c r="W692" s="87"/>
      <c r="X692" s="87"/>
    </row>
    <row r="693" ht="15.75" customHeight="1">
      <c r="E693" s="82"/>
      <c r="G693" s="79"/>
      <c r="H693" s="79"/>
      <c r="M693" s="86"/>
      <c r="U693" s="87"/>
      <c r="V693" s="87"/>
      <c r="W693" s="87"/>
      <c r="X693" s="87"/>
    </row>
    <row r="694" ht="15.75" customHeight="1">
      <c r="E694" s="82"/>
      <c r="G694" s="79"/>
      <c r="H694" s="79"/>
      <c r="M694" s="86"/>
      <c r="U694" s="87"/>
      <c r="V694" s="87"/>
      <c r="W694" s="87"/>
      <c r="X694" s="87"/>
    </row>
    <row r="695" ht="15.75" customHeight="1">
      <c r="E695" s="82"/>
      <c r="G695" s="79"/>
      <c r="H695" s="79"/>
      <c r="M695" s="86"/>
      <c r="U695" s="87"/>
      <c r="V695" s="87"/>
      <c r="W695" s="87"/>
      <c r="X695" s="87"/>
    </row>
    <row r="696" ht="15.75" customHeight="1">
      <c r="E696" s="82"/>
      <c r="G696" s="79"/>
      <c r="H696" s="79"/>
      <c r="M696" s="86"/>
      <c r="U696" s="87"/>
      <c r="V696" s="87"/>
      <c r="W696" s="87"/>
      <c r="X696" s="87"/>
    </row>
    <row r="697" ht="15.75" customHeight="1">
      <c r="E697" s="82"/>
      <c r="G697" s="79"/>
      <c r="H697" s="79"/>
      <c r="M697" s="86"/>
      <c r="U697" s="87"/>
      <c r="V697" s="87"/>
      <c r="W697" s="87"/>
      <c r="X697" s="87"/>
    </row>
    <row r="698" ht="15.75" customHeight="1">
      <c r="E698" s="82"/>
      <c r="G698" s="79"/>
      <c r="H698" s="79"/>
      <c r="M698" s="86"/>
      <c r="U698" s="87"/>
      <c r="V698" s="87"/>
      <c r="W698" s="87"/>
      <c r="X698" s="87"/>
    </row>
    <row r="699" ht="15.75" customHeight="1">
      <c r="E699" s="82"/>
      <c r="G699" s="79"/>
      <c r="H699" s="79"/>
      <c r="M699" s="86"/>
      <c r="U699" s="87"/>
      <c r="V699" s="87"/>
      <c r="W699" s="87"/>
      <c r="X699" s="87"/>
    </row>
    <row r="700" ht="15.75" customHeight="1">
      <c r="E700" s="82"/>
      <c r="G700" s="79"/>
      <c r="H700" s="79"/>
      <c r="M700" s="86"/>
      <c r="U700" s="87"/>
      <c r="V700" s="87"/>
      <c r="W700" s="87"/>
      <c r="X700" s="87"/>
    </row>
    <row r="701" ht="15.75" customHeight="1">
      <c r="E701" s="82"/>
      <c r="G701" s="79"/>
      <c r="H701" s="79"/>
      <c r="M701" s="86"/>
      <c r="U701" s="87"/>
      <c r="V701" s="87"/>
      <c r="W701" s="87"/>
      <c r="X701" s="87"/>
    </row>
    <row r="702" ht="15.75" customHeight="1">
      <c r="E702" s="82"/>
      <c r="G702" s="79"/>
      <c r="H702" s="79"/>
      <c r="M702" s="86"/>
      <c r="U702" s="87"/>
      <c r="V702" s="87"/>
      <c r="W702" s="87"/>
      <c r="X702" s="87"/>
    </row>
    <row r="703" ht="15.75" customHeight="1">
      <c r="E703" s="82"/>
      <c r="G703" s="79"/>
      <c r="H703" s="79"/>
      <c r="M703" s="86"/>
      <c r="U703" s="87"/>
      <c r="V703" s="87"/>
      <c r="W703" s="87"/>
      <c r="X703" s="87"/>
    </row>
    <row r="704" ht="15.75" customHeight="1">
      <c r="E704" s="82"/>
      <c r="G704" s="79"/>
      <c r="H704" s="79"/>
      <c r="M704" s="86"/>
      <c r="U704" s="87"/>
      <c r="V704" s="87"/>
      <c r="W704" s="87"/>
      <c r="X704" s="87"/>
    </row>
    <row r="705" ht="15.75" customHeight="1">
      <c r="E705" s="82"/>
      <c r="G705" s="79"/>
      <c r="H705" s="79"/>
      <c r="M705" s="86"/>
      <c r="U705" s="87"/>
      <c r="V705" s="87"/>
      <c r="W705" s="87"/>
      <c r="X705" s="87"/>
    </row>
    <row r="706" ht="15.75" customHeight="1">
      <c r="E706" s="82"/>
      <c r="G706" s="79"/>
      <c r="H706" s="79"/>
      <c r="M706" s="86"/>
      <c r="U706" s="87"/>
      <c r="V706" s="87"/>
      <c r="W706" s="87"/>
      <c r="X706" s="87"/>
    </row>
    <row r="707" ht="15.75" customHeight="1">
      <c r="E707" s="82"/>
      <c r="G707" s="79"/>
      <c r="H707" s="79"/>
      <c r="M707" s="86"/>
      <c r="U707" s="87"/>
      <c r="V707" s="87"/>
      <c r="W707" s="87"/>
      <c r="X707" s="87"/>
    </row>
    <row r="708" ht="15.75" customHeight="1">
      <c r="E708" s="82"/>
      <c r="G708" s="79"/>
      <c r="H708" s="79"/>
      <c r="M708" s="86"/>
      <c r="U708" s="87"/>
      <c r="V708" s="87"/>
      <c r="W708" s="87"/>
      <c r="X708" s="87"/>
    </row>
    <row r="709" ht="15.75" customHeight="1">
      <c r="E709" s="82"/>
      <c r="G709" s="79"/>
      <c r="H709" s="79"/>
      <c r="M709" s="86"/>
      <c r="U709" s="87"/>
      <c r="V709" s="87"/>
      <c r="W709" s="87"/>
      <c r="X709" s="87"/>
    </row>
    <row r="710" ht="15.75" customHeight="1">
      <c r="E710" s="82"/>
      <c r="G710" s="79"/>
      <c r="H710" s="79"/>
      <c r="M710" s="86"/>
      <c r="U710" s="87"/>
      <c r="V710" s="87"/>
      <c r="W710" s="87"/>
      <c r="X710" s="87"/>
    </row>
    <row r="711" ht="15.75" customHeight="1">
      <c r="E711" s="82"/>
      <c r="G711" s="79"/>
      <c r="H711" s="79"/>
      <c r="M711" s="86"/>
      <c r="U711" s="87"/>
      <c r="V711" s="87"/>
      <c r="W711" s="87"/>
      <c r="X711" s="87"/>
    </row>
    <row r="712" ht="15.75" customHeight="1">
      <c r="E712" s="82"/>
      <c r="G712" s="79"/>
      <c r="H712" s="79"/>
      <c r="M712" s="86"/>
      <c r="U712" s="87"/>
      <c r="V712" s="87"/>
      <c r="W712" s="87"/>
      <c r="X712" s="87"/>
    </row>
    <row r="713" ht="15.75" customHeight="1">
      <c r="E713" s="82"/>
      <c r="G713" s="79"/>
      <c r="H713" s="79"/>
      <c r="M713" s="86"/>
      <c r="U713" s="87"/>
      <c r="V713" s="87"/>
      <c r="W713" s="87"/>
      <c r="X713" s="87"/>
    </row>
    <row r="714" ht="15.75" customHeight="1">
      <c r="E714" s="82"/>
      <c r="G714" s="79"/>
      <c r="H714" s="79"/>
      <c r="M714" s="86"/>
      <c r="U714" s="87"/>
      <c r="V714" s="87"/>
      <c r="W714" s="87"/>
      <c r="X714" s="87"/>
    </row>
    <row r="715" ht="15.75" customHeight="1">
      <c r="E715" s="82"/>
      <c r="G715" s="79"/>
      <c r="H715" s="79"/>
      <c r="M715" s="86"/>
      <c r="U715" s="87"/>
      <c r="V715" s="87"/>
      <c r="W715" s="87"/>
      <c r="X715" s="87"/>
    </row>
    <row r="716" ht="15.75" customHeight="1">
      <c r="E716" s="82"/>
      <c r="G716" s="79"/>
      <c r="H716" s="79"/>
      <c r="M716" s="86"/>
      <c r="U716" s="87"/>
      <c r="V716" s="87"/>
      <c r="W716" s="87"/>
      <c r="X716" s="87"/>
    </row>
    <row r="717" ht="15.75" customHeight="1">
      <c r="E717" s="82"/>
      <c r="G717" s="79"/>
      <c r="H717" s="79"/>
      <c r="M717" s="86"/>
      <c r="U717" s="87"/>
      <c r="V717" s="87"/>
      <c r="W717" s="87"/>
      <c r="X717" s="87"/>
    </row>
    <row r="718" ht="15.75" customHeight="1">
      <c r="E718" s="82"/>
      <c r="G718" s="79"/>
      <c r="H718" s="79"/>
      <c r="M718" s="86"/>
      <c r="U718" s="87"/>
      <c r="V718" s="87"/>
      <c r="W718" s="87"/>
      <c r="X718" s="87"/>
    </row>
    <row r="719" ht="15.75" customHeight="1">
      <c r="E719" s="82"/>
      <c r="G719" s="79"/>
      <c r="H719" s="79"/>
      <c r="M719" s="86"/>
      <c r="U719" s="87"/>
      <c r="V719" s="87"/>
      <c r="W719" s="87"/>
      <c r="X719" s="87"/>
    </row>
    <row r="720" ht="15.75" customHeight="1">
      <c r="E720" s="82"/>
      <c r="G720" s="79"/>
      <c r="H720" s="79"/>
      <c r="M720" s="86"/>
      <c r="U720" s="87"/>
      <c r="V720" s="87"/>
      <c r="W720" s="87"/>
      <c r="X720" s="87"/>
    </row>
    <row r="721" ht="15.75" customHeight="1">
      <c r="E721" s="82"/>
      <c r="G721" s="79"/>
      <c r="H721" s="79"/>
      <c r="M721" s="86"/>
      <c r="U721" s="87"/>
      <c r="V721" s="87"/>
      <c r="W721" s="87"/>
      <c r="X721" s="87"/>
    </row>
    <row r="722" ht="15.75" customHeight="1">
      <c r="E722" s="82"/>
      <c r="G722" s="79"/>
      <c r="H722" s="79"/>
      <c r="M722" s="86"/>
      <c r="U722" s="87"/>
      <c r="V722" s="87"/>
      <c r="W722" s="87"/>
      <c r="X722" s="87"/>
    </row>
    <row r="723" ht="15.75" customHeight="1">
      <c r="E723" s="82"/>
      <c r="G723" s="79"/>
      <c r="H723" s="79"/>
      <c r="M723" s="86"/>
      <c r="U723" s="87"/>
      <c r="V723" s="87"/>
      <c r="W723" s="87"/>
      <c r="X723" s="87"/>
    </row>
    <row r="724" ht="15.75" customHeight="1">
      <c r="E724" s="82"/>
      <c r="G724" s="79"/>
      <c r="H724" s="79"/>
      <c r="M724" s="86"/>
      <c r="U724" s="87"/>
      <c r="V724" s="87"/>
      <c r="W724" s="87"/>
      <c r="X724" s="87"/>
    </row>
    <row r="725" ht="15.75" customHeight="1">
      <c r="E725" s="82"/>
      <c r="G725" s="79"/>
      <c r="H725" s="79"/>
      <c r="M725" s="86"/>
      <c r="U725" s="87"/>
      <c r="V725" s="87"/>
      <c r="W725" s="87"/>
      <c r="X725" s="87"/>
    </row>
    <row r="726" ht="15.75" customHeight="1">
      <c r="E726" s="82"/>
      <c r="G726" s="79"/>
      <c r="H726" s="79"/>
      <c r="M726" s="86"/>
      <c r="U726" s="87"/>
      <c r="V726" s="87"/>
      <c r="W726" s="87"/>
      <c r="X726" s="87"/>
    </row>
    <row r="727" ht="15.75" customHeight="1">
      <c r="E727" s="82"/>
      <c r="G727" s="79"/>
      <c r="H727" s="79"/>
      <c r="M727" s="86"/>
      <c r="U727" s="87"/>
      <c r="V727" s="87"/>
      <c r="W727" s="87"/>
      <c r="X727" s="87"/>
    </row>
    <row r="728" ht="15.75" customHeight="1">
      <c r="E728" s="82"/>
      <c r="G728" s="79"/>
      <c r="H728" s="79"/>
      <c r="M728" s="86"/>
      <c r="U728" s="87"/>
      <c r="V728" s="87"/>
      <c r="W728" s="87"/>
      <c r="X728" s="87"/>
    </row>
    <row r="729" ht="15.75" customHeight="1">
      <c r="E729" s="82"/>
      <c r="G729" s="79"/>
      <c r="H729" s="79"/>
      <c r="M729" s="86"/>
      <c r="U729" s="87"/>
      <c r="V729" s="87"/>
      <c r="W729" s="87"/>
      <c r="X729" s="87"/>
    </row>
    <row r="730" ht="15.75" customHeight="1">
      <c r="E730" s="82"/>
      <c r="G730" s="79"/>
      <c r="H730" s="79"/>
      <c r="M730" s="86"/>
      <c r="U730" s="87"/>
      <c r="V730" s="87"/>
      <c r="W730" s="87"/>
      <c r="X730" s="87"/>
    </row>
    <row r="731" ht="15.75" customHeight="1">
      <c r="E731" s="82"/>
      <c r="G731" s="79"/>
      <c r="H731" s="79"/>
      <c r="M731" s="86"/>
      <c r="U731" s="87"/>
      <c r="V731" s="87"/>
      <c r="W731" s="87"/>
      <c r="X731" s="87"/>
    </row>
    <row r="732" ht="15.75" customHeight="1">
      <c r="E732" s="82"/>
      <c r="G732" s="79"/>
      <c r="H732" s="79"/>
      <c r="M732" s="86"/>
      <c r="U732" s="87"/>
      <c r="V732" s="87"/>
      <c r="W732" s="87"/>
      <c r="X732" s="87"/>
    </row>
    <row r="733" ht="15.75" customHeight="1">
      <c r="E733" s="82"/>
      <c r="G733" s="79"/>
      <c r="H733" s="79"/>
      <c r="M733" s="86"/>
      <c r="U733" s="87"/>
      <c r="V733" s="87"/>
      <c r="W733" s="87"/>
      <c r="X733" s="87"/>
    </row>
    <row r="734" ht="15.75" customHeight="1">
      <c r="E734" s="82"/>
      <c r="G734" s="79"/>
      <c r="H734" s="79"/>
      <c r="M734" s="86"/>
      <c r="U734" s="87"/>
      <c r="V734" s="87"/>
      <c r="W734" s="87"/>
      <c r="X734" s="87"/>
    </row>
    <row r="735" ht="15.75" customHeight="1">
      <c r="E735" s="82"/>
      <c r="G735" s="79"/>
      <c r="H735" s="79"/>
      <c r="M735" s="86"/>
      <c r="U735" s="87"/>
      <c r="V735" s="87"/>
      <c r="W735" s="87"/>
      <c r="X735" s="87"/>
    </row>
    <row r="736" ht="15.75" customHeight="1">
      <c r="E736" s="82"/>
      <c r="G736" s="79"/>
      <c r="H736" s="79"/>
      <c r="M736" s="86"/>
      <c r="U736" s="87"/>
      <c r="V736" s="87"/>
      <c r="W736" s="87"/>
      <c r="X736" s="87"/>
    </row>
    <row r="737" ht="15.75" customHeight="1">
      <c r="E737" s="82"/>
      <c r="G737" s="79"/>
      <c r="H737" s="79"/>
      <c r="M737" s="86"/>
      <c r="U737" s="87"/>
      <c r="V737" s="87"/>
      <c r="W737" s="87"/>
      <c r="X737" s="87"/>
    </row>
    <row r="738" ht="15.75" customHeight="1">
      <c r="E738" s="82"/>
      <c r="G738" s="79"/>
      <c r="H738" s="79"/>
      <c r="M738" s="86"/>
      <c r="U738" s="87"/>
      <c r="V738" s="87"/>
      <c r="W738" s="87"/>
      <c r="X738" s="87"/>
    </row>
    <row r="739" ht="15.75" customHeight="1">
      <c r="E739" s="82"/>
      <c r="G739" s="79"/>
      <c r="H739" s="79"/>
      <c r="M739" s="86"/>
      <c r="U739" s="87"/>
      <c r="V739" s="87"/>
      <c r="W739" s="87"/>
      <c r="X739" s="87"/>
    </row>
    <row r="740" ht="15.75" customHeight="1">
      <c r="E740" s="82"/>
      <c r="G740" s="79"/>
      <c r="H740" s="79"/>
      <c r="M740" s="86"/>
      <c r="U740" s="87"/>
      <c r="V740" s="87"/>
      <c r="W740" s="87"/>
      <c r="X740" s="87"/>
    </row>
    <row r="741" ht="15.75" customHeight="1">
      <c r="E741" s="82"/>
      <c r="G741" s="79"/>
      <c r="H741" s="79"/>
      <c r="M741" s="86"/>
      <c r="U741" s="87"/>
      <c r="V741" s="87"/>
      <c r="W741" s="87"/>
      <c r="X741" s="87"/>
    </row>
    <row r="742" ht="15.75" customHeight="1">
      <c r="E742" s="82"/>
      <c r="G742" s="79"/>
      <c r="H742" s="79"/>
      <c r="M742" s="86"/>
      <c r="U742" s="87"/>
      <c r="V742" s="87"/>
      <c r="W742" s="87"/>
      <c r="X742" s="87"/>
    </row>
    <row r="743" ht="15.75" customHeight="1">
      <c r="E743" s="82"/>
      <c r="G743" s="79"/>
      <c r="H743" s="79"/>
      <c r="M743" s="86"/>
      <c r="U743" s="87"/>
      <c r="V743" s="87"/>
      <c r="W743" s="87"/>
      <c r="X743" s="87"/>
    </row>
    <row r="744" ht="15.75" customHeight="1">
      <c r="E744" s="82"/>
      <c r="G744" s="79"/>
      <c r="H744" s="79"/>
      <c r="M744" s="86"/>
      <c r="U744" s="87"/>
      <c r="V744" s="87"/>
      <c r="W744" s="87"/>
      <c r="X744" s="87"/>
    </row>
    <row r="745" ht="15.75" customHeight="1">
      <c r="E745" s="82"/>
      <c r="G745" s="79"/>
      <c r="H745" s="79"/>
      <c r="M745" s="86"/>
      <c r="U745" s="87"/>
      <c r="V745" s="87"/>
      <c r="W745" s="87"/>
      <c r="X745" s="87"/>
    </row>
    <row r="746" ht="15.75" customHeight="1">
      <c r="E746" s="82"/>
      <c r="G746" s="79"/>
      <c r="H746" s="79"/>
      <c r="M746" s="86"/>
      <c r="U746" s="87"/>
      <c r="V746" s="87"/>
      <c r="W746" s="87"/>
      <c r="X746" s="87"/>
    </row>
    <row r="747" ht="15.75" customHeight="1">
      <c r="E747" s="82"/>
      <c r="G747" s="79"/>
      <c r="H747" s="79"/>
      <c r="M747" s="86"/>
      <c r="U747" s="87"/>
      <c r="V747" s="87"/>
      <c r="W747" s="87"/>
      <c r="X747" s="87"/>
    </row>
    <row r="748" ht="15.75" customHeight="1">
      <c r="E748" s="82"/>
      <c r="G748" s="79"/>
      <c r="H748" s="79"/>
      <c r="M748" s="86"/>
      <c r="U748" s="87"/>
      <c r="V748" s="87"/>
      <c r="W748" s="87"/>
      <c r="X748" s="87"/>
    </row>
    <row r="749" ht="15.75" customHeight="1">
      <c r="E749" s="82"/>
      <c r="G749" s="79"/>
      <c r="H749" s="79"/>
      <c r="M749" s="86"/>
      <c r="U749" s="87"/>
      <c r="V749" s="87"/>
      <c r="W749" s="87"/>
      <c r="X749" s="87"/>
    </row>
    <row r="750" ht="15.75" customHeight="1">
      <c r="E750" s="82"/>
      <c r="G750" s="79"/>
      <c r="H750" s="79"/>
      <c r="M750" s="86"/>
      <c r="U750" s="87"/>
      <c r="V750" s="87"/>
      <c r="W750" s="87"/>
      <c r="X750" s="87"/>
    </row>
    <row r="751" ht="15.75" customHeight="1">
      <c r="E751" s="82"/>
      <c r="G751" s="79"/>
      <c r="H751" s="79"/>
      <c r="M751" s="86"/>
      <c r="U751" s="87"/>
      <c r="V751" s="87"/>
      <c r="W751" s="87"/>
      <c r="X751" s="87"/>
    </row>
    <row r="752" ht="15.75" customHeight="1">
      <c r="E752" s="82"/>
      <c r="G752" s="79"/>
      <c r="H752" s="79"/>
      <c r="M752" s="86"/>
      <c r="U752" s="87"/>
      <c r="V752" s="87"/>
      <c r="W752" s="87"/>
      <c r="X752" s="87"/>
    </row>
    <row r="753" ht="15.75" customHeight="1">
      <c r="E753" s="82"/>
      <c r="G753" s="79"/>
      <c r="H753" s="79"/>
      <c r="M753" s="86"/>
      <c r="U753" s="87"/>
      <c r="V753" s="87"/>
      <c r="W753" s="87"/>
      <c r="X753" s="87"/>
    </row>
    <row r="754" ht="15.75" customHeight="1">
      <c r="E754" s="82"/>
      <c r="G754" s="79"/>
      <c r="H754" s="79"/>
      <c r="M754" s="86"/>
      <c r="U754" s="87"/>
      <c r="V754" s="87"/>
      <c r="W754" s="87"/>
      <c r="X754" s="87"/>
    </row>
    <row r="755" ht="15.75" customHeight="1">
      <c r="E755" s="82"/>
      <c r="G755" s="79"/>
      <c r="H755" s="79"/>
      <c r="M755" s="86"/>
      <c r="U755" s="87"/>
      <c r="V755" s="87"/>
      <c r="W755" s="87"/>
      <c r="X755" s="87"/>
    </row>
    <row r="756" ht="15.75" customHeight="1">
      <c r="E756" s="82"/>
      <c r="G756" s="79"/>
      <c r="H756" s="79"/>
      <c r="M756" s="86"/>
      <c r="U756" s="87"/>
      <c r="V756" s="87"/>
      <c r="W756" s="87"/>
      <c r="X756" s="87"/>
    </row>
    <row r="757" ht="15.75" customHeight="1">
      <c r="E757" s="82"/>
      <c r="G757" s="79"/>
      <c r="H757" s="79"/>
      <c r="M757" s="86"/>
      <c r="U757" s="87"/>
      <c r="V757" s="87"/>
      <c r="W757" s="87"/>
      <c r="X757" s="87"/>
    </row>
    <row r="758" ht="15.75" customHeight="1">
      <c r="E758" s="82"/>
      <c r="G758" s="79"/>
      <c r="H758" s="79"/>
      <c r="M758" s="86"/>
      <c r="U758" s="87"/>
      <c r="V758" s="87"/>
      <c r="W758" s="87"/>
      <c r="X758" s="87"/>
    </row>
    <row r="759" ht="15.75" customHeight="1">
      <c r="E759" s="82"/>
      <c r="G759" s="79"/>
      <c r="H759" s="79"/>
      <c r="M759" s="86"/>
      <c r="U759" s="87"/>
      <c r="V759" s="87"/>
      <c r="W759" s="87"/>
      <c r="X759" s="87"/>
    </row>
    <row r="760" ht="15.75" customHeight="1">
      <c r="E760" s="82"/>
      <c r="G760" s="79"/>
      <c r="H760" s="79"/>
      <c r="M760" s="86"/>
      <c r="U760" s="87"/>
      <c r="V760" s="87"/>
      <c r="W760" s="87"/>
      <c r="X760" s="87"/>
    </row>
    <row r="761" ht="15.75" customHeight="1">
      <c r="E761" s="82"/>
      <c r="G761" s="79"/>
      <c r="H761" s="79"/>
      <c r="M761" s="86"/>
      <c r="U761" s="87"/>
      <c r="V761" s="87"/>
      <c r="W761" s="87"/>
      <c r="X761" s="87"/>
    </row>
    <row r="762" ht="15.75" customHeight="1">
      <c r="E762" s="82"/>
      <c r="G762" s="79"/>
      <c r="H762" s="79"/>
      <c r="M762" s="86"/>
      <c r="U762" s="87"/>
      <c r="V762" s="87"/>
      <c r="W762" s="87"/>
      <c r="X762" s="87"/>
    </row>
    <row r="763" ht="15.75" customHeight="1">
      <c r="E763" s="82"/>
      <c r="G763" s="79"/>
      <c r="H763" s="79"/>
      <c r="M763" s="86"/>
      <c r="U763" s="87"/>
      <c r="V763" s="87"/>
      <c r="W763" s="87"/>
      <c r="X763" s="87"/>
    </row>
    <row r="764" ht="15.75" customHeight="1">
      <c r="E764" s="82"/>
      <c r="G764" s="79"/>
      <c r="H764" s="79"/>
      <c r="M764" s="86"/>
      <c r="U764" s="87"/>
      <c r="V764" s="87"/>
      <c r="W764" s="87"/>
      <c r="X764" s="87"/>
    </row>
    <row r="765" ht="15.75" customHeight="1">
      <c r="E765" s="82"/>
      <c r="G765" s="79"/>
      <c r="H765" s="79"/>
      <c r="M765" s="86"/>
      <c r="U765" s="87"/>
      <c r="V765" s="87"/>
      <c r="W765" s="87"/>
      <c r="X765" s="87"/>
    </row>
    <row r="766" ht="15.75" customHeight="1">
      <c r="E766" s="82"/>
      <c r="G766" s="79"/>
      <c r="H766" s="79"/>
      <c r="M766" s="86"/>
      <c r="U766" s="87"/>
      <c r="V766" s="87"/>
      <c r="W766" s="87"/>
      <c r="X766" s="87"/>
    </row>
    <row r="767" ht="15.75" customHeight="1">
      <c r="E767" s="82"/>
      <c r="G767" s="79"/>
      <c r="H767" s="79"/>
      <c r="M767" s="86"/>
      <c r="U767" s="87"/>
      <c r="V767" s="87"/>
      <c r="W767" s="87"/>
      <c r="X767" s="87"/>
    </row>
    <row r="768" ht="15.75" customHeight="1">
      <c r="E768" s="82"/>
      <c r="G768" s="79"/>
      <c r="H768" s="79"/>
      <c r="M768" s="86"/>
      <c r="U768" s="87"/>
      <c r="V768" s="87"/>
      <c r="W768" s="87"/>
      <c r="X768" s="87"/>
    </row>
    <row r="769" ht="15.75" customHeight="1">
      <c r="E769" s="82"/>
      <c r="G769" s="79"/>
      <c r="H769" s="79"/>
      <c r="M769" s="86"/>
      <c r="U769" s="87"/>
      <c r="V769" s="87"/>
      <c r="W769" s="87"/>
      <c r="X769" s="87"/>
    </row>
    <row r="770" ht="15.75" customHeight="1">
      <c r="E770" s="82"/>
      <c r="G770" s="79"/>
      <c r="H770" s="79"/>
      <c r="M770" s="86"/>
      <c r="U770" s="87"/>
      <c r="V770" s="87"/>
      <c r="W770" s="87"/>
      <c r="X770" s="87"/>
    </row>
    <row r="771" ht="15.75" customHeight="1">
      <c r="E771" s="82"/>
      <c r="G771" s="79"/>
      <c r="H771" s="79"/>
      <c r="M771" s="86"/>
      <c r="U771" s="87"/>
      <c r="V771" s="87"/>
      <c r="W771" s="87"/>
      <c r="X771" s="87"/>
    </row>
    <row r="772" ht="15.75" customHeight="1">
      <c r="E772" s="82"/>
      <c r="G772" s="79"/>
      <c r="H772" s="79"/>
      <c r="M772" s="86"/>
      <c r="U772" s="87"/>
      <c r="V772" s="87"/>
      <c r="W772" s="87"/>
      <c r="X772" s="87"/>
    </row>
    <row r="773" ht="15.75" customHeight="1">
      <c r="E773" s="82"/>
      <c r="G773" s="79"/>
      <c r="H773" s="79"/>
      <c r="M773" s="86"/>
      <c r="U773" s="87"/>
      <c r="V773" s="87"/>
      <c r="W773" s="87"/>
      <c r="X773" s="87"/>
    </row>
    <row r="774" ht="15.75" customHeight="1">
      <c r="E774" s="82"/>
      <c r="G774" s="79"/>
      <c r="H774" s="79"/>
      <c r="M774" s="86"/>
      <c r="U774" s="87"/>
      <c r="V774" s="87"/>
      <c r="W774" s="87"/>
      <c r="X774" s="87"/>
    </row>
    <row r="775" ht="15.75" customHeight="1">
      <c r="E775" s="82"/>
      <c r="G775" s="79"/>
      <c r="H775" s="79"/>
      <c r="M775" s="86"/>
      <c r="U775" s="87"/>
      <c r="V775" s="87"/>
      <c r="W775" s="87"/>
      <c r="X775" s="87"/>
    </row>
    <row r="776" ht="15.75" customHeight="1">
      <c r="E776" s="82"/>
      <c r="G776" s="79"/>
      <c r="H776" s="79"/>
      <c r="M776" s="86"/>
      <c r="U776" s="87"/>
      <c r="V776" s="87"/>
      <c r="W776" s="87"/>
      <c r="X776" s="87"/>
    </row>
    <row r="777" ht="15.75" customHeight="1">
      <c r="E777" s="82"/>
      <c r="G777" s="79"/>
      <c r="H777" s="79"/>
      <c r="M777" s="86"/>
      <c r="U777" s="87"/>
      <c r="V777" s="87"/>
      <c r="W777" s="87"/>
      <c r="X777" s="87"/>
    </row>
    <row r="778" ht="15.75" customHeight="1">
      <c r="E778" s="82"/>
      <c r="G778" s="79"/>
      <c r="H778" s="79"/>
      <c r="M778" s="86"/>
      <c r="U778" s="87"/>
      <c r="V778" s="87"/>
      <c r="W778" s="87"/>
      <c r="X778" s="87"/>
    </row>
    <row r="779" ht="15.75" customHeight="1">
      <c r="E779" s="82"/>
      <c r="G779" s="79"/>
      <c r="H779" s="79"/>
      <c r="M779" s="86"/>
      <c r="U779" s="87"/>
      <c r="V779" s="87"/>
      <c r="W779" s="87"/>
      <c r="X779" s="87"/>
    </row>
    <row r="780" ht="15.75" customHeight="1">
      <c r="E780" s="82"/>
      <c r="G780" s="79"/>
      <c r="H780" s="79"/>
      <c r="M780" s="86"/>
      <c r="U780" s="87"/>
      <c r="V780" s="87"/>
      <c r="W780" s="87"/>
      <c r="X780" s="87"/>
    </row>
    <row r="781" ht="15.75" customHeight="1">
      <c r="E781" s="82"/>
      <c r="G781" s="79"/>
      <c r="H781" s="79"/>
      <c r="M781" s="86"/>
      <c r="U781" s="87"/>
      <c r="V781" s="87"/>
      <c r="W781" s="87"/>
      <c r="X781" s="87"/>
    </row>
    <row r="782" ht="15.75" customHeight="1">
      <c r="E782" s="82"/>
      <c r="G782" s="79"/>
      <c r="H782" s="79"/>
      <c r="M782" s="86"/>
      <c r="U782" s="87"/>
      <c r="V782" s="87"/>
      <c r="W782" s="87"/>
      <c r="X782" s="87"/>
    </row>
    <row r="783" ht="15.75" customHeight="1">
      <c r="E783" s="82"/>
      <c r="G783" s="79"/>
      <c r="H783" s="79"/>
      <c r="M783" s="86"/>
      <c r="U783" s="87"/>
      <c r="V783" s="87"/>
      <c r="W783" s="87"/>
      <c r="X783" s="87"/>
    </row>
    <row r="784" ht="15.75" customHeight="1">
      <c r="E784" s="82"/>
      <c r="G784" s="79"/>
      <c r="H784" s="79"/>
      <c r="M784" s="86"/>
      <c r="U784" s="87"/>
      <c r="V784" s="87"/>
      <c r="W784" s="87"/>
      <c r="X784" s="87"/>
    </row>
    <row r="785" ht="15.75" customHeight="1">
      <c r="E785" s="82"/>
      <c r="G785" s="79"/>
      <c r="H785" s="79"/>
      <c r="M785" s="86"/>
      <c r="U785" s="87"/>
      <c r="V785" s="87"/>
      <c r="W785" s="87"/>
      <c r="X785" s="87"/>
    </row>
    <row r="786" ht="15.75" customHeight="1">
      <c r="E786" s="82"/>
      <c r="G786" s="79"/>
      <c r="H786" s="79"/>
      <c r="M786" s="86"/>
      <c r="U786" s="87"/>
      <c r="V786" s="87"/>
      <c r="W786" s="87"/>
      <c r="X786" s="87"/>
    </row>
    <row r="787" ht="15.75" customHeight="1">
      <c r="E787" s="82"/>
      <c r="G787" s="79"/>
      <c r="H787" s="79"/>
      <c r="M787" s="86"/>
      <c r="U787" s="87"/>
      <c r="V787" s="87"/>
      <c r="W787" s="87"/>
      <c r="X787" s="87"/>
    </row>
    <row r="788" ht="15.75" customHeight="1">
      <c r="E788" s="82"/>
      <c r="G788" s="79"/>
      <c r="H788" s="79"/>
      <c r="M788" s="86"/>
      <c r="U788" s="87"/>
      <c r="V788" s="87"/>
      <c r="W788" s="87"/>
      <c r="X788" s="87"/>
    </row>
    <row r="789" ht="15.75" customHeight="1">
      <c r="E789" s="82"/>
      <c r="G789" s="79"/>
      <c r="H789" s="79"/>
      <c r="M789" s="86"/>
      <c r="U789" s="87"/>
      <c r="V789" s="87"/>
      <c r="W789" s="87"/>
      <c r="X789" s="87"/>
    </row>
    <row r="790" ht="15.75" customHeight="1">
      <c r="E790" s="82"/>
      <c r="G790" s="79"/>
      <c r="H790" s="79"/>
      <c r="M790" s="86"/>
      <c r="U790" s="87"/>
      <c r="V790" s="87"/>
      <c r="W790" s="87"/>
      <c r="X790" s="87"/>
    </row>
    <row r="791" ht="15.75" customHeight="1">
      <c r="E791" s="82"/>
      <c r="G791" s="79"/>
      <c r="H791" s="79"/>
      <c r="M791" s="86"/>
      <c r="U791" s="87"/>
      <c r="V791" s="87"/>
      <c r="W791" s="87"/>
      <c r="X791" s="87"/>
    </row>
    <row r="792" ht="15.75" customHeight="1">
      <c r="E792" s="82"/>
      <c r="G792" s="79"/>
      <c r="H792" s="79"/>
      <c r="M792" s="86"/>
      <c r="U792" s="87"/>
      <c r="V792" s="87"/>
      <c r="W792" s="87"/>
      <c r="X792" s="87"/>
    </row>
    <row r="793" ht="15.75" customHeight="1">
      <c r="E793" s="82"/>
      <c r="G793" s="79"/>
      <c r="H793" s="79"/>
      <c r="M793" s="86"/>
      <c r="U793" s="87"/>
      <c r="V793" s="87"/>
      <c r="W793" s="87"/>
      <c r="X793" s="87"/>
    </row>
    <row r="794" ht="15.75" customHeight="1">
      <c r="E794" s="82"/>
      <c r="G794" s="79"/>
      <c r="H794" s="79"/>
      <c r="M794" s="86"/>
      <c r="U794" s="87"/>
      <c r="V794" s="87"/>
      <c r="W794" s="87"/>
      <c r="X794" s="87"/>
    </row>
    <row r="795" ht="15.75" customHeight="1">
      <c r="E795" s="82"/>
      <c r="G795" s="79"/>
      <c r="H795" s="79"/>
      <c r="M795" s="86"/>
      <c r="U795" s="87"/>
      <c r="V795" s="87"/>
      <c r="W795" s="87"/>
      <c r="X795" s="87"/>
    </row>
    <row r="796" ht="15.75" customHeight="1">
      <c r="E796" s="82"/>
      <c r="G796" s="79"/>
      <c r="H796" s="79"/>
      <c r="M796" s="86"/>
      <c r="U796" s="87"/>
      <c r="V796" s="87"/>
      <c r="W796" s="87"/>
      <c r="X796" s="87"/>
    </row>
    <row r="797" ht="15.75" customHeight="1">
      <c r="E797" s="82"/>
      <c r="G797" s="79"/>
      <c r="H797" s="79"/>
      <c r="M797" s="86"/>
      <c r="U797" s="87"/>
      <c r="V797" s="87"/>
      <c r="W797" s="87"/>
      <c r="X797" s="87"/>
    </row>
    <row r="798" ht="15.75" customHeight="1">
      <c r="E798" s="82"/>
      <c r="G798" s="79"/>
      <c r="H798" s="79"/>
      <c r="M798" s="86"/>
      <c r="U798" s="87"/>
      <c r="V798" s="87"/>
      <c r="W798" s="87"/>
      <c r="X798" s="87"/>
    </row>
    <row r="799" ht="15.75" customHeight="1">
      <c r="E799" s="82"/>
      <c r="G799" s="79"/>
      <c r="H799" s="79"/>
      <c r="M799" s="86"/>
      <c r="U799" s="87"/>
      <c r="V799" s="87"/>
      <c r="W799" s="87"/>
      <c r="X799" s="87"/>
    </row>
    <row r="800" ht="15.75" customHeight="1">
      <c r="E800" s="82"/>
      <c r="G800" s="79"/>
      <c r="H800" s="79"/>
      <c r="M800" s="86"/>
      <c r="U800" s="87"/>
      <c r="V800" s="87"/>
      <c r="W800" s="87"/>
      <c r="X800" s="87"/>
    </row>
    <row r="801" ht="15.75" customHeight="1">
      <c r="E801" s="82"/>
      <c r="G801" s="79"/>
      <c r="H801" s="79"/>
      <c r="M801" s="86"/>
      <c r="U801" s="87"/>
      <c r="V801" s="87"/>
      <c r="W801" s="87"/>
      <c r="X801" s="87"/>
    </row>
    <row r="802" ht="15.75" customHeight="1">
      <c r="E802" s="82"/>
      <c r="G802" s="79"/>
      <c r="H802" s="79"/>
      <c r="M802" s="86"/>
      <c r="U802" s="87"/>
      <c r="V802" s="87"/>
      <c r="W802" s="87"/>
      <c r="X802" s="87"/>
    </row>
    <row r="803" ht="15.75" customHeight="1">
      <c r="E803" s="82"/>
      <c r="G803" s="79"/>
      <c r="H803" s="79"/>
      <c r="M803" s="86"/>
      <c r="U803" s="87"/>
      <c r="V803" s="87"/>
      <c r="W803" s="87"/>
      <c r="X803" s="87"/>
    </row>
    <row r="804" ht="15.75" customHeight="1">
      <c r="E804" s="82"/>
      <c r="G804" s="79"/>
      <c r="H804" s="79"/>
      <c r="M804" s="86"/>
      <c r="U804" s="87"/>
      <c r="V804" s="87"/>
      <c r="W804" s="87"/>
      <c r="X804" s="87"/>
    </row>
    <row r="805" ht="15.75" customHeight="1">
      <c r="E805" s="82"/>
      <c r="G805" s="79"/>
      <c r="H805" s="79"/>
      <c r="M805" s="86"/>
      <c r="U805" s="87"/>
      <c r="V805" s="87"/>
      <c r="W805" s="87"/>
      <c r="X805" s="87"/>
    </row>
    <row r="806" ht="15.75" customHeight="1">
      <c r="E806" s="82"/>
      <c r="G806" s="79"/>
      <c r="H806" s="79"/>
      <c r="M806" s="86"/>
      <c r="U806" s="87"/>
      <c r="V806" s="87"/>
      <c r="W806" s="87"/>
      <c r="X806" s="87"/>
    </row>
    <row r="807" ht="15.75" customHeight="1">
      <c r="E807" s="82"/>
      <c r="G807" s="79"/>
      <c r="H807" s="79"/>
      <c r="M807" s="86"/>
      <c r="U807" s="87"/>
      <c r="V807" s="87"/>
      <c r="W807" s="87"/>
      <c r="X807" s="87"/>
    </row>
    <row r="808" ht="15.75" customHeight="1">
      <c r="E808" s="82"/>
      <c r="G808" s="79"/>
      <c r="H808" s="79"/>
      <c r="M808" s="86"/>
      <c r="U808" s="87"/>
      <c r="V808" s="87"/>
      <c r="W808" s="87"/>
      <c r="X808" s="87"/>
    </row>
    <row r="809" ht="15.75" customHeight="1">
      <c r="E809" s="82"/>
      <c r="G809" s="79"/>
      <c r="H809" s="79"/>
      <c r="M809" s="86"/>
      <c r="U809" s="87"/>
      <c r="V809" s="87"/>
      <c r="W809" s="87"/>
      <c r="X809" s="87"/>
    </row>
    <row r="810" ht="15.75" customHeight="1">
      <c r="E810" s="82"/>
      <c r="G810" s="79"/>
      <c r="H810" s="79"/>
      <c r="M810" s="86"/>
      <c r="U810" s="87"/>
      <c r="V810" s="87"/>
      <c r="W810" s="87"/>
      <c r="X810" s="87"/>
    </row>
    <row r="811" ht="15.75" customHeight="1">
      <c r="E811" s="82"/>
      <c r="G811" s="79"/>
      <c r="H811" s="79"/>
      <c r="M811" s="86"/>
      <c r="U811" s="87"/>
      <c r="V811" s="87"/>
      <c r="W811" s="87"/>
      <c r="X811" s="87"/>
    </row>
    <row r="812" ht="15.75" customHeight="1">
      <c r="E812" s="82"/>
      <c r="G812" s="79"/>
      <c r="H812" s="79"/>
      <c r="M812" s="86"/>
      <c r="U812" s="87"/>
      <c r="V812" s="87"/>
      <c r="W812" s="87"/>
      <c r="X812" s="87"/>
    </row>
    <row r="813" ht="15.75" customHeight="1">
      <c r="E813" s="82"/>
      <c r="G813" s="79"/>
      <c r="H813" s="79"/>
      <c r="M813" s="86"/>
      <c r="U813" s="87"/>
      <c r="V813" s="87"/>
      <c r="W813" s="87"/>
      <c r="X813" s="87"/>
    </row>
    <row r="814" ht="15.75" customHeight="1">
      <c r="E814" s="82"/>
      <c r="G814" s="79"/>
      <c r="H814" s="79"/>
      <c r="M814" s="86"/>
      <c r="U814" s="87"/>
      <c r="V814" s="87"/>
      <c r="W814" s="87"/>
      <c r="X814" s="87"/>
    </row>
    <row r="815" ht="15.75" customHeight="1">
      <c r="E815" s="82"/>
      <c r="G815" s="79"/>
      <c r="H815" s="79"/>
      <c r="M815" s="86"/>
      <c r="U815" s="87"/>
      <c r="V815" s="87"/>
      <c r="W815" s="87"/>
      <c r="X815" s="87"/>
    </row>
    <row r="816" ht="15.75" customHeight="1">
      <c r="E816" s="82"/>
      <c r="G816" s="79"/>
      <c r="H816" s="79"/>
      <c r="M816" s="86"/>
      <c r="U816" s="87"/>
      <c r="V816" s="87"/>
      <c r="W816" s="87"/>
      <c r="X816" s="87"/>
    </row>
    <row r="817" ht="15.75" customHeight="1">
      <c r="E817" s="82"/>
      <c r="G817" s="79"/>
      <c r="H817" s="79"/>
      <c r="M817" s="86"/>
      <c r="U817" s="87"/>
      <c r="V817" s="87"/>
      <c r="W817" s="87"/>
      <c r="X817" s="87"/>
    </row>
    <row r="818" ht="15.75" customHeight="1">
      <c r="E818" s="82"/>
      <c r="G818" s="79"/>
      <c r="H818" s="79"/>
      <c r="M818" s="86"/>
      <c r="U818" s="87"/>
      <c r="V818" s="87"/>
      <c r="W818" s="87"/>
      <c r="X818" s="87"/>
    </row>
    <row r="819" ht="15.75" customHeight="1">
      <c r="E819" s="82"/>
      <c r="G819" s="79"/>
      <c r="H819" s="79"/>
      <c r="M819" s="86"/>
      <c r="U819" s="87"/>
      <c r="V819" s="87"/>
      <c r="W819" s="87"/>
      <c r="X819" s="87"/>
    </row>
    <row r="820" ht="15.75" customHeight="1">
      <c r="E820" s="82"/>
      <c r="G820" s="79"/>
      <c r="H820" s="79"/>
      <c r="M820" s="86"/>
      <c r="U820" s="87"/>
      <c r="V820" s="87"/>
      <c r="W820" s="87"/>
      <c r="X820" s="87"/>
    </row>
    <row r="821" ht="15.75" customHeight="1">
      <c r="E821" s="82"/>
      <c r="G821" s="79"/>
      <c r="H821" s="79"/>
      <c r="M821" s="86"/>
      <c r="U821" s="87"/>
      <c r="V821" s="87"/>
      <c r="W821" s="87"/>
      <c r="X821" s="87"/>
    </row>
    <row r="822" ht="15.75" customHeight="1">
      <c r="E822" s="82"/>
      <c r="G822" s="79"/>
      <c r="H822" s="79"/>
      <c r="M822" s="86"/>
      <c r="U822" s="87"/>
      <c r="V822" s="87"/>
      <c r="W822" s="87"/>
      <c r="X822" s="87"/>
    </row>
    <row r="823" ht="15.75" customHeight="1">
      <c r="E823" s="82"/>
      <c r="G823" s="79"/>
      <c r="H823" s="79"/>
      <c r="M823" s="86"/>
      <c r="U823" s="87"/>
      <c r="V823" s="87"/>
      <c r="W823" s="87"/>
      <c r="X823" s="87"/>
    </row>
    <row r="824" ht="15.75" customHeight="1">
      <c r="E824" s="82"/>
      <c r="G824" s="79"/>
      <c r="H824" s="79"/>
      <c r="M824" s="86"/>
      <c r="U824" s="87"/>
      <c r="V824" s="87"/>
      <c r="W824" s="87"/>
      <c r="X824" s="87"/>
    </row>
    <row r="825" ht="15.75" customHeight="1">
      <c r="E825" s="82"/>
      <c r="G825" s="79"/>
      <c r="H825" s="79"/>
      <c r="M825" s="86"/>
      <c r="U825" s="87"/>
      <c r="V825" s="87"/>
      <c r="W825" s="87"/>
      <c r="X825" s="87"/>
    </row>
    <row r="826" ht="15.75" customHeight="1">
      <c r="E826" s="82"/>
      <c r="G826" s="79"/>
      <c r="H826" s="79"/>
      <c r="M826" s="86"/>
      <c r="U826" s="87"/>
      <c r="V826" s="87"/>
      <c r="W826" s="87"/>
      <c r="X826" s="87"/>
    </row>
    <row r="827" ht="15.75" customHeight="1">
      <c r="E827" s="82"/>
      <c r="G827" s="79"/>
      <c r="H827" s="79"/>
      <c r="M827" s="86"/>
      <c r="U827" s="87"/>
      <c r="V827" s="87"/>
      <c r="W827" s="87"/>
      <c r="X827" s="87"/>
    </row>
    <row r="828" ht="15.75" customHeight="1">
      <c r="E828" s="82"/>
      <c r="G828" s="79"/>
      <c r="H828" s="79"/>
      <c r="M828" s="86"/>
      <c r="U828" s="87"/>
      <c r="V828" s="87"/>
      <c r="W828" s="87"/>
      <c r="X828" s="87"/>
    </row>
    <row r="829" ht="15.75" customHeight="1">
      <c r="E829" s="82"/>
      <c r="G829" s="79"/>
      <c r="H829" s="79"/>
      <c r="M829" s="86"/>
      <c r="U829" s="87"/>
      <c r="V829" s="87"/>
      <c r="W829" s="87"/>
      <c r="X829" s="87"/>
    </row>
    <row r="830" ht="15.75" customHeight="1">
      <c r="E830" s="82"/>
      <c r="G830" s="79"/>
      <c r="H830" s="79"/>
      <c r="M830" s="86"/>
      <c r="U830" s="87"/>
      <c r="V830" s="87"/>
      <c r="W830" s="87"/>
      <c r="X830" s="87"/>
    </row>
    <row r="831" ht="15.75" customHeight="1">
      <c r="E831" s="82"/>
      <c r="G831" s="79"/>
      <c r="H831" s="79"/>
      <c r="M831" s="86"/>
      <c r="U831" s="87"/>
      <c r="V831" s="87"/>
      <c r="W831" s="87"/>
      <c r="X831" s="87"/>
    </row>
    <row r="832" ht="15.75" customHeight="1">
      <c r="E832" s="82"/>
      <c r="G832" s="79"/>
      <c r="H832" s="79"/>
      <c r="M832" s="86"/>
      <c r="U832" s="87"/>
      <c r="V832" s="87"/>
      <c r="W832" s="87"/>
      <c r="X832" s="87"/>
    </row>
    <row r="833" ht="15.75" customHeight="1">
      <c r="E833" s="82"/>
      <c r="G833" s="79"/>
      <c r="H833" s="79"/>
      <c r="M833" s="86"/>
      <c r="U833" s="87"/>
      <c r="V833" s="87"/>
      <c r="W833" s="87"/>
      <c r="X833" s="87"/>
    </row>
    <row r="834" ht="15.75" customHeight="1">
      <c r="E834" s="82"/>
      <c r="G834" s="79"/>
      <c r="H834" s="79"/>
      <c r="M834" s="86"/>
      <c r="U834" s="87"/>
      <c r="V834" s="87"/>
      <c r="W834" s="87"/>
      <c r="X834" s="87"/>
    </row>
    <row r="835" ht="15.75" customHeight="1">
      <c r="E835" s="82"/>
      <c r="G835" s="79"/>
      <c r="H835" s="79"/>
      <c r="M835" s="86"/>
      <c r="U835" s="87"/>
      <c r="V835" s="87"/>
      <c r="W835" s="87"/>
      <c r="X835" s="87"/>
    </row>
    <row r="836" ht="15.75" customHeight="1">
      <c r="E836" s="82"/>
      <c r="G836" s="79"/>
      <c r="H836" s="79"/>
      <c r="M836" s="86"/>
      <c r="U836" s="87"/>
      <c r="V836" s="87"/>
      <c r="W836" s="87"/>
      <c r="X836" s="87"/>
    </row>
    <row r="837" ht="15.75" customHeight="1">
      <c r="E837" s="82"/>
      <c r="G837" s="79"/>
      <c r="H837" s="79"/>
      <c r="M837" s="86"/>
      <c r="U837" s="87"/>
      <c r="V837" s="87"/>
      <c r="W837" s="87"/>
      <c r="X837" s="87"/>
    </row>
    <row r="838" ht="15.75" customHeight="1">
      <c r="E838" s="82"/>
      <c r="G838" s="79"/>
      <c r="H838" s="79"/>
      <c r="M838" s="86"/>
      <c r="U838" s="87"/>
      <c r="V838" s="87"/>
      <c r="W838" s="87"/>
      <c r="X838" s="87"/>
    </row>
    <row r="839" ht="15.75" customHeight="1">
      <c r="E839" s="82"/>
      <c r="G839" s="79"/>
      <c r="H839" s="79"/>
      <c r="M839" s="86"/>
      <c r="U839" s="87"/>
      <c r="V839" s="87"/>
      <c r="W839" s="87"/>
      <c r="X839" s="87"/>
    </row>
    <row r="840" ht="15.75" customHeight="1">
      <c r="E840" s="82"/>
      <c r="G840" s="79"/>
      <c r="H840" s="79"/>
      <c r="M840" s="86"/>
      <c r="U840" s="87"/>
      <c r="V840" s="87"/>
      <c r="W840" s="87"/>
      <c r="X840" s="87"/>
    </row>
    <row r="841" ht="15.75" customHeight="1">
      <c r="E841" s="82"/>
      <c r="G841" s="79"/>
      <c r="H841" s="79"/>
      <c r="M841" s="86"/>
      <c r="U841" s="87"/>
      <c r="V841" s="87"/>
      <c r="W841" s="87"/>
      <c r="X841" s="87"/>
    </row>
    <row r="842" ht="15.75" customHeight="1">
      <c r="E842" s="82"/>
      <c r="G842" s="79"/>
      <c r="H842" s="79"/>
      <c r="M842" s="86"/>
      <c r="U842" s="87"/>
      <c r="V842" s="87"/>
      <c r="W842" s="87"/>
      <c r="X842" s="87"/>
    </row>
    <row r="843" ht="15.75" customHeight="1">
      <c r="E843" s="82"/>
      <c r="G843" s="79"/>
      <c r="H843" s="79"/>
      <c r="M843" s="86"/>
      <c r="U843" s="87"/>
      <c r="V843" s="87"/>
      <c r="W843" s="87"/>
      <c r="X843" s="87"/>
    </row>
    <row r="844" ht="15.75" customHeight="1">
      <c r="E844" s="82"/>
      <c r="G844" s="79"/>
      <c r="H844" s="79"/>
      <c r="M844" s="86"/>
      <c r="U844" s="87"/>
      <c r="V844" s="87"/>
      <c r="W844" s="87"/>
      <c r="X844" s="87"/>
    </row>
    <row r="845" ht="15.75" customHeight="1">
      <c r="E845" s="82"/>
      <c r="G845" s="79"/>
      <c r="H845" s="79"/>
      <c r="M845" s="86"/>
      <c r="U845" s="87"/>
      <c r="V845" s="87"/>
      <c r="W845" s="87"/>
      <c r="X845" s="87"/>
    </row>
    <row r="846" ht="15.75" customHeight="1">
      <c r="E846" s="82"/>
      <c r="G846" s="79"/>
      <c r="H846" s="79"/>
      <c r="M846" s="86"/>
      <c r="U846" s="87"/>
      <c r="V846" s="87"/>
      <c r="W846" s="87"/>
      <c r="X846" s="87"/>
    </row>
    <row r="847" ht="15.75" customHeight="1">
      <c r="E847" s="82"/>
      <c r="G847" s="79"/>
      <c r="H847" s="79"/>
      <c r="M847" s="86"/>
      <c r="U847" s="87"/>
      <c r="V847" s="87"/>
      <c r="W847" s="87"/>
      <c r="X847" s="87"/>
    </row>
    <row r="848" ht="15.75" customHeight="1">
      <c r="E848" s="82"/>
      <c r="G848" s="79"/>
      <c r="H848" s="79"/>
      <c r="M848" s="86"/>
      <c r="U848" s="87"/>
      <c r="V848" s="87"/>
      <c r="W848" s="87"/>
      <c r="X848" s="87"/>
    </row>
    <row r="849" ht="15.75" customHeight="1">
      <c r="E849" s="82"/>
      <c r="G849" s="79"/>
      <c r="H849" s="79"/>
      <c r="M849" s="86"/>
      <c r="U849" s="87"/>
      <c r="V849" s="87"/>
      <c r="W849" s="87"/>
      <c r="X849" s="87"/>
    </row>
    <row r="850" ht="15.75" customHeight="1">
      <c r="E850" s="82"/>
      <c r="G850" s="79"/>
      <c r="H850" s="79"/>
      <c r="M850" s="86"/>
      <c r="U850" s="87"/>
      <c r="V850" s="87"/>
      <c r="W850" s="87"/>
      <c r="X850" s="87"/>
    </row>
    <row r="851" ht="15.75" customHeight="1">
      <c r="E851" s="82"/>
      <c r="G851" s="79"/>
      <c r="H851" s="79"/>
      <c r="M851" s="86"/>
      <c r="U851" s="87"/>
      <c r="V851" s="87"/>
      <c r="W851" s="87"/>
      <c r="X851" s="87"/>
    </row>
    <row r="852" ht="15.75" customHeight="1">
      <c r="E852" s="82"/>
      <c r="G852" s="79"/>
      <c r="H852" s="79"/>
      <c r="M852" s="86"/>
      <c r="U852" s="87"/>
      <c r="V852" s="87"/>
      <c r="W852" s="87"/>
      <c r="X852" s="87"/>
    </row>
    <row r="853" ht="15.75" customHeight="1">
      <c r="E853" s="82"/>
      <c r="G853" s="79"/>
      <c r="H853" s="79"/>
      <c r="M853" s="86"/>
      <c r="U853" s="87"/>
      <c r="V853" s="87"/>
      <c r="W853" s="87"/>
      <c r="X853" s="87"/>
    </row>
    <row r="854" ht="15.75" customHeight="1">
      <c r="E854" s="82"/>
      <c r="G854" s="79"/>
      <c r="H854" s="79"/>
      <c r="M854" s="86"/>
      <c r="U854" s="87"/>
      <c r="V854" s="87"/>
      <c r="W854" s="87"/>
      <c r="X854" s="87"/>
    </row>
    <row r="855" ht="15.75" customHeight="1">
      <c r="E855" s="82"/>
      <c r="G855" s="79"/>
      <c r="H855" s="79"/>
      <c r="M855" s="86"/>
      <c r="U855" s="87"/>
      <c r="V855" s="87"/>
      <c r="W855" s="87"/>
      <c r="X855" s="87"/>
    </row>
    <row r="856" ht="15.75" customHeight="1">
      <c r="E856" s="82"/>
      <c r="G856" s="79"/>
      <c r="H856" s="79"/>
      <c r="M856" s="86"/>
      <c r="U856" s="87"/>
      <c r="V856" s="87"/>
      <c r="W856" s="87"/>
      <c r="X856" s="87"/>
    </row>
    <row r="857" ht="15.75" customHeight="1">
      <c r="E857" s="82"/>
      <c r="G857" s="79"/>
      <c r="H857" s="79"/>
      <c r="M857" s="86"/>
      <c r="U857" s="87"/>
      <c r="V857" s="87"/>
      <c r="W857" s="87"/>
      <c r="X857" s="87"/>
    </row>
    <row r="858" ht="15.75" customHeight="1">
      <c r="E858" s="82"/>
      <c r="G858" s="79"/>
      <c r="H858" s="79"/>
      <c r="M858" s="86"/>
      <c r="U858" s="87"/>
      <c r="V858" s="87"/>
      <c r="W858" s="87"/>
      <c r="X858" s="87"/>
    </row>
    <row r="859" ht="15.75" customHeight="1">
      <c r="E859" s="82"/>
      <c r="G859" s="79"/>
      <c r="H859" s="79"/>
      <c r="M859" s="86"/>
      <c r="U859" s="87"/>
      <c r="V859" s="87"/>
      <c r="W859" s="87"/>
      <c r="X859" s="87"/>
    </row>
    <row r="860" ht="15.75" customHeight="1">
      <c r="E860" s="82"/>
      <c r="G860" s="79"/>
      <c r="H860" s="79"/>
      <c r="M860" s="86"/>
      <c r="U860" s="87"/>
      <c r="V860" s="87"/>
      <c r="W860" s="87"/>
      <c r="X860" s="87"/>
    </row>
    <row r="861" ht="15.75" customHeight="1">
      <c r="E861" s="82"/>
      <c r="G861" s="79"/>
      <c r="H861" s="79"/>
      <c r="M861" s="86"/>
      <c r="U861" s="87"/>
      <c r="V861" s="87"/>
      <c r="W861" s="87"/>
      <c r="X861" s="87"/>
    </row>
    <row r="862" ht="15.75" customHeight="1">
      <c r="E862" s="82"/>
      <c r="G862" s="79"/>
      <c r="H862" s="79"/>
      <c r="M862" s="86"/>
      <c r="U862" s="87"/>
      <c r="V862" s="87"/>
      <c r="W862" s="87"/>
      <c r="X862" s="87"/>
    </row>
    <row r="863" ht="15.75" customHeight="1">
      <c r="E863" s="82"/>
      <c r="G863" s="79"/>
      <c r="H863" s="79"/>
      <c r="M863" s="86"/>
      <c r="U863" s="87"/>
      <c r="V863" s="87"/>
      <c r="W863" s="87"/>
      <c r="X863" s="87"/>
    </row>
    <row r="864" ht="15.75" customHeight="1">
      <c r="E864" s="82"/>
      <c r="G864" s="79"/>
      <c r="H864" s="79"/>
      <c r="M864" s="86"/>
      <c r="U864" s="87"/>
      <c r="V864" s="87"/>
      <c r="W864" s="87"/>
      <c r="X864" s="87"/>
    </row>
    <row r="865" ht="15.75" customHeight="1">
      <c r="E865" s="82"/>
      <c r="G865" s="79"/>
      <c r="H865" s="79"/>
      <c r="M865" s="86"/>
      <c r="U865" s="87"/>
      <c r="V865" s="87"/>
      <c r="W865" s="87"/>
      <c r="X865" s="87"/>
    </row>
    <row r="866" ht="15.75" customHeight="1">
      <c r="E866" s="82"/>
      <c r="G866" s="79"/>
      <c r="H866" s="79"/>
      <c r="M866" s="86"/>
      <c r="U866" s="87"/>
      <c r="V866" s="87"/>
      <c r="W866" s="87"/>
      <c r="X866" s="87"/>
    </row>
    <row r="867" ht="15.75" customHeight="1">
      <c r="E867" s="82"/>
      <c r="G867" s="79"/>
      <c r="H867" s="79"/>
      <c r="M867" s="86"/>
      <c r="U867" s="87"/>
      <c r="V867" s="87"/>
      <c r="W867" s="87"/>
      <c r="X867" s="87"/>
    </row>
    <row r="868" ht="15.75" customHeight="1">
      <c r="E868" s="82"/>
      <c r="G868" s="79"/>
      <c r="H868" s="79"/>
      <c r="M868" s="86"/>
      <c r="U868" s="87"/>
      <c r="V868" s="87"/>
      <c r="W868" s="87"/>
      <c r="X868" s="87"/>
    </row>
    <row r="869" ht="15.75" customHeight="1">
      <c r="E869" s="82"/>
      <c r="G869" s="79"/>
      <c r="H869" s="79"/>
      <c r="M869" s="86"/>
      <c r="U869" s="87"/>
      <c r="V869" s="87"/>
      <c r="W869" s="87"/>
      <c r="X869" s="87"/>
    </row>
    <row r="870" ht="15.75" customHeight="1">
      <c r="E870" s="82"/>
      <c r="G870" s="79"/>
      <c r="H870" s="79"/>
      <c r="M870" s="86"/>
      <c r="U870" s="87"/>
      <c r="V870" s="87"/>
      <c r="W870" s="87"/>
      <c r="X870" s="87"/>
    </row>
    <row r="871" ht="15.75" customHeight="1">
      <c r="E871" s="82"/>
      <c r="G871" s="79"/>
      <c r="H871" s="79"/>
      <c r="M871" s="86"/>
      <c r="U871" s="87"/>
      <c r="V871" s="87"/>
      <c r="W871" s="87"/>
      <c r="X871" s="87"/>
    </row>
    <row r="872" ht="15.75" customHeight="1">
      <c r="E872" s="82"/>
      <c r="G872" s="79"/>
      <c r="H872" s="79"/>
      <c r="M872" s="86"/>
      <c r="U872" s="87"/>
      <c r="V872" s="87"/>
      <c r="W872" s="87"/>
      <c r="X872" s="87"/>
    </row>
    <row r="873" ht="15.75" customHeight="1">
      <c r="E873" s="82"/>
      <c r="G873" s="79"/>
      <c r="H873" s="79"/>
      <c r="M873" s="86"/>
      <c r="U873" s="87"/>
      <c r="V873" s="87"/>
      <c r="W873" s="87"/>
      <c r="X873" s="87"/>
    </row>
    <row r="874" ht="15.75" customHeight="1">
      <c r="E874" s="82"/>
      <c r="G874" s="79"/>
      <c r="H874" s="79"/>
      <c r="M874" s="86"/>
      <c r="U874" s="87"/>
      <c r="V874" s="87"/>
      <c r="W874" s="87"/>
      <c r="X874" s="87"/>
    </row>
    <row r="875" ht="15.75" customHeight="1">
      <c r="E875" s="82"/>
      <c r="G875" s="79"/>
      <c r="H875" s="79"/>
      <c r="M875" s="86"/>
      <c r="U875" s="87"/>
      <c r="V875" s="87"/>
      <c r="W875" s="87"/>
      <c r="X875" s="87"/>
    </row>
    <row r="876" ht="15.75" customHeight="1">
      <c r="E876" s="82"/>
      <c r="G876" s="79"/>
      <c r="H876" s="79"/>
      <c r="M876" s="86"/>
      <c r="U876" s="87"/>
      <c r="V876" s="87"/>
      <c r="W876" s="87"/>
      <c r="X876" s="87"/>
    </row>
    <row r="877" ht="15.75" customHeight="1">
      <c r="E877" s="82"/>
      <c r="G877" s="79"/>
      <c r="H877" s="79"/>
      <c r="M877" s="86"/>
      <c r="U877" s="87"/>
      <c r="V877" s="87"/>
      <c r="W877" s="87"/>
      <c r="X877" s="87"/>
    </row>
    <row r="878" ht="15.75" customHeight="1">
      <c r="E878" s="82"/>
      <c r="G878" s="79"/>
      <c r="H878" s="79"/>
      <c r="M878" s="86"/>
      <c r="U878" s="87"/>
      <c r="V878" s="87"/>
      <c r="W878" s="87"/>
      <c r="X878" s="87"/>
    </row>
    <row r="879" ht="15.75" customHeight="1">
      <c r="E879" s="82"/>
      <c r="G879" s="79"/>
      <c r="H879" s="79"/>
      <c r="M879" s="86"/>
      <c r="U879" s="87"/>
      <c r="V879" s="87"/>
      <c r="W879" s="87"/>
      <c r="X879" s="87"/>
    </row>
    <row r="880" ht="15.75" customHeight="1">
      <c r="E880" s="82"/>
      <c r="G880" s="79"/>
      <c r="H880" s="79"/>
      <c r="M880" s="86"/>
      <c r="U880" s="87"/>
      <c r="V880" s="87"/>
      <c r="W880" s="87"/>
      <c r="X880" s="87"/>
    </row>
    <row r="881" ht="15.75" customHeight="1">
      <c r="E881" s="82"/>
      <c r="G881" s="79"/>
      <c r="H881" s="79"/>
      <c r="M881" s="86"/>
      <c r="U881" s="87"/>
      <c r="V881" s="87"/>
      <c r="W881" s="87"/>
      <c r="X881" s="87"/>
    </row>
    <row r="882" ht="15.75" customHeight="1">
      <c r="E882" s="82"/>
      <c r="G882" s="79"/>
      <c r="H882" s="79"/>
      <c r="M882" s="86"/>
      <c r="U882" s="87"/>
      <c r="V882" s="87"/>
      <c r="W882" s="87"/>
      <c r="X882" s="87"/>
    </row>
    <row r="883" ht="15.75" customHeight="1">
      <c r="E883" s="82"/>
      <c r="G883" s="79"/>
      <c r="H883" s="79"/>
      <c r="M883" s="86"/>
      <c r="U883" s="87"/>
      <c r="V883" s="87"/>
      <c r="W883" s="87"/>
      <c r="X883" s="87"/>
    </row>
    <row r="884" ht="15.75" customHeight="1">
      <c r="E884" s="82"/>
      <c r="G884" s="79"/>
      <c r="H884" s="79"/>
      <c r="M884" s="86"/>
      <c r="U884" s="87"/>
      <c r="V884" s="87"/>
      <c r="W884" s="87"/>
      <c r="X884" s="87"/>
    </row>
    <row r="885" ht="15.75" customHeight="1">
      <c r="E885" s="82"/>
      <c r="G885" s="79"/>
      <c r="H885" s="79"/>
      <c r="M885" s="86"/>
      <c r="U885" s="87"/>
      <c r="V885" s="87"/>
      <c r="W885" s="87"/>
      <c r="X885" s="87"/>
    </row>
    <row r="886" ht="15.75" customHeight="1">
      <c r="E886" s="82"/>
      <c r="G886" s="79"/>
      <c r="H886" s="79"/>
      <c r="M886" s="86"/>
      <c r="U886" s="87"/>
      <c r="V886" s="87"/>
      <c r="W886" s="87"/>
      <c r="X886" s="87"/>
    </row>
    <row r="887" ht="15.75" customHeight="1">
      <c r="E887" s="82"/>
      <c r="G887" s="79"/>
      <c r="H887" s="79"/>
      <c r="M887" s="86"/>
      <c r="U887" s="87"/>
      <c r="V887" s="87"/>
      <c r="W887" s="87"/>
      <c r="X887" s="87"/>
    </row>
    <row r="888" ht="15.75" customHeight="1">
      <c r="E888" s="82"/>
      <c r="G888" s="79"/>
      <c r="H888" s="79"/>
      <c r="M888" s="86"/>
      <c r="U888" s="87"/>
      <c r="V888" s="87"/>
      <c r="W888" s="87"/>
      <c r="X888" s="87"/>
    </row>
    <row r="889" ht="15.75" customHeight="1">
      <c r="E889" s="82"/>
      <c r="G889" s="79"/>
      <c r="H889" s="79"/>
      <c r="M889" s="86"/>
      <c r="U889" s="87"/>
      <c r="V889" s="87"/>
      <c r="W889" s="87"/>
      <c r="X889" s="87"/>
    </row>
    <row r="890" ht="15.75" customHeight="1">
      <c r="E890" s="82"/>
      <c r="G890" s="79"/>
      <c r="H890" s="79"/>
      <c r="M890" s="86"/>
      <c r="U890" s="87"/>
      <c r="V890" s="87"/>
      <c r="W890" s="87"/>
      <c r="X890" s="87"/>
    </row>
    <row r="891" ht="15.75" customHeight="1">
      <c r="E891" s="82"/>
      <c r="G891" s="79"/>
      <c r="H891" s="79"/>
      <c r="M891" s="86"/>
      <c r="U891" s="87"/>
      <c r="V891" s="87"/>
      <c r="W891" s="87"/>
      <c r="X891" s="87"/>
    </row>
    <row r="892" ht="15.75" customHeight="1">
      <c r="E892" s="82"/>
      <c r="G892" s="79"/>
      <c r="H892" s="79"/>
      <c r="M892" s="86"/>
      <c r="U892" s="87"/>
      <c r="V892" s="87"/>
      <c r="W892" s="87"/>
      <c r="X892" s="87"/>
    </row>
    <row r="893" ht="15.75" customHeight="1">
      <c r="E893" s="82"/>
      <c r="G893" s="79"/>
      <c r="H893" s="79"/>
      <c r="M893" s="86"/>
      <c r="U893" s="87"/>
      <c r="V893" s="87"/>
      <c r="W893" s="87"/>
      <c r="X893" s="87"/>
    </row>
    <row r="894" ht="15.75" customHeight="1">
      <c r="E894" s="82"/>
      <c r="G894" s="79"/>
      <c r="H894" s="79"/>
      <c r="M894" s="86"/>
      <c r="U894" s="87"/>
      <c r="V894" s="87"/>
      <c r="W894" s="87"/>
      <c r="X894" s="87"/>
    </row>
    <row r="895" ht="15.75" customHeight="1">
      <c r="E895" s="82"/>
      <c r="G895" s="79"/>
      <c r="H895" s="79"/>
      <c r="M895" s="86"/>
      <c r="U895" s="87"/>
      <c r="V895" s="87"/>
      <c r="W895" s="87"/>
      <c r="X895" s="87"/>
    </row>
    <row r="896" ht="15.75" customHeight="1">
      <c r="E896" s="82"/>
      <c r="G896" s="79"/>
      <c r="H896" s="79"/>
      <c r="M896" s="86"/>
      <c r="U896" s="87"/>
      <c r="V896" s="87"/>
      <c r="W896" s="87"/>
      <c r="X896" s="87"/>
    </row>
    <row r="897" ht="15.75" customHeight="1">
      <c r="E897" s="82"/>
      <c r="G897" s="79"/>
      <c r="H897" s="79"/>
      <c r="M897" s="86"/>
      <c r="U897" s="87"/>
      <c r="V897" s="87"/>
      <c r="W897" s="87"/>
      <c r="X897" s="87"/>
    </row>
    <row r="898" ht="15.75" customHeight="1">
      <c r="E898" s="82"/>
      <c r="G898" s="79"/>
      <c r="H898" s="79"/>
      <c r="M898" s="86"/>
      <c r="U898" s="87"/>
      <c r="V898" s="87"/>
      <c r="W898" s="87"/>
      <c r="X898" s="87"/>
    </row>
    <row r="899" ht="15.75" customHeight="1">
      <c r="E899" s="82"/>
      <c r="G899" s="79"/>
      <c r="H899" s="79"/>
      <c r="M899" s="86"/>
      <c r="U899" s="87"/>
      <c r="V899" s="87"/>
      <c r="W899" s="87"/>
      <c r="X899" s="87"/>
    </row>
    <row r="900" ht="15.75" customHeight="1">
      <c r="E900" s="82"/>
      <c r="G900" s="79"/>
      <c r="H900" s="79"/>
      <c r="M900" s="86"/>
      <c r="U900" s="87"/>
      <c r="V900" s="87"/>
      <c r="W900" s="87"/>
      <c r="X900" s="87"/>
    </row>
    <row r="901" ht="15.75" customHeight="1">
      <c r="E901" s="82"/>
      <c r="G901" s="79"/>
      <c r="H901" s="79"/>
      <c r="M901" s="86"/>
      <c r="U901" s="87"/>
      <c r="V901" s="87"/>
      <c r="W901" s="87"/>
      <c r="X901" s="87"/>
    </row>
    <row r="902" ht="15.75" customHeight="1">
      <c r="E902" s="82"/>
      <c r="G902" s="79"/>
      <c r="H902" s="79"/>
      <c r="M902" s="86"/>
      <c r="U902" s="87"/>
      <c r="V902" s="87"/>
      <c r="W902" s="87"/>
      <c r="X902" s="87"/>
    </row>
    <row r="903" ht="15.75" customHeight="1">
      <c r="E903" s="82"/>
      <c r="G903" s="79"/>
      <c r="H903" s="79"/>
      <c r="M903" s="86"/>
      <c r="U903" s="87"/>
      <c r="V903" s="87"/>
      <c r="W903" s="87"/>
      <c r="X903" s="87"/>
    </row>
    <row r="904" ht="15.75" customHeight="1">
      <c r="E904" s="82"/>
      <c r="G904" s="79"/>
      <c r="H904" s="79"/>
      <c r="M904" s="86"/>
      <c r="U904" s="87"/>
      <c r="V904" s="87"/>
      <c r="W904" s="87"/>
      <c r="X904" s="87"/>
    </row>
    <row r="905" ht="15.75" customHeight="1">
      <c r="E905" s="82"/>
      <c r="G905" s="79"/>
      <c r="H905" s="79"/>
      <c r="M905" s="86"/>
      <c r="U905" s="87"/>
      <c r="V905" s="87"/>
      <c r="W905" s="87"/>
      <c r="X905" s="87"/>
    </row>
    <row r="906" ht="15.75" customHeight="1">
      <c r="E906" s="82"/>
      <c r="G906" s="79"/>
      <c r="H906" s="79"/>
      <c r="M906" s="86"/>
      <c r="U906" s="87"/>
      <c r="V906" s="87"/>
      <c r="W906" s="87"/>
      <c r="X906" s="87"/>
    </row>
    <row r="907" ht="15.75" customHeight="1">
      <c r="E907" s="82"/>
      <c r="G907" s="79"/>
      <c r="H907" s="79"/>
      <c r="M907" s="86"/>
      <c r="U907" s="87"/>
      <c r="V907" s="87"/>
      <c r="W907" s="87"/>
      <c r="X907" s="87"/>
    </row>
    <row r="908" ht="15.75" customHeight="1">
      <c r="E908" s="82"/>
      <c r="G908" s="79"/>
      <c r="H908" s="79"/>
      <c r="M908" s="86"/>
      <c r="U908" s="87"/>
      <c r="V908" s="87"/>
      <c r="W908" s="87"/>
      <c r="X908" s="87"/>
    </row>
    <row r="909" ht="15.75" customHeight="1">
      <c r="E909" s="82"/>
      <c r="G909" s="79"/>
      <c r="H909" s="79"/>
      <c r="M909" s="86"/>
      <c r="U909" s="87"/>
      <c r="V909" s="87"/>
      <c r="W909" s="87"/>
      <c r="X909" s="87"/>
    </row>
    <row r="910" ht="15.75" customHeight="1">
      <c r="E910" s="82"/>
      <c r="G910" s="79"/>
      <c r="H910" s="79"/>
      <c r="M910" s="86"/>
      <c r="U910" s="87"/>
      <c r="V910" s="87"/>
      <c r="W910" s="87"/>
      <c r="X910" s="87"/>
    </row>
    <row r="911" ht="15.75" customHeight="1">
      <c r="E911" s="82"/>
      <c r="G911" s="79"/>
      <c r="H911" s="79"/>
      <c r="M911" s="86"/>
      <c r="U911" s="87"/>
      <c r="V911" s="87"/>
      <c r="W911" s="87"/>
      <c r="X911" s="87"/>
    </row>
    <row r="912" ht="15.75" customHeight="1">
      <c r="E912" s="82"/>
      <c r="G912" s="79"/>
      <c r="H912" s="79"/>
      <c r="M912" s="86"/>
      <c r="U912" s="87"/>
      <c r="V912" s="87"/>
      <c r="W912" s="87"/>
      <c r="X912" s="87"/>
    </row>
    <row r="913" ht="15.75" customHeight="1">
      <c r="E913" s="82"/>
      <c r="G913" s="79"/>
      <c r="H913" s="79"/>
      <c r="M913" s="86"/>
      <c r="U913" s="87"/>
      <c r="V913" s="87"/>
      <c r="W913" s="87"/>
      <c r="X913" s="87"/>
    </row>
    <row r="914" ht="15.75" customHeight="1">
      <c r="E914" s="82"/>
      <c r="G914" s="79"/>
      <c r="H914" s="79"/>
      <c r="M914" s="86"/>
      <c r="U914" s="87"/>
      <c r="V914" s="87"/>
      <c r="W914" s="87"/>
      <c r="X914" s="87"/>
    </row>
    <row r="915" ht="15.75" customHeight="1">
      <c r="E915" s="82"/>
      <c r="G915" s="79"/>
      <c r="H915" s="79"/>
      <c r="M915" s="86"/>
      <c r="U915" s="87"/>
      <c r="V915" s="87"/>
      <c r="W915" s="87"/>
      <c r="X915" s="87"/>
    </row>
    <row r="916" ht="15.75" customHeight="1">
      <c r="E916" s="82"/>
      <c r="G916" s="79"/>
      <c r="H916" s="79"/>
      <c r="M916" s="86"/>
      <c r="U916" s="87"/>
      <c r="V916" s="87"/>
      <c r="W916" s="87"/>
      <c r="X916" s="87"/>
    </row>
    <row r="917" ht="15.75" customHeight="1">
      <c r="E917" s="82"/>
      <c r="G917" s="79"/>
      <c r="H917" s="79"/>
      <c r="M917" s="86"/>
      <c r="U917" s="87"/>
      <c r="V917" s="87"/>
      <c r="W917" s="87"/>
      <c r="X917" s="87"/>
    </row>
    <row r="918" ht="15.75" customHeight="1">
      <c r="E918" s="82"/>
      <c r="G918" s="79"/>
      <c r="H918" s="79"/>
      <c r="M918" s="86"/>
      <c r="U918" s="87"/>
      <c r="V918" s="87"/>
      <c r="W918" s="87"/>
      <c r="X918" s="87"/>
    </row>
    <row r="919" ht="15.75" customHeight="1">
      <c r="E919" s="82"/>
      <c r="G919" s="79"/>
      <c r="H919" s="79"/>
      <c r="M919" s="86"/>
      <c r="U919" s="87"/>
      <c r="V919" s="87"/>
      <c r="W919" s="87"/>
      <c r="X919" s="87"/>
    </row>
    <row r="920" ht="15.75" customHeight="1">
      <c r="E920" s="82"/>
      <c r="G920" s="79"/>
      <c r="H920" s="79"/>
      <c r="M920" s="86"/>
      <c r="U920" s="87"/>
      <c r="V920" s="87"/>
      <c r="W920" s="87"/>
      <c r="X920" s="87"/>
    </row>
    <row r="921" ht="15.75" customHeight="1">
      <c r="E921" s="82"/>
      <c r="G921" s="79"/>
      <c r="H921" s="79"/>
      <c r="M921" s="86"/>
      <c r="U921" s="87"/>
      <c r="V921" s="87"/>
      <c r="W921" s="87"/>
      <c r="X921" s="87"/>
    </row>
    <row r="922" ht="15.75" customHeight="1">
      <c r="E922" s="82"/>
      <c r="G922" s="79"/>
      <c r="H922" s="79"/>
      <c r="M922" s="86"/>
      <c r="U922" s="87"/>
      <c r="V922" s="87"/>
      <c r="W922" s="87"/>
      <c r="X922" s="87"/>
    </row>
    <row r="923" ht="15.75" customHeight="1">
      <c r="E923" s="82"/>
      <c r="G923" s="79"/>
      <c r="H923" s="79"/>
      <c r="M923" s="86"/>
      <c r="U923" s="87"/>
      <c r="V923" s="87"/>
      <c r="W923" s="87"/>
      <c r="X923" s="87"/>
    </row>
    <row r="924" ht="15.75" customHeight="1">
      <c r="E924" s="82"/>
      <c r="G924" s="79"/>
      <c r="H924" s="79"/>
      <c r="M924" s="86"/>
      <c r="U924" s="87"/>
      <c r="V924" s="87"/>
      <c r="W924" s="87"/>
      <c r="X924" s="87"/>
    </row>
    <row r="925" ht="15.75" customHeight="1">
      <c r="E925" s="82"/>
      <c r="G925" s="79"/>
      <c r="H925" s="79"/>
      <c r="M925" s="86"/>
      <c r="U925" s="87"/>
      <c r="V925" s="87"/>
      <c r="W925" s="87"/>
      <c r="X925" s="87"/>
    </row>
    <row r="926" ht="15.75" customHeight="1">
      <c r="E926" s="82"/>
      <c r="G926" s="79"/>
      <c r="H926" s="79"/>
      <c r="M926" s="86"/>
      <c r="U926" s="87"/>
      <c r="V926" s="87"/>
      <c r="W926" s="87"/>
      <c r="X926" s="87"/>
    </row>
    <row r="927" ht="15.75" customHeight="1">
      <c r="E927" s="82"/>
      <c r="G927" s="79"/>
      <c r="H927" s="79"/>
      <c r="M927" s="86"/>
      <c r="U927" s="87"/>
      <c r="V927" s="87"/>
      <c r="W927" s="87"/>
      <c r="X927" s="87"/>
    </row>
    <row r="928" ht="15.75" customHeight="1">
      <c r="E928" s="82"/>
      <c r="G928" s="79"/>
      <c r="H928" s="79"/>
      <c r="M928" s="86"/>
      <c r="U928" s="87"/>
      <c r="V928" s="87"/>
      <c r="W928" s="87"/>
      <c r="X928" s="87"/>
    </row>
    <row r="929" ht="15.75" customHeight="1">
      <c r="E929" s="82"/>
      <c r="G929" s="79"/>
      <c r="H929" s="79"/>
      <c r="M929" s="86"/>
      <c r="U929" s="87"/>
      <c r="V929" s="87"/>
      <c r="W929" s="87"/>
      <c r="X929" s="87"/>
    </row>
    <row r="930" ht="15.75" customHeight="1">
      <c r="E930" s="82"/>
      <c r="G930" s="79"/>
      <c r="H930" s="79"/>
      <c r="M930" s="86"/>
      <c r="U930" s="87"/>
      <c r="V930" s="87"/>
      <c r="W930" s="87"/>
      <c r="X930" s="87"/>
    </row>
    <row r="931" ht="15.75" customHeight="1">
      <c r="E931" s="82"/>
      <c r="G931" s="79"/>
      <c r="H931" s="79"/>
      <c r="M931" s="86"/>
      <c r="U931" s="87"/>
      <c r="V931" s="87"/>
      <c r="W931" s="87"/>
      <c r="X931" s="87"/>
    </row>
    <row r="932" ht="15.75" customHeight="1">
      <c r="E932" s="82"/>
      <c r="G932" s="79"/>
      <c r="H932" s="79"/>
      <c r="M932" s="86"/>
      <c r="U932" s="87"/>
      <c r="V932" s="87"/>
      <c r="W932" s="87"/>
      <c r="X932" s="87"/>
    </row>
    <row r="933" ht="15.75" customHeight="1">
      <c r="E933" s="82"/>
      <c r="G933" s="79"/>
      <c r="H933" s="79"/>
      <c r="M933" s="86"/>
      <c r="U933" s="87"/>
      <c r="V933" s="87"/>
      <c r="W933" s="87"/>
      <c r="X933" s="87"/>
    </row>
    <row r="934" ht="15.75" customHeight="1">
      <c r="E934" s="82"/>
      <c r="G934" s="79"/>
      <c r="H934" s="79"/>
      <c r="M934" s="86"/>
      <c r="U934" s="87"/>
      <c r="V934" s="87"/>
      <c r="W934" s="87"/>
      <c r="X934" s="87"/>
    </row>
    <row r="935" ht="15.75" customHeight="1">
      <c r="E935" s="82"/>
      <c r="G935" s="79"/>
      <c r="H935" s="79"/>
      <c r="M935" s="86"/>
      <c r="U935" s="87"/>
      <c r="V935" s="87"/>
      <c r="W935" s="87"/>
      <c r="X935" s="87"/>
    </row>
    <row r="936" ht="15.75" customHeight="1">
      <c r="E936" s="82"/>
      <c r="G936" s="79"/>
      <c r="H936" s="79"/>
      <c r="M936" s="86"/>
      <c r="U936" s="87"/>
      <c r="V936" s="87"/>
      <c r="W936" s="87"/>
      <c r="X936" s="87"/>
    </row>
    <row r="937" ht="15.75" customHeight="1">
      <c r="E937" s="82"/>
      <c r="G937" s="79"/>
      <c r="H937" s="79"/>
      <c r="M937" s="86"/>
      <c r="U937" s="87"/>
      <c r="V937" s="87"/>
      <c r="W937" s="87"/>
      <c r="X937" s="87"/>
    </row>
    <row r="938" ht="15.75" customHeight="1">
      <c r="E938" s="82"/>
      <c r="G938" s="79"/>
      <c r="H938" s="79"/>
      <c r="M938" s="86"/>
      <c r="U938" s="87"/>
      <c r="V938" s="87"/>
      <c r="W938" s="87"/>
      <c r="X938" s="87"/>
    </row>
    <row r="939" ht="15.75" customHeight="1">
      <c r="E939" s="82"/>
      <c r="G939" s="79"/>
      <c r="H939" s="79"/>
      <c r="M939" s="86"/>
      <c r="U939" s="87"/>
      <c r="V939" s="87"/>
      <c r="W939" s="87"/>
      <c r="X939" s="87"/>
    </row>
    <row r="940" ht="15.75" customHeight="1">
      <c r="E940" s="82"/>
      <c r="G940" s="79"/>
      <c r="H940" s="79"/>
      <c r="M940" s="86"/>
      <c r="U940" s="87"/>
      <c r="V940" s="87"/>
      <c r="W940" s="87"/>
      <c r="X940" s="87"/>
    </row>
    <row r="941" ht="15.75" customHeight="1">
      <c r="E941" s="82"/>
      <c r="G941" s="79"/>
      <c r="H941" s="79"/>
      <c r="M941" s="86"/>
      <c r="U941" s="87"/>
      <c r="V941" s="87"/>
      <c r="W941" s="87"/>
      <c r="X941" s="87"/>
    </row>
    <row r="942" ht="15.75" customHeight="1">
      <c r="E942" s="82"/>
      <c r="G942" s="79"/>
      <c r="H942" s="79"/>
      <c r="M942" s="86"/>
      <c r="U942" s="87"/>
      <c r="V942" s="87"/>
      <c r="W942" s="87"/>
      <c r="X942" s="87"/>
    </row>
    <row r="943" ht="15.75" customHeight="1">
      <c r="E943" s="82"/>
      <c r="G943" s="79"/>
      <c r="H943" s="79"/>
      <c r="M943" s="86"/>
      <c r="U943" s="87"/>
      <c r="V943" s="87"/>
      <c r="W943" s="87"/>
      <c r="X943" s="87"/>
    </row>
    <row r="944" ht="15.75" customHeight="1">
      <c r="E944" s="82"/>
      <c r="G944" s="79"/>
      <c r="H944" s="79"/>
      <c r="M944" s="86"/>
      <c r="U944" s="87"/>
      <c r="V944" s="87"/>
      <c r="W944" s="87"/>
      <c r="X944" s="87"/>
    </row>
    <row r="945" ht="15.75" customHeight="1">
      <c r="E945" s="82"/>
      <c r="G945" s="79"/>
      <c r="H945" s="79"/>
      <c r="M945" s="86"/>
      <c r="U945" s="87"/>
      <c r="V945" s="87"/>
      <c r="W945" s="87"/>
      <c r="X945" s="87"/>
    </row>
    <row r="946" ht="15.75" customHeight="1">
      <c r="E946" s="82"/>
      <c r="G946" s="79"/>
      <c r="H946" s="79"/>
      <c r="M946" s="86"/>
      <c r="U946" s="87"/>
      <c r="V946" s="87"/>
      <c r="W946" s="87"/>
      <c r="X946" s="87"/>
    </row>
    <row r="947" ht="15.75" customHeight="1">
      <c r="E947" s="82"/>
      <c r="G947" s="79"/>
      <c r="H947" s="79"/>
      <c r="M947" s="86"/>
      <c r="U947" s="87"/>
      <c r="V947" s="87"/>
      <c r="W947" s="87"/>
      <c r="X947" s="87"/>
    </row>
    <row r="948" ht="15.75" customHeight="1">
      <c r="E948" s="82"/>
      <c r="G948" s="79"/>
      <c r="H948" s="79"/>
      <c r="M948" s="86"/>
      <c r="U948" s="87"/>
      <c r="V948" s="87"/>
      <c r="W948" s="87"/>
      <c r="X948" s="87"/>
    </row>
    <row r="949" ht="15.75" customHeight="1">
      <c r="E949" s="82"/>
      <c r="G949" s="79"/>
      <c r="H949" s="79"/>
      <c r="M949" s="86"/>
      <c r="U949" s="87"/>
      <c r="V949" s="87"/>
      <c r="W949" s="87"/>
      <c r="X949" s="87"/>
    </row>
    <row r="950" ht="15.75" customHeight="1">
      <c r="E950" s="82"/>
      <c r="G950" s="79"/>
      <c r="H950" s="79"/>
      <c r="M950" s="86"/>
      <c r="U950" s="87"/>
      <c r="V950" s="87"/>
      <c r="W950" s="87"/>
      <c r="X950" s="87"/>
    </row>
    <row r="951" ht="15.75" customHeight="1">
      <c r="E951" s="82"/>
      <c r="G951" s="79"/>
      <c r="H951" s="79"/>
      <c r="M951" s="86"/>
      <c r="U951" s="87"/>
      <c r="V951" s="87"/>
      <c r="W951" s="87"/>
      <c r="X951" s="87"/>
    </row>
    <row r="952" ht="15.75" customHeight="1">
      <c r="E952" s="82"/>
      <c r="G952" s="79"/>
      <c r="H952" s="79"/>
      <c r="M952" s="86"/>
      <c r="U952" s="87"/>
      <c r="V952" s="87"/>
      <c r="W952" s="87"/>
      <c r="X952" s="87"/>
    </row>
    <row r="953" ht="15.75" customHeight="1">
      <c r="E953" s="82"/>
      <c r="G953" s="79"/>
      <c r="H953" s="79"/>
      <c r="M953" s="86"/>
      <c r="U953" s="87"/>
      <c r="V953" s="87"/>
      <c r="W953" s="87"/>
      <c r="X953" s="87"/>
    </row>
    <row r="954" ht="15.75" customHeight="1">
      <c r="E954" s="82"/>
      <c r="G954" s="79"/>
      <c r="H954" s="79"/>
      <c r="M954" s="86"/>
      <c r="U954" s="87"/>
      <c r="V954" s="87"/>
      <c r="W954" s="87"/>
      <c r="X954" s="87"/>
    </row>
    <row r="955" ht="15.75" customHeight="1">
      <c r="E955" s="82"/>
      <c r="G955" s="79"/>
      <c r="H955" s="79"/>
      <c r="M955" s="86"/>
      <c r="U955" s="87"/>
      <c r="V955" s="87"/>
      <c r="W955" s="87"/>
      <c r="X955" s="87"/>
    </row>
    <row r="956" ht="15.75" customHeight="1">
      <c r="E956" s="82"/>
      <c r="G956" s="79"/>
      <c r="H956" s="79"/>
      <c r="M956" s="86"/>
      <c r="U956" s="87"/>
      <c r="V956" s="87"/>
      <c r="W956" s="87"/>
      <c r="X956" s="87"/>
    </row>
    <row r="957" ht="15.75" customHeight="1">
      <c r="E957" s="82"/>
      <c r="G957" s="79"/>
      <c r="H957" s="79"/>
      <c r="M957" s="86"/>
      <c r="U957" s="87"/>
      <c r="V957" s="87"/>
      <c r="W957" s="87"/>
      <c r="X957" s="87"/>
    </row>
    <row r="958" ht="15.75" customHeight="1">
      <c r="E958" s="82"/>
      <c r="G958" s="79"/>
      <c r="H958" s="79"/>
      <c r="M958" s="86"/>
      <c r="U958" s="87"/>
      <c r="V958" s="87"/>
      <c r="W958" s="87"/>
      <c r="X958" s="87"/>
    </row>
    <row r="959" ht="15.75" customHeight="1">
      <c r="E959" s="82"/>
      <c r="G959" s="79"/>
      <c r="H959" s="79"/>
      <c r="M959" s="86"/>
      <c r="U959" s="87"/>
      <c r="V959" s="87"/>
      <c r="W959" s="87"/>
      <c r="X959" s="87"/>
    </row>
    <row r="960" ht="15.75" customHeight="1">
      <c r="E960" s="82"/>
      <c r="G960" s="79"/>
      <c r="H960" s="79"/>
      <c r="M960" s="86"/>
      <c r="U960" s="87"/>
      <c r="V960" s="87"/>
      <c r="W960" s="87"/>
      <c r="X960" s="87"/>
    </row>
    <row r="961" ht="15.75" customHeight="1">
      <c r="E961" s="82"/>
      <c r="G961" s="79"/>
      <c r="H961" s="79"/>
      <c r="M961" s="86"/>
      <c r="U961" s="87"/>
      <c r="V961" s="87"/>
      <c r="W961" s="87"/>
      <c r="X961" s="87"/>
    </row>
    <row r="962" ht="15.75" customHeight="1">
      <c r="E962" s="82"/>
      <c r="G962" s="79"/>
      <c r="H962" s="79"/>
      <c r="M962" s="86"/>
      <c r="U962" s="87"/>
      <c r="V962" s="87"/>
      <c r="W962" s="87"/>
      <c r="X962" s="87"/>
    </row>
    <row r="963" ht="15.75" customHeight="1">
      <c r="E963" s="82"/>
      <c r="G963" s="79"/>
      <c r="H963" s="79"/>
      <c r="M963" s="86"/>
      <c r="U963" s="87"/>
      <c r="V963" s="87"/>
      <c r="W963" s="87"/>
      <c r="X963" s="87"/>
    </row>
    <row r="964" ht="15.75" customHeight="1">
      <c r="E964" s="82"/>
      <c r="G964" s="79"/>
      <c r="H964" s="79"/>
      <c r="M964" s="86"/>
      <c r="U964" s="87"/>
      <c r="V964" s="87"/>
      <c r="W964" s="87"/>
      <c r="X964" s="87"/>
    </row>
    <row r="965" ht="15.75" customHeight="1">
      <c r="E965" s="82"/>
      <c r="G965" s="79"/>
      <c r="H965" s="79"/>
      <c r="M965" s="86"/>
      <c r="U965" s="87"/>
      <c r="V965" s="87"/>
      <c r="W965" s="87"/>
      <c r="X965" s="87"/>
    </row>
    <row r="966" ht="15.75" customHeight="1">
      <c r="E966" s="82"/>
      <c r="G966" s="79"/>
      <c r="H966" s="79"/>
      <c r="M966" s="86"/>
      <c r="U966" s="87"/>
      <c r="V966" s="87"/>
      <c r="W966" s="87"/>
      <c r="X966" s="87"/>
    </row>
    <row r="967" ht="15.75" customHeight="1">
      <c r="E967" s="82"/>
      <c r="G967" s="79"/>
      <c r="H967" s="79"/>
      <c r="M967" s="86"/>
      <c r="U967" s="87"/>
      <c r="V967" s="87"/>
      <c r="W967" s="87"/>
      <c r="X967" s="87"/>
    </row>
    <row r="968" ht="15.75" customHeight="1">
      <c r="E968" s="82"/>
      <c r="G968" s="79"/>
      <c r="H968" s="79"/>
      <c r="M968" s="86"/>
      <c r="U968" s="87"/>
      <c r="V968" s="87"/>
      <c r="W968" s="87"/>
      <c r="X968" s="87"/>
    </row>
    <row r="969" ht="15.75" customHeight="1">
      <c r="E969" s="82"/>
      <c r="G969" s="79"/>
      <c r="H969" s="79"/>
      <c r="M969" s="86"/>
      <c r="U969" s="87"/>
      <c r="V969" s="87"/>
      <c r="W969" s="87"/>
      <c r="X969" s="87"/>
    </row>
    <row r="970" ht="15.75" customHeight="1">
      <c r="E970" s="82"/>
      <c r="G970" s="79"/>
      <c r="H970" s="79"/>
      <c r="M970" s="86"/>
      <c r="U970" s="87"/>
      <c r="V970" s="87"/>
      <c r="W970" s="87"/>
      <c r="X970" s="87"/>
    </row>
    <row r="971" ht="15.75" customHeight="1">
      <c r="E971" s="82"/>
      <c r="G971" s="79"/>
      <c r="H971" s="79"/>
      <c r="M971" s="86"/>
      <c r="U971" s="87"/>
      <c r="V971" s="87"/>
      <c r="W971" s="87"/>
      <c r="X971" s="87"/>
    </row>
    <row r="972" ht="15.75" customHeight="1">
      <c r="E972" s="82"/>
      <c r="G972" s="79"/>
      <c r="H972" s="79"/>
      <c r="M972" s="86"/>
      <c r="U972" s="87"/>
      <c r="V972" s="87"/>
      <c r="W972" s="87"/>
      <c r="X972" s="87"/>
    </row>
    <row r="973" ht="15.75" customHeight="1">
      <c r="E973" s="82"/>
      <c r="G973" s="79"/>
      <c r="H973" s="79"/>
      <c r="M973" s="86"/>
      <c r="U973" s="87"/>
      <c r="V973" s="87"/>
      <c r="W973" s="87"/>
      <c r="X973" s="87"/>
    </row>
    <row r="974" ht="15.75" customHeight="1">
      <c r="E974" s="82"/>
      <c r="G974" s="79"/>
      <c r="H974" s="79"/>
      <c r="M974" s="86"/>
      <c r="U974" s="87"/>
      <c r="V974" s="87"/>
      <c r="W974" s="87"/>
      <c r="X974" s="87"/>
    </row>
    <row r="975" ht="15.75" customHeight="1">
      <c r="E975" s="82"/>
      <c r="G975" s="79"/>
      <c r="H975" s="79"/>
      <c r="M975" s="86"/>
      <c r="U975" s="87"/>
      <c r="V975" s="87"/>
      <c r="W975" s="87"/>
      <c r="X975" s="87"/>
    </row>
    <row r="976" ht="15.75" customHeight="1">
      <c r="E976" s="82"/>
      <c r="G976" s="79"/>
      <c r="H976" s="79"/>
      <c r="M976" s="86"/>
      <c r="U976" s="87"/>
      <c r="V976" s="87"/>
      <c r="W976" s="87"/>
      <c r="X976" s="87"/>
    </row>
    <row r="977" ht="15.75" customHeight="1">
      <c r="E977" s="82"/>
      <c r="G977" s="79"/>
      <c r="H977" s="79"/>
      <c r="M977" s="86"/>
      <c r="U977" s="87"/>
      <c r="V977" s="87"/>
      <c r="W977" s="87"/>
      <c r="X977" s="87"/>
    </row>
    <row r="978" ht="15.75" customHeight="1">
      <c r="E978" s="82"/>
      <c r="G978" s="79"/>
      <c r="H978" s="79"/>
      <c r="M978" s="86"/>
      <c r="U978" s="87"/>
      <c r="V978" s="87"/>
      <c r="W978" s="87"/>
      <c r="X978" s="87"/>
    </row>
    <row r="979" ht="15.75" customHeight="1">
      <c r="E979" s="82"/>
      <c r="G979" s="79"/>
      <c r="H979" s="79"/>
      <c r="M979" s="86"/>
      <c r="U979" s="87"/>
      <c r="V979" s="87"/>
      <c r="W979" s="87"/>
      <c r="X979" s="87"/>
    </row>
    <row r="980" ht="15.75" customHeight="1">
      <c r="E980" s="82"/>
      <c r="G980" s="79"/>
      <c r="H980" s="79"/>
      <c r="M980" s="86"/>
      <c r="U980" s="87"/>
      <c r="V980" s="87"/>
      <c r="W980" s="87"/>
      <c r="X980" s="87"/>
    </row>
    <row r="981" ht="15.75" customHeight="1">
      <c r="E981" s="82"/>
      <c r="G981" s="79"/>
      <c r="H981" s="79"/>
      <c r="M981" s="86"/>
      <c r="U981" s="87"/>
      <c r="V981" s="87"/>
      <c r="W981" s="87"/>
      <c r="X981" s="87"/>
    </row>
    <row r="982" ht="15.75" customHeight="1">
      <c r="E982" s="82"/>
      <c r="G982" s="79"/>
      <c r="H982" s="79"/>
      <c r="M982" s="86"/>
      <c r="U982" s="87"/>
      <c r="V982" s="87"/>
      <c r="W982" s="87"/>
      <c r="X982" s="87"/>
    </row>
    <row r="983" ht="15.75" customHeight="1">
      <c r="E983" s="82"/>
      <c r="G983" s="79"/>
      <c r="H983" s="79"/>
      <c r="M983" s="86"/>
      <c r="U983" s="87"/>
      <c r="V983" s="87"/>
      <c r="W983" s="87"/>
      <c r="X983" s="87"/>
    </row>
    <row r="984" ht="15.75" customHeight="1">
      <c r="E984" s="82"/>
      <c r="G984" s="79"/>
      <c r="H984" s="79"/>
      <c r="M984" s="86"/>
      <c r="U984" s="87"/>
      <c r="V984" s="87"/>
      <c r="W984" s="87"/>
      <c r="X984" s="87"/>
    </row>
    <row r="985" ht="15.75" customHeight="1">
      <c r="E985" s="82"/>
      <c r="G985" s="79"/>
      <c r="H985" s="79"/>
      <c r="M985" s="86"/>
      <c r="U985" s="87"/>
      <c r="V985" s="87"/>
      <c r="W985" s="87"/>
      <c r="X985" s="87"/>
    </row>
    <row r="986" ht="15.75" customHeight="1">
      <c r="E986" s="82"/>
      <c r="G986" s="79"/>
      <c r="H986" s="79"/>
      <c r="M986" s="86"/>
      <c r="U986" s="87"/>
      <c r="V986" s="87"/>
      <c r="W986" s="87"/>
      <c r="X986" s="87"/>
    </row>
    <row r="987" ht="15.75" customHeight="1">
      <c r="E987" s="82"/>
      <c r="G987" s="79"/>
      <c r="H987" s="79"/>
      <c r="M987" s="86"/>
      <c r="U987" s="87"/>
      <c r="V987" s="87"/>
      <c r="W987" s="87"/>
      <c r="X987" s="87"/>
    </row>
    <row r="988" ht="15.75" customHeight="1">
      <c r="E988" s="82"/>
      <c r="G988" s="79"/>
      <c r="H988" s="79"/>
      <c r="M988" s="86"/>
      <c r="U988" s="87"/>
      <c r="V988" s="87"/>
      <c r="W988" s="87"/>
      <c r="X988" s="87"/>
    </row>
    <row r="989" ht="15.75" customHeight="1">
      <c r="E989" s="82"/>
      <c r="G989" s="79"/>
      <c r="H989" s="79"/>
      <c r="M989" s="86"/>
      <c r="U989" s="87"/>
      <c r="V989" s="87"/>
      <c r="W989" s="87"/>
      <c r="X989" s="87"/>
    </row>
    <row r="990" ht="15.75" customHeight="1">
      <c r="E990" s="82"/>
      <c r="G990" s="79"/>
      <c r="H990" s="79"/>
      <c r="M990" s="86"/>
      <c r="U990" s="87"/>
      <c r="V990" s="87"/>
      <c r="W990" s="87"/>
      <c r="X990" s="87"/>
    </row>
    <row r="991" ht="15.75" customHeight="1">
      <c r="E991" s="82"/>
      <c r="G991" s="79"/>
      <c r="H991" s="79"/>
      <c r="M991" s="86"/>
      <c r="U991" s="87"/>
      <c r="V991" s="87"/>
      <c r="W991" s="87"/>
      <c r="X991" s="87"/>
    </row>
    <row r="992" ht="15.75" customHeight="1">
      <c r="E992" s="82"/>
      <c r="G992" s="79"/>
      <c r="H992" s="79"/>
      <c r="M992" s="86"/>
      <c r="U992" s="87"/>
      <c r="V992" s="87"/>
      <c r="W992" s="87"/>
      <c r="X992" s="87"/>
    </row>
    <row r="993" ht="15.75" customHeight="1">
      <c r="E993" s="82"/>
      <c r="G993" s="79"/>
      <c r="H993" s="79"/>
      <c r="M993" s="86"/>
      <c r="U993" s="87"/>
      <c r="V993" s="87"/>
      <c r="W993" s="87"/>
      <c r="X993" s="87"/>
    </row>
    <row r="994" ht="15.75" customHeight="1">
      <c r="E994" s="82"/>
      <c r="G994" s="79"/>
      <c r="H994" s="79"/>
      <c r="M994" s="86"/>
      <c r="U994" s="87"/>
      <c r="V994" s="87"/>
      <c r="W994" s="87"/>
      <c r="X994" s="87"/>
    </row>
    <row r="995" ht="15.75" customHeight="1">
      <c r="E995" s="82"/>
      <c r="G995" s="79"/>
      <c r="H995" s="79"/>
      <c r="M995" s="86"/>
      <c r="U995" s="87"/>
      <c r="V995" s="87"/>
      <c r="W995" s="87"/>
      <c r="X995" s="87"/>
    </row>
    <row r="996" ht="15.75" customHeight="1">
      <c r="E996" s="82"/>
      <c r="G996" s="79"/>
      <c r="H996" s="79"/>
      <c r="M996" s="86"/>
      <c r="U996" s="87"/>
      <c r="V996" s="87"/>
      <c r="W996" s="87"/>
      <c r="X996" s="87"/>
    </row>
    <row r="997" ht="15.75" customHeight="1">
      <c r="E997" s="82"/>
      <c r="G997" s="79"/>
      <c r="H997" s="79"/>
      <c r="M997" s="86"/>
      <c r="U997" s="87"/>
      <c r="V997" s="87"/>
      <c r="W997" s="87"/>
      <c r="X997" s="87"/>
    </row>
    <row r="998" ht="15.75" customHeight="1">
      <c r="E998" s="82"/>
      <c r="G998" s="79"/>
      <c r="H998" s="79"/>
      <c r="M998" s="86"/>
      <c r="U998" s="87"/>
      <c r="V998" s="87"/>
      <c r="W998" s="87"/>
      <c r="X998" s="87"/>
    </row>
    <row r="999" ht="15.75" customHeight="1">
      <c r="E999" s="82"/>
      <c r="G999" s="79"/>
      <c r="H999" s="79"/>
      <c r="M999" s="86"/>
      <c r="U999" s="87"/>
      <c r="V999" s="87"/>
      <c r="W999" s="87"/>
      <c r="X999" s="87"/>
    </row>
    <row r="1000" ht="15.75" customHeight="1">
      <c r="E1000" s="82"/>
      <c r="G1000" s="79"/>
      <c r="H1000" s="79"/>
      <c r="M1000" s="86"/>
      <c r="U1000" s="87"/>
      <c r="V1000" s="87"/>
      <c r="W1000" s="87"/>
      <c r="X1000" s="87"/>
    </row>
  </sheetData>
  <mergeCells count="5">
    <mergeCell ref="B2:D2"/>
    <mergeCell ref="F2:F4"/>
    <mergeCell ref="J3:J8"/>
    <mergeCell ref="AB9:AD9"/>
    <mergeCell ref="AB48:AD48"/>
  </mergeCells>
  <dataValidations>
    <dataValidation type="list" allowBlank="1" showErrorMessage="1" sqref="F23:F57 AF63:AF79">
      <formula1>"CHARGING,NOT CHARGING"</formula1>
    </dataValidation>
  </dataValidations>
  <printOptions/>
  <pageMargins bottom="0.75" footer="0.0" header="0.0" left="0.7" right="0.7" top="0.75"/>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71"/>
    <col customWidth="1" min="3" max="3" width="18.0"/>
    <col customWidth="1" min="4" max="4" width="33.14"/>
    <col customWidth="1" min="5" max="5" width="15.14"/>
    <col customWidth="1" min="6" max="6" width="16.43"/>
    <col customWidth="1" min="7" max="7" width="19.0"/>
    <col customWidth="1" min="8" max="8" width="19.86"/>
    <col customWidth="1" min="9" max="9" width="24.0"/>
    <col customWidth="1" min="10" max="10" width="16.14"/>
    <col customWidth="1" min="11" max="11" width="18.0"/>
    <col customWidth="1" min="12" max="12" width="31.14"/>
    <col customWidth="1" min="13" max="13" width="27.29"/>
    <col customWidth="1" min="14" max="14" width="27.57"/>
    <col customWidth="1" min="15" max="15" width="22.29"/>
    <col customWidth="1" min="16" max="16" width="28.0"/>
    <col customWidth="1" min="17" max="17" width="14.14"/>
    <col customWidth="1" min="18" max="18" width="19.14"/>
    <col customWidth="1" min="19" max="19" width="27.14"/>
    <col customWidth="1" min="20" max="20" width="20.14"/>
    <col customWidth="1" min="21" max="21" width="21.14"/>
    <col customWidth="1" min="22" max="22" width="24.71"/>
    <col customWidth="1" min="23" max="24" width="28.86"/>
    <col customWidth="1" min="25" max="25" width="25.29"/>
    <col customWidth="1" min="26" max="26" width="37.29"/>
    <col customWidth="1" min="27" max="27" width="16.86"/>
    <col customWidth="1" min="28" max="28" width="27.29"/>
    <col customWidth="1" min="29" max="29" width="31.71"/>
    <col customWidth="1" min="30" max="30" width="10.57"/>
    <col customWidth="1" min="31" max="31" width="61.29"/>
    <col customWidth="1" min="32" max="32" width="8.71"/>
  </cols>
  <sheetData>
    <row r="1">
      <c r="E1" s="82"/>
      <c r="F1" s="83" t="s">
        <v>171</v>
      </c>
      <c r="G1" s="84"/>
      <c r="H1" s="85" t="s">
        <v>172</v>
      </c>
      <c r="M1" s="86"/>
      <c r="U1" s="87"/>
      <c r="V1" s="87"/>
      <c r="W1" s="87"/>
      <c r="X1" s="87"/>
    </row>
    <row r="2">
      <c r="B2" s="31" t="s">
        <v>173</v>
      </c>
      <c r="E2" s="82"/>
      <c r="F2" s="88"/>
      <c r="G2" s="89"/>
      <c r="H2" s="90" t="s">
        <v>174</v>
      </c>
      <c r="J2" s="91" t="s">
        <v>175</v>
      </c>
      <c r="K2" s="92"/>
      <c r="L2" s="92"/>
      <c r="M2" s="93"/>
      <c r="N2" s="92"/>
      <c r="O2" s="92"/>
      <c r="P2" s="92"/>
      <c r="Q2" s="94"/>
      <c r="R2" s="94"/>
      <c r="S2" s="94"/>
      <c r="T2" s="95"/>
      <c r="U2" s="87"/>
      <c r="V2" s="87"/>
      <c r="W2" s="87"/>
      <c r="X2" s="87"/>
    </row>
    <row r="3">
      <c r="E3" s="82"/>
      <c r="F3" s="96"/>
      <c r="G3" s="97"/>
      <c r="H3" s="90" t="s">
        <v>176</v>
      </c>
      <c r="J3" s="88"/>
      <c r="K3" s="11" t="s">
        <v>177</v>
      </c>
      <c r="L3" s="11" t="s">
        <v>178</v>
      </c>
      <c r="M3" s="98" t="s">
        <v>179</v>
      </c>
      <c r="N3" s="11" t="s">
        <v>180</v>
      </c>
      <c r="O3" s="11" t="s">
        <v>181</v>
      </c>
      <c r="P3" s="11" t="s">
        <v>182</v>
      </c>
      <c r="Q3" s="11" t="s">
        <v>183</v>
      </c>
      <c r="R3" s="11" t="s">
        <v>184</v>
      </c>
      <c r="S3" s="11" t="s">
        <v>185</v>
      </c>
      <c r="T3" s="12" t="s">
        <v>186</v>
      </c>
      <c r="U3" s="87"/>
      <c r="V3" s="87"/>
      <c r="W3" s="87"/>
      <c r="X3" s="87"/>
    </row>
    <row r="4">
      <c r="E4" s="82"/>
      <c r="F4" s="99"/>
      <c r="G4" s="100"/>
      <c r="H4" s="101" t="s">
        <v>187</v>
      </c>
      <c r="J4" s="96"/>
      <c r="K4" s="11" t="s">
        <v>188</v>
      </c>
      <c r="L4" s="11" t="s">
        <v>189</v>
      </c>
      <c r="M4" s="98" t="s">
        <v>190</v>
      </c>
      <c r="N4" s="11" t="s">
        <v>191</v>
      </c>
      <c r="O4" s="11" t="s">
        <v>188</v>
      </c>
      <c r="P4" s="11" t="s">
        <v>188</v>
      </c>
      <c r="Q4" s="11" t="s">
        <v>189</v>
      </c>
      <c r="R4" s="11" t="s">
        <v>190</v>
      </c>
      <c r="S4" s="11" t="s">
        <v>191</v>
      </c>
      <c r="T4" s="12" t="s">
        <v>192</v>
      </c>
      <c r="U4" s="87"/>
      <c r="V4" s="87"/>
      <c r="W4" s="87"/>
      <c r="X4" s="87"/>
    </row>
    <row r="5">
      <c r="E5" s="82"/>
      <c r="G5" s="102"/>
      <c r="H5" s="102"/>
      <c r="J5" s="96"/>
      <c r="K5" s="11">
        <v>1.0</v>
      </c>
      <c r="L5" s="11">
        <v>3.0</v>
      </c>
      <c r="M5" s="98">
        <v>12.0</v>
      </c>
      <c r="N5" s="11">
        <v>100.0</v>
      </c>
      <c r="O5" s="11">
        <v>12.0</v>
      </c>
      <c r="P5" s="11">
        <v>3.0</v>
      </c>
      <c r="Q5" s="11">
        <f t="shared" ref="Q5:Q8" si="1">L5*(O5/P5)</f>
        <v>12</v>
      </c>
      <c r="R5" s="11">
        <f t="shared" ref="R5:R8" si="2">P5*M5</f>
        <v>36</v>
      </c>
      <c r="S5" s="11">
        <f t="shared" ref="S5:S8" si="3">N5*P5</f>
        <v>300</v>
      </c>
      <c r="T5" s="103">
        <v>1200.0</v>
      </c>
      <c r="U5" s="87"/>
      <c r="V5" s="87"/>
      <c r="W5" s="87"/>
      <c r="X5" s="87"/>
    </row>
    <row r="6">
      <c r="E6" s="104" t="s">
        <v>193</v>
      </c>
      <c r="F6" s="105" t="s">
        <v>194</v>
      </c>
      <c r="G6" s="106" t="s">
        <v>195</v>
      </c>
      <c r="H6" s="107" t="s">
        <v>196</v>
      </c>
      <c r="J6" s="96"/>
      <c r="K6" s="11">
        <v>2.0</v>
      </c>
      <c r="L6" s="11">
        <v>50.0</v>
      </c>
      <c r="M6" s="98">
        <v>12.0</v>
      </c>
      <c r="N6" s="11">
        <v>100.0</v>
      </c>
      <c r="O6" s="11">
        <v>12.0</v>
      </c>
      <c r="P6" s="11">
        <v>3.0</v>
      </c>
      <c r="Q6" s="11">
        <f t="shared" si="1"/>
        <v>200</v>
      </c>
      <c r="R6" s="11">
        <f t="shared" si="2"/>
        <v>36</v>
      </c>
      <c r="S6" s="11">
        <f t="shared" si="3"/>
        <v>300</v>
      </c>
      <c r="T6" s="103">
        <f t="shared" ref="T6:T8" si="4">S6*Q6</f>
        <v>60000</v>
      </c>
      <c r="U6" s="87"/>
      <c r="V6" s="87"/>
      <c r="W6" s="87"/>
      <c r="X6" s="87"/>
    </row>
    <row r="7">
      <c r="E7" s="108" t="s">
        <v>197</v>
      </c>
      <c r="F7" s="11" t="s">
        <v>198</v>
      </c>
      <c r="G7" s="102" t="s">
        <v>199</v>
      </c>
      <c r="H7" s="90" t="s">
        <v>200</v>
      </c>
      <c r="J7" s="96"/>
      <c r="K7" s="11">
        <v>3.0</v>
      </c>
      <c r="L7" s="11">
        <v>700.0</v>
      </c>
      <c r="M7" s="98">
        <v>12.0</v>
      </c>
      <c r="N7" s="11">
        <v>100.0</v>
      </c>
      <c r="O7" s="11">
        <v>12.0</v>
      </c>
      <c r="P7" s="11">
        <v>3.0</v>
      </c>
      <c r="Q7" s="11">
        <f t="shared" si="1"/>
        <v>2800</v>
      </c>
      <c r="R7" s="11">
        <f t="shared" si="2"/>
        <v>36</v>
      </c>
      <c r="S7" s="11">
        <f t="shared" si="3"/>
        <v>300</v>
      </c>
      <c r="T7" s="103">
        <f t="shared" si="4"/>
        <v>840000</v>
      </c>
      <c r="U7" s="87"/>
      <c r="V7" s="87"/>
      <c r="W7" s="87"/>
      <c r="X7" s="87"/>
    </row>
    <row r="8">
      <c r="E8" s="109" t="s">
        <v>188</v>
      </c>
      <c r="F8" s="11"/>
      <c r="G8" s="102"/>
      <c r="H8" s="90"/>
      <c r="J8" s="99"/>
      <c r="K8" s="23">
        <v>4.0</v>
      </c>
      <c r="L8" s="23">
        <v>3.0</v>
      </c>
      <c r="M8" s="110">
        <v>12.0</v>
      </c>
      <c r="N8" s="23">
        <v>100.0</v>
      </c>
      <c r="O8" s="23">
        <v>12.0</v>
      </c>
      <c r="P8" s="23">
        <v>3.0</v>
      </c>
      <c r="Q8" s="23">
        <f t="shared" si="1"/>
        <v>12</v>
      </c>
      <c r="R8" s="23">
        <f t="shared" si="2"/>
        <v>36</v>
      </c>
      <c r="S8" s="23">
        <f t="shared" si="3"/>
        <v>300</v>
      </c>
      <c r="T8" s="111">
        <f t="shared" si="4"/>
        <v>3600</v>
      </c>
      <c r="U8" s="87"/>
      <c r="V8" s="87"/>
      <c r="W8" s="87"/>
      <c r="X8" s="87"/>
    </row>
    <row r="9">
      <c r="D9" s="1" t="s">
        <v>145</v>
      </c>
      <c r="E9" s="109">
        <v>1.0</v>
      </c>
      <c r="F9" s="112">
        <v>10000.0</v>
      </c>
      <c r="G9" s="113">
        <v>7.0E8</v>
      </c>
      <c r="H9" s="114">
        <v>46172.0</v>
      </c>
      <c r="J9" s="11"/>
      <c r="K9" s="11"/>
      <c r="L9" s="11"/>
      <c r="M9" s="98"/>
      <c r="N9" s="11"/>
      <c r="O9" s="11"/>
      <c r="P9" s="11"/>
      <c r="Q9" s="11"/>
      <c r="R9" s="11"/>
      <c r="S9" s="11"/>
      <c r="U9" s="87"/>
      <c r="V9" s="87"/>
      <c r="W9" s="87"/>
      <c r="X9" s="87"/>
      <c r="AB9" s="31"/>
      <c r="AE9" s="11"/>
      <c r="AF9" s="11"/>
    </row>
    <row r="10">
      <c r="D10" s="1" t="s">
        <v>146</v>
      </c>
      <c r="E10" s="109">
        <v>2.0</v>
      </c>
      <c r="F10" s="112">
        <v>500.0</v>
      </c>
      <c r="G10" s="113">
        <v>87.7</v>
      </c>
      <c r="H10" s="114">
        <v>46172.0</v>
      </c>
      <c r="J10" s="11"/>
      <c r="K10" s="11"/>
      <c r="L10" s="11"/>
      <c r="M10" s="98"/>
      <c r="N10" s="11"/>
      <c r="O10" s="11"/>
      <c r="P10" s="11"/>
      <c r="Q10" s="11"/>
      <c r="R10" s="11"/>
      <c r="S10" s="11"/>
      <c r="U10" s="87"/>
      <c r="V10" s="87"/>
      <c r="W10" s="87"/>
      <c r="X10" s="87"/>
      <c r="AD10" s="115"/>
    </row>
    <row r="11">
      <c r="D11" s="1" t="s">
        <v>147</v>
      </c>
      <c r="E11" s="116">
        <v>3.0</v>
      </c>
      <c r="F11" s="117">
        <v>500.0</v>
      </c>
      <c r="G11" s="118">
        <v>87.7</v>
      </c>
      <c r="H11" s="119">
        <v>46172.0</v>
      </c>
      <c r="J11" s="11"/>
      <c r="K11" s="11"/>
      <c r="L11" s="11"/>
      <c r="M11" s="98"/>
      <c r="N11" s="11"/>
      <c r="O11" s="11"/>
      <c r="P11" s="11"/>
      <c r="Q11" s="11"/>
      <c r="R11" s="11"/>
      <c r="S11" s="11"/>
      <c r="U11" s="87"/>
      <c r="V11" s="87"/>
      <c r="W11" s="87"/>
      <c r="X11" s="87"/>
      <c r="AD11" s="115"/>
    </row>
    <row r="12">
      <c r="E12" s="82"/>
      <c r="G12" s="79"/>
      <c r="H12" s="79"/>
      <c r="M12" s="86"/>
      <c r="U12" s="87"/>
      <c r="V12" s="87"/>
      <c r="W12" s="87"/>
      <c r="X12" s="87"/>
      <c r="AD12" s="115"/>
    </row>
    <row r="13">
      <c r="E13" s="120" t="s">
        <v>208</v>
      </c>
      <c r="F13" s="121"/>
      <c r="G13" s="102"/>
      <c r="H13" s="79"/>
      <c r="M13" s="86"/>
      <c r="U13" s="87"/>
      <c r="V13" s="87"/>
      <c r="W13" s="87"/>
      <c r="X13" s="87"/>
      <c r="AD13" s="115"/>
    </row>
    <row r="14">
      <c r="E14" s="109">
        <v>1.0</v>
      </c>
      <c r="F14" s="12" t="s">
        <v>209</v>
      </c>
      <c r="G14" s="102" t="s">
        <v>210</v>
      </c>
      <c r="H14" s="79"/>
      <c r="M14" s="86"/>
      <c r="U14" s="87"/>
      <c r="V14" s="87"/>
      <c r="W14" s="87"/>
      <c r="X14" s="87"/>
      <c r="AD14" s="115"/>
    </row>
    <row r="15">
      <c r="E15" s="109">
        <v>2.0</v>
      </c>
      <c r="F15" s="12" t="s">
        <v>211</v>
      </c>
      <c r="G15" s="102" t="s">
        <v>210</v>
      </c>
      <c r="H15" s="79"/>
      <c r="M15" s="86"/>
      <c r="U15" s="87"/>
      <c r="V15" s="87"/>
      <c r="W15" s="87"/>
      <c r="X15" s="87"/>
      <c r="AD15" s="115"/>
    </row>
    <row r="16">
      <c r="E16" s="109">
        <v>3.0</v>
      </c>
      <c r="F16" s="12" t="s">
        <v>212</v>
      </c>
      <c r="G16" s="102" t="s">
        <v>213</v>
      </c>
      <c r="H16" s="79"/>
      <c r="M16" s="86"/>
      <c r="U16" s="87"/>
      <c r="V16" s="87"/>
      <c r="W16" s="87"/>
      <c r="X16" s="87"/>
      <c r="AD16" s="115"/>
    </row>
    <row r="17">
      <c r="E17" s="116">
        <v>4.0</v>
      </c>
      <c r="F17" s="24" t="s">
        <v>214</v>
      </c>
      <c r="G17" s="102" t="s">
        <v>215</v>
      </c>
      <c r="H17" s="79"/>
      <c r="M17" s="86"/>
      <c r="U17" s="87"/>
      <c r="V17" s="87"/>
      <c r="W17" s="87"/>
      <c r="X17" s="87"/>
      <c r="AD17" s="115"/>
    </row>
    <row r="18">
      <c r="E18" s="82"/>
      <c r="F18" s="11"/>
      <c r="G18" s="102"/>
      <c r="H18" s="79"/>
      <c r="M18" s="86"/>
      <c r="U18" s="87"/>
      <c r="V18" s="87"/>
      <c r="W18" s="87"/>
      <c r="X18" s="87"/>
      <c r="AD18" s="115"/>
    </row>
    <row r="19">
      <c r="A19" s="82"/>
      <c r="B19" s="122" t="s">
        <v>218</v>
      </c>
      <c r="C19" s="123"/>
      <c r="D19" s="124"/>
      <c r="E19" s="124"/>
      <c r="F19" s="124"/>
      <c r="G19" s="125"/>
      <c r="H19" s="125"/>
      <c r="I19" s="124"/>
      <c r="J19" s="126"/>
      <c r="K19" s="126"/>
      <c r="L19" s="126"/>
      <c r="M19" s="127"/>
      <c r="N19" s="126"/>
      <c r="O19" s="126"/>
      <c r="P19" s="126"/>
      <c r="Q19" s="126"/>
      <c r="R19" s="126"/>
      <c r="S19" s="126"/>
      <c r="T19" s="126"/>
      <c r="U19" s="128"/>
      <c r="V19" s="128"/>
      <c r="W19" s="128"/>
      <c r="X19" s="128"/>
      <c r="Y19" s="128"/>
      <c r="Z19" s="82"/>
      <c r="AA19" s="82"/>
      <c r="AD19" s="115"/>
    </row>
    <row r="20">
      <c r="A20" s="82"/>
      <c r="B20" s="82"/>
      <c r="C20" s="129"/>
      <c r="D20" s="129" t="s">
        <v>221</v>
      </c>
      <c r="E20" s="129" t="s">
        <v>222</v>
      </c>
      <c r="F20" s="129" t="s">
        <v>223</v>
      </c>
      <c r="G20" s="130" t="s">
        <v>224</v>
      </c>
      <c r="H20" s="130" t="s">
        <v>225</v>
      </c>
      <c r="I20" s="129" t="s">
        <v>226</v>
      </c>
      <c r="J20" s="129" t="s">
        <v>227</v>
      </c>
      <c r="K20" s="129" t="s">
        <v>228</v>
      </c>
      <c r="L20" s="129" t="s">
        <v>229</v>
      </c>
      <c r="M20" s="131" t="s">
        <v>230</v>
      </c>
      <c r="N20" s="129" t="s">
        <v>231</v>
      </c>
      <c r="O20" s="129" t="s">
        <v>232</v>
      </c>
      <c r="P20" s="129" t="s">
        <v>233</v>
      </c>
      <c r="Q20" s="129" t="s">
        <v>234</v>
      </c>
      <c r="R20" s="129" t="s">
        <v>235</v>
      </c>
      <c r="S20" s="129" t="s">
        <v>236</v>
      </c>
      <c r="T20" s="129" t="s">
        <v>237</v>
      </c>
      <c r="U20" s="129" t="s">
        <v>238</v>
      </c>
      <c r="V20" s="132" t="s">
        <v>239</v>
      </c>
      <c r="W20" s="132" t="s">
        <v>308</v>
      </c>
      <c r="X20" s="132" t="s">
        <v>241</v>
      </c>
      <c r="Y20" s="132" t="s">
        <v>242</v>
      </c>
      <c r="Z20" s="82"/>
      <c r="AA20" s="82"/>
    </row>
    <row r="21" ht="15.75" customHeight="1">
      <c r="A21" s="82"/>
      <c r="B21" s="129"/>
      <c r="C21" s="82"/>
      <c r="D21" s="82" t="s">
        <v>245</v>
      </c>
      <c r="E21" s="82" t="s">
        <v>188</v>
      </c>
      <c r="F21" s="82" t="s">
        <v>246</v>
      </c>
      <c r="G21" s="133" t="s">
        <v>200</v>
      </c>
      <c r="H21" s="133" t="s">
        <v>200</v>
      </c>
      <c r="I21" s="82" t="s">
        <v>198</v>
      </c>
      <c r="J21" s="82" t="s">
        <v>247</v>
      </c>
      <c r="K21" s="82" t="s">
        <v>309</v>
      </c>
      <c r="L21" s="82" t="s">
        <v>310</v>
      </c>
      <c r="M21" s="134" t="s">
        <v>250</v>
      </c>
      <c r="N21" s="82" t="s">
        <v>251</v>
      </c>
      <c r="O21" s="82" t="s">
        <v>192</v>
      </c>
      <c r="P21" s="82" t="s">
        <v>192</v>
      </c>
      <c r="Q21" s="82" t="s">
        <v>192</v>
      </c>
      <c r="R21" s="82" t="s">
        <v>198</v>
      </c>
      <c r="S21" s="82" t="s">
        <v>198</v>
      </c>
      <c r="T21" s="82" t="s">
        <v>192</v>
      </c>
      <c r="U21" s="82" t="s">
        <v>192</v>
      </c>
      <c r="V21" s="135" t="s">
        <v>252</v>
      </c>
      <c r="W21" s="135" t="s">
        <v>252</v>
      </c>
      <c r="X21" s="135" t="s">
        <v>252</v>
      </c>
      <c r="Y21" s="135" t="s">
        <v>252</v>
      </c>
      <c r="Z21" s="82"/>
      <c r="AA21" s="82"/>
    </row>
    <row r="22" ht="15.75" customHeight="1">
      <c r="A22" s="82"/>
      <c r="B22" s="129"/>
      <c r="C22" s="129"/>
      <c r="D22" s="129"/>
      <c r="E22" s="129"/>
      <c r="F22" s="82"/>
      <c r="G22" s="130"/>
      <c r="H22" s="130"/>
      <c r="I22" s="82"/>
      <c r="J22" s="129"/>
      <c r="K22" s="129"/>
      <c r="L22" s="82"/>
      <c r="M22" s="134"/>
      <c r="N22" s="129"/>
      <c r="O22" s="129"/>
      <c r="P22" s="82"/>
      <c r="Q22" s="129"/>
      <c r="R22" s="129"/>
      <c r="S22" s="82"/>
      <c r="T22" s="129"/>
      <c r="U22" s="82"/>
      <c r="V22" s="136">
        <v>1.0</v>
      </c>
      <c r="W22" s="136">
        <v>1.0</v>
      </c>
      <c r="X22" s="136">
        <v>1.0</v>
      </c>
      <c r="Y22" s="136">
        <v>1.0</v>
      </c>
      <c r="Z22" s="82" t="s">
        <v>255</v>
      </c>
      <c r="AA22" s="82"/>
    </row>
    <row r="23" ht="15.75" customHeight="1">
      <c r="A23" s="82"/>
      <c r="B23" s="82"/>
      <c r="C23" s="82" t="s">
        <v>203</v>
      </c>
      <c r="D23" s="82" t="s">
        <v>203</v>
      </c>
      <c r="E23" s="82">
        <v>0.0</v>
      </c>
      <c r="F23" s="82" t="s">
        <v>257</v>
      </c>
      <c r="G23" s="133">
        <v>46172.0</v>
      </c>
      <c r="H23" s="133">
        <v>46173.0</v>
      </c>
      <c r="I23" s="82">
        <v>0.0</v>
      </c>
      <c r="J23" s="82">
        <f t="shared" ref="J23:J56" si="5">(H23-G23)*24</f>
        <v>24</v>
      </c>
      <c r="K23" s="137">
        <f t="shared" ref="K23:K56" si="6">IF(AND(F23="NOT CHARGING",E23=2),0,IF(E23=1,$F$9*(1/2)^(N23/($G$9*365*24)),IF(E23=2,$F$9*(1/2)^(N23/($G$9*365*24)),IF(E23=3,$F$10*(1/2)^(N23/($G$10*365*24)),IF(E23=4,$F$11*(1/2)^(N23/($G$11*365*24)),0)))))</f>
        <v>0</v>
      </c>
      <c r="L23" s="137">
        <f t="shared" ref="L23:L56" si="7">$F$9*(1/2)^(N23/($G$9*365*24))+$F$10*(1/2)^(N23/($G$10*365*24))+$F$11*(1/2)^(N23/($G$11*365*24))</f>
        <v>10999.98917</v>
      </c>
      <c r="M23" s="137">
        <f t="shared" ref="M23:M56" si="8">H23-$G$23</f>
        <v>1</v>
      </c>
      <c r="N23" s="137">
        <f t="shared" ref="N23:N56" si="9">((G23-$H$9)+(H23-G23)/2)*24</f>
        <v>12</v>
      </c>
      <c r="O23" s="137">
        <f t="shared" ref="O23:O56" si="10">K23*J23</f>
        <v>0</v>
      </c>
      <c r="P23" s="137">
        <f t="shared" ref="P23:P56" si="11">L23*J23</f>
        <v>263999.7402</v>
      </c>
      <c r="Q23" s="137">
        <f t="shared" ref="Q23:Q56" si="12">J23*I23</f>
        <v>0</v>
      </c>
      <c r="R23" s="137">
        <f t="shared" ref="R23:R56" si="13">K23-I23</f>
        <v>0</v>
      </c>
      <c r="S23" s="137">
        <f t="shared" ref="S23:S56" si="14">L23-I23</f>
        <v>10999.98917</v>
      </c>
      <c r="T23" s="137">
        <f t="shared" ref="T23:T56" si="15">O23-Q23</f>
        <v>0</v>
      </c>
      <c r="U23" s="137">
        <f t="shared" ref="U23:U56" si="16">P23-Q23</f>
        <v>263999.7402</v>
      </c>
      <c r="V23" s="138">
        <f t="shared" ref="V23:V56" si="17">IF(E23=1,IF(T23&lt;0,V22-((-T23)/$T$5),IF(V22+((T23)/$T$5)&gt;1,1,V22+((T23)/$T$5))),V22)</f>
        <v>1</v>
      </c>
      <c r="W23" s="138">
        <f t="shared" ref="W23:W56" si="18">IF(E23=2,IF(T23&lt;0,W22-((-T23)/$T$6),IF(F23="CHARGING",IF(W22+((T23)/$T$6)&gt;1,1,W22+((T23)/$T$6)),W22)),W22)</f>
        <v>1</v>
      </c>
      <c r="X23" s="138">
        <f t="shared" ref="X23:X56" si="19">IF(E23=3,IF(T23&lt;0,X22-((-T23)/$T$7),IF(X22+((T23)/$T$7)&gt;1,1,X22+((T23)/$T$7))),X22)</f>
        <v>1</v>
      </c>
      <c r="Y23" s="138">
        <f t="shared" ref="Y23:Y56" si="20">IF(E23=4,IF(T23&lt;0,Y22-((-T23)/$T$8),IF(Y22+((T23)/$T$8)&gt;1,1,Y22+((T23)/$T$8))),Y22)</f>
        <v>1</v>
      </c>
      <c r="Z23" s="82"/>
      <c r="AA23" s="82"/>
    </row>
    <row r="24" ht="15.75" customHeight="1">
      <c r="A24" s="82"/>
      <c r="B24" s="82"/>
      <c r="C24" s="82"/>
      <c r="D24" s="82" t="s">
        <v>261</v>
      </c>
      <c r="E24" s="82">
        <v>1.0</v>
      </c>
      <c r="F24" s="82" t="s">
        <v>257</v>
      </c>
      <c r="G24" s="133">
        <v>46173.0</v>
      </c>
      <c r="H24" s="133">
        <v>46519.0</v>
      </c>
      <c r="I24" s="82">
        <v>2269.53</v>
      </c>
      <c r="J24" s="82">
        <f t="shared" si="5"/>
        <v>8304</v>
      </c>
      <c r="K24" s="137">
        <f t="shared" si="6"/>
        <v>9999.999995</v>
      </c>
      <c r="L24" s="137">
        <f t="shared" si="7"/>
        <v>10996.23933</v>
      </c>
      <c r="M24" s="137">
        <f t="shared" si="8"/>
        <v>347</v>
      </c>
      <c r="N24" s="137">
        <f t="shared" si="9"/>
        <v>4176</v>
      </c>
      <c r="O24" s="137">
        <f t="shared" si="10"/>
        <v>83039999.96</v>
      </c>
      <c r="P24" s="137">
        <f t="shared" si="11"/>
        <v>91312771.42</v>
      </c>
      <c r="Q24" s="137">
        <f t="shared" si="12"/>
        <v>18846177.12</v>
      </c>
      <c r="R24" s="137">
        <f t="shared" si="13"/>
        <v>7730.469995</v>
      </c>
      <c r="S24" s="137">
        <f t="shared" si="14"/>
        <v>8726.709333</v>
      </c>
      <c r="T24" s="137">
        <f t="shared" si="15"/>
        <v>64193822.84</v>
      </c>
      <c r="U24" s="137">
        <f t="shared" si="16"/>
        <v>72466594.3</v>
      </c>
      <c r="V24" s="138">
        <f t="shared" si="17"/>
        <v>1</v>
      </c>
      <c r="W24" s="138">
        <f t="shared" si="18"/>
        <v>1</v>
      </c>
      <c r="X24" s="138">
        <f t="shared" si="19"/>
        <v>1</v>
      </c>
      <c r="Y24" s="138">
        <f t="shared" si="20"/>
        <v>1</v>
      </c>
      <c r="Z24" s="82"/>
      <c r="AA24" s="82"/>
    </row>
    <row r="25" ht="15.75" customHeight="1">
      <c r="A25" s="82"/>
      <c r="B25" s="82"/>
      <c r="C25" s="82"/>
      <c r="D25" s="82" t="s">
        <v>264</v>
      </c>
      <c r="E25" s="82">
        <v>1.0</v>
      </c>
      <c r="F25" s="82" t="s">
        <v>257</v>
      </c>
      <c r="G25" s="133">
        <v>46519.0</v>
      </c>
      <c r="H25" s="133">
        <v>46642.0</v>
      </c>
      <c r="I25" s="82">
        <v>7546.53</v>
      </c>
      <c r="J25" s="82">
        <f t="shared" si="5"/>
        <v>2952</v>
      </c>
      <c r="K25" s="137">
        <f t="shared" si="6"/>
        <v>9999.999989</v>
      </c>
      <c r="L25" s="137">
        <f t="shared" si="7"/>
        <v>10991.19344</v>
      </c>
      <c r="M25" s="137">
        <f t="shared" si="8"/>
        <v>470</v>
      </c>
      <c r="N25" s="137">
        <f t="shared" si="9"/>
        <v>9804</v>
      </c>
      <c r="O25" s="137">
        <f t="shared" si="10"/>
        <v>29519999.97</v>
      </c>
      <c r="P25" s="137">
        <f t="shared" si="11"/>
        <v>32446003.04</v>
      </c>
      <c r="Q25" s="137">
        <f t="shared" si="12"/>
        <v>22277356.56</v>
      </c>
      <c r="R25" s="137">
        <f t="shared" si="13"/>
        <v>2453.469989</v>
      </c>
      <c r="S25" s="137">
        <f t="shared" si="14"/>
        <v>3444.663441</v>
      </c>
      <c r="T25" s="137">
        <f t="shared" si="15"/>
        <v>7242643.407</v>
      </c>
      <c r="U25" s="137">
        <f t="shared" si="16"/>
        <v>10168646.48</v>
      </c>
      <c r="V25" s="138">
        <f t="shared" si="17"/>
        <v>1</v>
      </c>
      <c r="W25" s="138">
        <f t="shared" si="18"/>
        <v>1</v>
      </c>
      <c r="X25" s="138">
        <f t="shared" si="19"/>
        <v>1</v>
      </c>
      <c r="Y25" s="138">
        <f t="shared" si="20"/>
        <v>1</v>
      </c>
      <c r="Z25" s="82"/>
      <c r="AA25" s="82"/>
    </row>
    <row r="26" ht="15.75" customHeight="1">
      <c r="A26" s="82"/>
      <c r="B26" s="82"/>
      <c r="C26" s="82"/>
      <c r="D26" s="82" t="s">
        <v>261</v>
      </c>
      <c r="E26" s="82">
        <v>1.0</v>
      </c>
      <c r="F26" s="82" t="s">
        <v>257</v>
      </c>
      <c r="G26" s="133">
        <v>46642.0</v>
      </c>
      <c r="H26" s="133">
        <v>46989.0</v>
      </c>
      <c r="I26" s="82">
        <v>2269.53</v>
      </c>
      <c r="J26" s="82">
        <f t="shared" si="5"/>
        <v>8328</v>
      </c>
      <c r="K26" s="137">
        <f t="shared" si="6"/>
        <v>9999.999983</v>
      </c>
      <c r="L26" s="137">
        <f t="shared" si="7"/>
        <v>10986.16243</v>
      </c>
      <c r="M26" s="137">
        <f t="shared" si="8"/>
        <v>817</v>
      </c>
      <c r="N26" s="137">
        <f t="shared" si="9"/>
        <v>15444</v>
      </c>
      <c r="O26" s="137">
        <f t="shared" si="10"/>
        <v>83279999.85</v>
      </c>
      <c r="P26" s="137">
        <f t="shared" si="11"/>
        <v>91492760.71</v>
      </c>
      <c r="Q26" s="137">
        <f t="shared" si="12"/>
        <v>18900645.84</v>
      </c>
      <c r="R26" s="137">
        <f t="shared" si="13"/>
        <v>7730.469983</v>
      </c>
      <c r="S26" s="137">
        <f t="shared" si="14"/>
        <v>8716.63243</v>
      </c>
      <c r="T26" s="137">
        <f t="shared" si="15"/>
        <v>64379354.01</v>
      </c>
      <c r="U26" s="137">
        <f t="shared" si="16"/>
        <v>72592114.87</v>
      </c>
      <c r="V26" s="138">
        <f t="shared" si="17"/>
        <v>1</v>
      </c>
      <c r="W26" s="138">
        <f t="shared" si="18"/>
        <v>1</v>
      </c>
      <c r="X26" s="138">
        <f t="shared" si="19"/>
        <v>1</v>
      </c>
      <c r="Y26" s="138">
        <f t="shared" si="20"/>
        <v>1</v>
      </c>
      <c r="Z26" s="82"/>
      <c r="AA26" s="82"/>
    </row>
    <row r="27" ht="15.75" customHeight="1">
      <c r="A27" s="82"/>
      <c r="B27" s="82"/>
      <c r="C27" s="82"/>
      <c r="D27" s="82" t="s">
        <v>267</v>
      </c>
      <c r="E27" s="82">
        <v>1.0</v>
      </c>
      <c r="F27" s="82" t="s">
        <v>257</v>
      </c>
      <c r="G27" s="133">
        <v>46989.0</v>
      </c>
      <c r="H27" s="133">
        <v>47219.0</v>
      </c>
      <c r="I27" s="82">
        <v>7546.53</v>
      </c>
      <c r="J27" s="82">
        <f t="shared" si="5"/>
        <v>5520</v>
      </c>
      <c r="K27" s="137">
        <f t="shared" si="6"/>
        <v>9999.999975</v>
      </c>
      <c r="L27" s="137">
        <f t="shared" si="7"/>
        <v>10980.02096</v>
      </c>
      <c r="M27" s="137">
        <f t="shared" si="8"/>
        <v>1047</v>
      </c>
      <c r="N27" s="137">
        <f t="shared" si="9"/>
        <v>22368</v>
      </c>
      <c r="O27" s="137">
        <f t="shared" si="10"/>
        <v>55199999.86</v>
      </c>
      <c r="P27" s="137">
        <f t="shared" si="11"/>
        <v>60609715.72</v>
      </c>
      <c r="Q27" s="137">
        <f t="shared" si="12"/>
        <v>41656845.6</v>
      </c>
      <c r="R27" s="137">
        <f t="shared" si="13"/>
        <v>2453.469975</v>
      </c>
      <c r="S27" s="137">
        <f t="shared" si="14"/>
        <v>3433.490964</v>
      </c>
      <c r="T27" s="137">
        <f t="shared" si="15"/>
        <v>13543154.26</v>
      </c>
      <c r="U27" s="137">
        <f t="shared" si="16"/>
        <v>18952870.12</v>
      </c>
      <c r="V27" s="138">
        <f t="shared" si="17"/>
        <v>1</v>
      </c>
      <c r="W27" s="138">
        <f t="shared" si="18"/>
        <v>1</v>
      </c>
      <c r="X27" s="138">
        <f t="shared" si="19"/>
        <v>1</v>
      </c>
      <c r="Y27" s="138">
        <f t="shared" si="20"/>
        <v>1</v>
      </c>
      <c r="Z27" s="82"/>
      <c r="AA27" s="82"/>
    </row>
    <row r="28" ht="15.75" customHeight="1">
      <c r="A28" s="82"/>
      <c r="B28" s="82"/>
      <c r="C28" s="82"/>
      <c r="D28" s="82" t="s">
        <v>261</v>
      </c>
      <c r="E28" s="82">
        <v>1.0</v>
      </c>
      <c r="F28" s="82" t="s">
        <v>257</v>
      </c>
      <c r="G28" s="133">
        <v>47219.0</v>
      </c>
      <c r="H28" s="133">
        <v>49518.0</v>
      </c>
      <c r="I28" s="82">
        <v>2269.53</v>
      </c>
      <c r="J28" s="82">
        <f t="shared" si="5"/>
        <v>55176</v>
      </c>
      <c r="K28" s="137">
        <f t="shared" si="6"/>
        <v>9999.99994</v>
      </c>
      <c r="L28" s="137">
        <f t="shared" si="7"/>
        <v>10953.55086</v>
      </c>
      <c r="M28" s="137">
        <f t="shared" si="8"/>
        <v>3346</v>
      </c>
      <c r="N28" s="137">
        <f t="shared" si="9"/>
        <v>52716</v>
      </c>
      <c r="O28" s="137">
        <f t="shared" si="10"/>
        <v>551759996.7</v>
      </c>
      <c r="P28" s="137">
        <f t="shared" si="11"/>
        <v>604373122.4</v>
      </c>
      <c r="Q28" s="137">
        <f t="shared" si="12"/>
        <v>125223587.3</v>
      </c>
      <c r="R28" s="137">
        <f t="shared" si="13"/>
        <v>7730.46994</v>
      </c>
      <c r="S28" s="137">
        <f t="shared" si="14"/>
        <v>8684.020863</v>
      </c>
      <c r="T28" s="137">
        <f t="shared" si="15"/>
        <v>426536409.4</v>
      </c>
      <c r="U28" s="137">
        <f t="shared" si="16"/>
        <v>479149535.1</v>
      </c>
      <c r="V28" s="138">
        <f t="shared" si="17"/>
        <v>1</v>
      </c>
      <c r="W28" s="138">
        <f t="shared" si="18"/>
        <v>1</v>
      </c>
      <c r="X28" s="138">
        <f t="shared" si="19"/>
        <v>1</v>
      </c>
      <c r="Y28" s="138">
        <f t="shared" si="20"/>
        <v>1</v>
      </c>
      <c r="Z28" s="82"/>
      <c r="AA28" s="82"/>
    </row>
    <row r="29" ht="15.75" customHeight="1">
      <c r="A29" s="82"/>
      <c r="B29" s="82"/>
      <c r="C29" s="82"/>
      <c r="D29" s="82" t="s">
        <v>270</v>
      </c>
      <c r="E29" s="82">
        <v>1.0</v>
      </c>
      <c r="F29" s="82" t="s">
        <v>257</v>
      </c>
      <c r="G29" s="133">
        <v>49518.0</v>
      </c>
      <c r="H29" s="133">
        <v>49978.0</v>
      </c>
      <c r="I29" s="82">
        <v>7546.53</v>
      </c>
      <c r="J29" s="82">
        <f t="shared" si="5"/>
        <v>11040</v>
      </c>
      <c r="K29" s="137">
        <f t="shared" si="6"/>
        <v>9999.999903</v>
      </c>
      <c r="L29" s="137">
        <f t="shared" si="7"/>
        <v>10925.4882</v>
      </c>
      <c r="M29" s="137">
        <f t="shared" si="8"/>
        <v>3806</v>
      </c>
      <c r="N29" s="137">
        <f t="shared" si="9"/>
        <v>85824</v>
      </c>
      <c r="O29" s="137">
        <f t="shared" si="10"/>
        <v>110399998.9</v>
      </c>
      <c r="P29" s="137">
        <f t="shared" si="11"/>
        <v>120617389.8</v>
      </c>
      <c r="Q29" s="137">
        <f t="shared" si="12"/>
        <v>83313691.2</v>
      </c>
      <c r="R29" s="137">
        <f t="shared" si="13"/>
        <v>2453.469903</v>
      </c>
      <c r="S29" s="137">
        <f t="shared" si="14"/>
        <v>3378.958202</v>
      </c>
      <c r="T29" s="137">
        <f t="shared" si="15"/>
        <v>27086307.73</v>
      </c>
      <c r="U29" s="137">
        <f t="shared" si="16"/>
        <v>37303698.55</v>
      </c>
      <c r="V29" s="138">
        <f t="shared" si="17"/>
        <v>1</v>
      </c>
      <c r="W29" s="138">
        <f t="shared" si="18"/>
        <v>1</v>
      </c>
      <c r="X29" s="138">
        <f t="shared" si="19"/>
        <v>1</v>
      </c>
      <c r="Y29" s="138">
        <f t="shared" si="20"/>
        <v>1</v>
      </c>
      <c r="Z29" s="82"/>
      <c r="AA29" s="82"/>
    </row>
    <row r="30" ht="15.75" customHeight="1">
      <c r="A30" s="82"/>
      <c r="B30" s="82"/>
      <c r="C30" s="82"/>
      <c r="D30" s="82" t="s">
        <v>273</v>
      </c>
      <c r="E30" s="82">
        <v>1.0</v>
      </c>
      <c r="F30" s="82" t="s">
        <v>257</v>
      </c>
      <c r="G30" s="133">
        <v>50055.0</v>
      </c>
      <c r="H30" s="133">
        <v>50354.0</v>
      </c>
      <c r="I30" s="82">
        <v>7546.53</v>
      </c>
      <c r="J30" s="82">
        <f t="shared" si="5"/>
        <v>7176</v>
      </c>
      <c r="K30" s="137">
        <f t="shared" si="6"/>
        <v>9999.999891</v>
      </c>
      <c r="L30" s="137">
        <f t="shared" si="7"/>
        <v>10916.38487</v>
      </c>
      <c r="M30" s="137">
        <f t="shared" si="8"/>
        <v>4182</v>
      </c>
      <c r="N30" s="137">
        <f t="shared" si="9"/>
        <v>96780</v>
      </c>
      <c r="O30" s="137">
        <f t="shared" si="10"/>
        <v>71759999.21</v>
      </c>
      <c r="P30" s="137">
        <f t="shared" si="11"/>
        <v>78335977.8</v>
      </c>
      <c r="Q30" s="137">
        <f t="shared" si="12"/>
        <v>54153899.28</v>
      </c>
      <c r="R30" s="137">
        <f t="shared" si="13"/>
        <v>2453.469891</v>
      </c>
      <c r="S30" s="137">
        <f t="shared" si="14"/>
        <v>3369.854866</v>
      </c>
      <c r="T30" s="137">
        <f t="shared" si="15"/>
        <v>17606099.93</v>
      </c>
      <c r="U30" s="137">
        <f t="shared" si="16"/>
        <v>24182078.52</v>
      </c>
      <c r="V30" s="138">
        <f t="shared" si="17"/>
        <v>1</v>
      </c>
      <c r="W30" s="138">
        <f t="shared" si="18"/>
        <v>1</v>
      </c>
      <c r="X30" s="138">
        <f t="shared" si="19"/>
        <v>1</v>
      </c>
      <c r="Y30" s="138">
        <f t="shared" si="20"/>
        <v>1</v>
      </c>
      <c r="Z30" s="82"/>
      <c r="AA30" s="82"/>
    </row>
    <row r="31" ht="15.75" customHeight="1">
      <c r="A31" s="82"/>
      <c r="B31" s="82"/>
      <c r="C31" s="11" t="s">
        <v>243</v>
      </c>
      <c r="D31" s="82" t="s">
        <v>276</v>
      </c>
      <c r="E31" s="82">
        <v>1.0</v>
      </c>
      <c r="F31" s="82" t="s">
        <v>257</v>
      </c>
      <c r="G31" s="133">
        <v>50354.0</v>
      </c>
      <c r="H31" s="133">
        <v>50389.0</v>
      </c>
      <c r="I31" s="82">
        <v>2269.53</v>
      </c>
      <c r="J31" s="82">
        <f t="shared" si="5"/>
        <v>840</v>
      </c>
      <c r="K31" s="137">
        <f t="shared" si="6"/>
        <v>9999.999886</v>
      </c>
      <c r="L31" s="137">
        <f t="shared" si="7"/>
        <v>10913.07704</v>
      </c>
      <c r="M31" s="137">
        <f t="shared" si="8"/>
        <v>4217</v>
      </c>
      <c r="N31" s="137">
        <f t="shared" si="9"/>
        <v>100788</v>
      </c>
      <c r="O31" s="137">
        <f t="shared" si="10"/>
        <v>8399999.904</v>
      </c>
      <c r="P31" s="137">
        <f t="shared" si="11"/>
        <v>9166984.711</v>
      </c>
      <c r="Q31" s="137">
        <f t="shared" si="12"/>
        <v>1906405.2</v>
      </c>
      <c r="R31" s="137">
        <f t="shared" si="13"/>
        <v>7730.469886</v>
      </c>
      <c r="S31" s="137">
        <f t="shared" si="14"/>
        <v>8643.547037</v>
      </c>
      <c r="T31" s="137">
        <f t="shared" si="15"/>
        <v>6493594.704</v>
      </c>
      <c r="U31" s="137">
        <f t="shared" si="16"/>
        <v>7260579.511</v>
      </c>
      <c r="V31" s="138">
        <f t="shared" si="17"/>
        <v>1</v>
      </c>
      <c r="W31" s="138">
        <f t="shared" si="18"/>
        <v>1</v>
      </c>
      <c r="X31" s="138">
        <f t="shared" si="19"/>
        <v>1</v>
      </c>
      <c r="Y31" s="138">
        <f t="shared" si="20"/>
        <v>1</v>
      </c>
      <c r="Z31" s="82"/>
      <c r="AA31" s="82"/>
    </row>
    <row r="32" ht="15.75" customHeight="1">
      <c r="A32" s="82"/>
      <c r="B32" s="82"/>
      <c r="C32" s="82"/>
      <c r="D32" s="82" t="s">
        <v>244</v>
      </c>
      <c r="E32" s="82">
        <v>1.0</v>
      </c>
      <c r="F32" s="82" t="s">
        <v>257</v>
      </c>
      <c r="G32" s="133">
        <v>50389.0</v>
      </c>
      <c r="H32" s="133">
        <v>50390.0</v>
      </c>
      <c r="I32" s="82">
        <v>1913.41</v>
      </c>
      <c r="J32" s="82">
        <f t="shared" si="5"/>
        <v>24</v>
      </c>
      <c r="K32" s="137">
        <f t="shared" si="6"/>
        <v>9999.999886</v>
      </c>
      <c r="L32" s="137">
        <f t="shared" si="7"/>
        <v>10912.72122</v>
      </c>
      <c r="M32" s="137">
        <f t="shared" si="8"/>
        <v>4218</v>
      </c>
      <c r="N32" s="137">
        <f t="shared" si="9"/>
        <v>101220</v>
      </c>
      <c r="O32" s="137">
        <f t="shared" si="10"/>
        <v>239999.9973</v>
      </c>
      <c r="P32" s="137">
        <f t="shared" si="11"/>
        <v>261905.3092</v>
      </c>
      <c r="Q32" s="137">
        <f t="shared" si="12"/>
        <v>45921.84</v>
      </c>
      <c r="R32" s="137">
        <f t="shared" si="13"/>
        <v>8086.589886</v>
      </c>
      <c r="S32" s="137">
        <f t="shared" si="14"/>
        <v>8999.311218</v>
      </c>
      <c r="T32" s="137">
        <f t="shared" si="15"/>
        <v>194078.1573</v>
      </c>
      <c r="U32" s="137">
        <f t="shared" si="16"/>
        <v>215983.4692</v>
      </c>
      <c r="V32" s="138">
        <f t="shared" si="17"/>
        <v>1</v>
      </c>
      <c r="W32" s="138">
        <f t="shared" si="18"/>
        <v>1</v>
      </c>
      <c r="X32" s="138">
        <f t="shared" si="19"/>
        <v>1</v>
      </c>
      <c r="Y32" s="138">
        <f t="shared" si="20"/>
        <v>1</v>
      </c>
      <c r="Z32" s="82"/>
      <c r="AA32" s="82"/>
    </row>
    <row r="33" ht="15.75" customHeight="1">
      <c r="A33" s="82"/>
      <c r="B33" s="82"/>
      <c r="C33" s="11"/>
      <c r="D33" s="82" t="s">
        <v>253</v>
      </c>
      <c r="E33" s="82">
        <v>1.0</v>
      </c>
      <c r="F33" s="82" t="s">
        <v>257</v>
      </c>
      <c r="G33" s="133">
        <v>50390.0</v>
      </c>
      <c r="H33" s="133">
        <v>50391.0</v>
      </c>
      <c r="I33" s="82">
        <v>1913.41</v>
      </c>
      <c r="J33" s="82">
        <f t="shared" si="5"/>
        <v>24</v>
      </c>
      <c r="K33" s="137">
        <f t="shared" si="6"/>
        <v>9999.999886</v>
      </c>
      <c r="L33" s="137">
        <f t="shared" si="7"/>
        <v>10912.70145</v>
      </c>
      <c r="M33" s="137">
        <f t="shared" si="8"/>
        <v>4219</v>
      </c>
      <c r="N33" s="137">
        <f t="shared" si="9"/>
        <v>101244</v>
      </c>
      <c r="O33" s="137">
        <f t="shared" si="10"/>
        <v>239999.9973</v>
      </c>
      <c r="P33" s="137">
        <f t="shared" si="11"/>
        <v>261904.8349</v>
      </c>
      <c r="Q33" s="137">
        <f t="shared" si="12"/>
        <v>45921.84</v>
      </c>
      <c r="R33" s="137">
        <f t="shared" si="13"/>
        <v>8086.589886</v>
      </c>
      <c r="S33" s="137">
        <f t="shared" si="14"/>
        <v>8999.291455</v>
      </c>
      <c r="T33" s="137">
        <f t="shared" si="15"/>
        <v>194078.1573</v>
      </c>
      <c r="U33" s="137">
        <f t="shared" si="16"/>
        <v>215982.9949</v>
      </c>
      <c r="V33" s="138">
        <f t="shared" si="17"/>
        <v>1</v>
      </c>
      <c r="W33" s="138">
        <f t="shared" si="18"/>
        <v>1</v>
      </c>
      <c r="X33" s="138">
        <f t="shared" si="19"/>
        <v>1</v>
      </c>
      <c r="Y33" s="138">
        <f t="shared" si="20"/>
        <v>1</v>
      </c>
      <c r="Z33" s="82"/>
      <c r="AA33" s="82"/>
    </row>
    <row r="34" ht="15.75" customHeight="1">
      <c r="C34" s="11"/>
      <c r="D34" s="82" t="s">
        <v>256</v>
      </c>
      <c r="E34" s="82">
        <v>1.0</v>
      </c>
      <c r="F34" s="82" t="s">
        <v>257</v>
      </c>
      <c r="G34" s="133">
        <v>50391.0</v>
      </c>
      <c r="H34" s="133">
        <v>50392.0</v>
      </c>
      <c r="I34" s="82">
        <v>1913.41</v>
      </c>
      <c r="J34" s="82">
        <f t="shared" si="5"/>
        <v>24</v>
      </c>
      <c r="K34" s="137">
        <f t="shared" si="6"/>
        <v>9999.999886</v>
      </c>
      <c r="L34" s="137">
        <f t="shared" si="7"/>
        <v>10912.68169</v>
      </c>
      <c r="M34" s="137">
        <f t="shared" si="8"/>
        <v>4220</v>
      </c>
      <c r="N34" s="137">
        <f t="shared" si="9"/>
        <v>101268</v>
      </c>
      <c r="O34" s="137">
        <f t="shared" si="10"/>
        <v>239999.9973</v>
      </c>
      <c r="P34" s="137">
        <f t="shared" si="11"/>
        <v>261904.3606</v>
      </c>
      <c r="Q34" s="137">
        <f t="shared" si="12"/>
        <v>45921.84</v>
      </c>
      <c r="R34" s="137">
        <f t="shared" si="13"/>
        <v>8086.589886</v>
      </c>
      <c r="S34" s="137">
        <f t="shared" si="14"/>
        <v>8999.271692</v>
      </c>
      <c r="T34" s="137">
        <f t="shared" si="15"/>
        <v>194078.1573</v>
      </c>
      <c r="U34" s="137">
        <f t="shared" si="16"/>
        <v>215982.5206</v>
      </c>
      <c r="V34" s="138">
        <f t="shared" si="17"/>
        <v>1</v>
      </c>
      <c r="W34" s="138">
        <f t="shared" si="18"/>
        <v>1</v>
      </c>
      <c r="X34" s="138">
        <f t="shared" si="19"/>
        <v>1</v>
      </c>
      <c r="Y34" s="138">
        <f t="shared" si="20"/>
        <v>1</v>
      </c>
    </row>
    <row r="35" ht="15.75" customHeight="1">
      <c r="C35" s="11"/>
      <c r="D35" s="82" t="s">
        <v>281</v>
      </c>
      <c r="E35" s="82">
        <v>1.0</v>
      </c>
      <c r="F35" s="82" t="s">
        <v>257</v>
      </c>
      <c r="G35" s="133">
        <v>50392.0</v>
      </c>
      <c r="H35" s="133">
        <v>50393.0</v>
      </c>
      <c r="I35" s="82">
        <v>1913.41</v>
      </c>
      <c r="J35" s="82">
        <f t="shared" si="5"/>
        <v>24</v>
      </c>
      <c r="K35" s="137">
        <f t="shared" si="6"/>
        <v>9999.999886</v>
      </c>
      <c r="L35" s="137">
        <f t="shared" si="7"/>
        <v>10912.66193</v>
      </c>
      <c r="M35" s="137">
        <f t="shared" si="8"/>
        <v>4221</v>
      </c>
      <c r="N35" s="137">
        <f t="shared" si="9"/>
        <v>101292</v>
      </c>
      <c r="O35" s="137">
        <f t="shared" si="10"/>
        <v>239999.9973</v>
      </c>
      <c r="P35" s="137">
        <f t="shared" si="11"/>
        <v>261903.8863</v>
      </c>
      <c r="Q35" s="137">
        <f t="shared" si="12"/>
        <v>45921.84</v>
      </c>
      <c r="R35" s="137">
        <f t="shared" si="13"/>
        <v>8086.589886</v>
      </c>
      <c r="S35" s="137">
        <f t="shared" si="14"/>
        <v>8999.251929</v>
      </c>
      <c r="T35" s="137">
        <f t="shared" si="15"/>
        <v>194078.1573</v>
      </c>
      <c r="U35" s="137">
        <f t="shared" si="16"/>
        <v>215982.0463</v>
      </c>
      <c r="V35" s="138">
        <f t="shared" si="17"/>
        <v>1</v>
      </c>
      <c r="W35" s="138">
        <f t="shared" si="18"/>
        <v>1</v>
      </c>
      <c r="X35" s="138">
        <f t="shared" si="19"/>
        <v>1</v>
      </c>
      <c r="Y35" s="138">
        <f t="shared" si="20"/>
        <v>1</v>
      </c>
    </row>
    <row r="36" ht="15.75" customHeight="1">
      <c r="C36" s="11"/>
      <c r="D36" s="82" t="s">
        <v>258</v>
      </c>
      <c r="E36" s="82">
        <v>1.0</v>
      </c>
      <c r="F36" s="82" t="s">
        <v>257</v>
      </c>
      <c r="G36" s="133">
        <v>50394.0</v>
      </c>
      <c r="H36" s="133">
        <v>50395.0</v>
      </c>
      <c r="I36" s="82">
        <v>1913.41</v>
      </c>
      <c r="J36" s="82">
        <f t="shared" si="5"/>
        <v>24</v>
      </c>
      <c r="K36" s="137">
        <f t="shared" si="6"/>
        <v>9999.999885</v>
      </c>
      <c r="L36" s="137">
        <f t="shared" si="7"/>
        <v>10912.6224</v>
      </c>
      <c r="M36" s="137">
        <f t="shared" si="8"/>
        <v>4223</v>
      </c>
      <c r="N36" s="137">
        <f t="shared" si="9"/>
        <v>101340</v>
      </c>
      <c r="O36" s="137">
        <f t="shared" si="10"/>
        <v>239999.9973</v>
      </c>
      <c r="P36" s="137">
        <f t="shared" si="11"/>
        <v>261902.9377</v>
      </c>
      <c r="Q36" s="137">
        <f t="shared" si="12"/>
        <v>45921.84</v>
      </c>
      <c r="R36" s="137">
        <f t="shared" si="13"/>
        <v>8086.589885</v>
      </c>
      <c r="S36" s="137">
        <f t="shared" si="14"/>
        <v>8999.212404</v>
      </c>
      <c r="T36" s="137">
        <f t="shared" si="15"/>
        <v>194078.1573</v>
      </c>
      <c r="U36" s="137">
        <f t="shared" si="16"/>
        <v>215981.0977</v>
      </c>
      <c r="V36" s="138">
        <f t="shared" si="17"/>
        <v>1</v>
      </c>
      <c r="W36" s="138">
        <f t="shared" si="18"/>
        <v>1</v>
      </c>
      <c r="X36" s="138">
        <f t="shared" si="19"/>
        <v>1</v>
      </c>
      <c r="Y36" s="138">
        <f t="shared" si="20"/>
        <v>1</v>
      </c>
    </row>
    <row r="37" ht="15.75" customHeight="1">
      <c r="C37" s="11" t="s">
        <v>262</v>
      </c>
      <c r="D37" s="82" t="s">
        <v>263</v>
      </c>
      <c r="E37" s="82">
        <v>1.0</v>
      </c>
      <c r="F37" s="82" t="s">
        <v>257</v>
      </c>
      <c r="G37" s="133">
        <v>50395.0</v>
      </c>
      <c r="H37" s="133">
        <v>50399.0</v>
      </c>
      <c r="I37" s="82">
        <v>1913.41</v>
      </c>
      <c r="J37" s="82">
        <f t="shared" si="5"/>
        <v>96</v>
      </c>
      <c r="K37" s="137">
        <f t="shared" si="6"/>
        <v>9999.999885</v>
      </c>
      <c r="L37" s="137">
        <f t="shared" si="7"/>
        <v>10912.573</v>
      </c>
      <c r="M37" s="137">
        <f t="shared" si="8"/>
        <v>4227</v>
      </c>
      <c r="N37" s="137">
        <f t="shared" si="9"/>
        <v>101400</v>
      </c>
      <c r="O37" s="137">
        <f t="shared" si="10"/>
        <v>959999.989</v>
      </c>
      <c r="P37" s="137">
        <f t="shared" si="11"/>
        <v>1047607.008</v>
      </c>
      <c r="Q37" s="137">
        <f t="shared" si="12"/>
        <v>183687.36</v>
      </c>
      <c r="R37" s="137">
        <f t="shared" si="13"/>
        <v>8086.589885</v>
      </c>
      <c r="S37" s="137">
        <f t="shared" si="14"/>
        <v>8999.163001</v>
      </c>
      <c r="T37" s="137">
        <f t="shared" si="15"/>
        <v>776312.629</v>
      </c>
      <c r="U37" s="137">
        <f t="shared" si="16"/>
        <v>863919.6481</v>
      </c>
      <c r="V37" s="138">
        <f t="shared" si="17"/>
        <v>1</v>
      </c>
      <c r="W37" s="138">
        <f t="shared" si="18"/>
        <v>1</v>
      </c>
      <c r="X37" s="138">
        <f t="shared" si="19"/>
        <v>1</v>
      </c>
      <c r="Y37" s="138">
        <f t="shared" si="20"/>
        <v>1</v>
      </c>
    </row>
    <row r="38" ht="15.75" customHeight="1">
      <c r="B38" s="30"/>
      <c r="C38" s="11"/>
      <c r="D38" s="82" t="s">
        <v>265</v>
      </c>
      <c r="E38" s="82">
        <v>1.0</v>
      </c>
      <c r="F38" s="82" t="s">
        <v>257</v>
      </c>
      <c r="G38" s="133">
        <v>50399.0</v>
      </c>
      <c r="H38" s="133">
        <v>50400.0</v>
      </c>
      <c r="I38" s="82">
        <v>1913.41</v>
      </c>
      <c r="J38" s="82">
        <f t="shared" si="5"/>
        <v>24</v>
      </c>
      <c r="K38" s="137">
        <f t="shared" si="6"/>
        <v>9999.999885</v>
      </c>
      <c r="L38" s="137">
        <f t="shared" si="7"/>
        <v>10912.5236</v>
      </c>
      <c r="M38" s="137">
        <f t="shared" si="8"/>
        <v>4228</v>
      </c>
      <c r="N38" s="137">
        <f t="shared" si="9"/>
        <v>101460</v>
      </c>
      <c r="O38" s="137">
        <f t="shared" si="10"/>
        <v>239999.9972</v>
      </c>
      <c r="P38" s="137">
        <f t="shared" si="11"/>
        <v>261900.5664</v>
      </c>
      <c r="Q38" s="137">
        <f t="shared" si="12"/>
        <v>45921.84</v>
      </c>
      <c r="R38" s="137">
        <f t="shared" si="13"/>
        <v>8086.589885</v>
      </c>
      <c r="S38" s="137">
        <f t="shared" si="14"/>
        <v>8999.113601</v>
      </c>
      <c r="T38" s="137">
        <f t="shared" si="15"/>
        <v>194078.1572</v>
      </c>
      <c r="U38" s="137">
        <f t="shared" si="16"/>
        <v>215978.7264</v>
      </c>
      <c r="V38" s="138">
        <f t="shared" si="17"/>
        <v>1</v>
      </c>
      <c r="W38" s="138">
        <f t="shared" si="18"/>
        <v>1</v>
      </c>
      <c r="X38" s="138">
        <f t="shared" si="19"/>
        <v>1</v>
      </c>
      <c r="Y38" s="138">
        <f t="shared" si="20"/>
        <v>1</v>
      </c>
    </row>
    <row r="39" ht="15.75" customHeight="1">
      <c r="C39" s="11"/>
      <c r="D39" s="82" t="s">
        <v>266</v>
      </c>
      <c r="E39" s="82">
        <v>2.0</v>
      </c>
      <c r="F39" s="82" t="s">
        <v>257</v>
      </c>
      <c r="G39" s="133">
        <v>50400.0</v>
      </c>
      <c r="H39" s="133">
        <v>50401.0</v>
      </c>
      <c r="I39" s="11">
        <v>756.22</v>
      </c>
      <c r="J39" s="82">
        <f t="shared" si="5"/>
        <v>24</v>
      </c>
      <c r="K39" s="137">
        <f t="shared" si="6"/>
        <v>0</v>
      </c>
      <c r="L39" s="137">
        <f t="shared" si="7"/>
        <v>10912.50384</v>
      </c>
      <c r="M39" s="137">
        <f t="shared" si="8"/>
        <v>4229</v>
      </c>
      <c r="N39" s="137">
        <f t="shared" si="9"/>
        <v>101484</v>
      </c>
      <c r="O39" s="137">
        <f t="shared" si="10"/>
        <v>0</v>
      </c>
      <c r="P39" s="137">
        <f t="shared" si="11"/>
        <v>261900.0922</v>
      </c>
      <c r="Q39" s="137">
        <f t="shared" si="12"/>
        <v>18149.28</v>
      </c>
      <c r="R39" s="137">
        <f t="shared" si="13"/>
        <v>-756.22</v>
      </c>
      <c r="S39" s="137">
        <f t="shared" si="14"/>
        <v>10156.28384</v>
      </c>
      <c r="T39" s="137">
        <f t="shared" si="15"/>
        <v>-18149.28</v>
      </c>
      <c r="U39" s="137">
        <f t="shared" si="16"/>
        <v>243750.8122</v>
      </c>
      <c r="V39" s="138">
        <f t="shared" si="17"/>
        <v>1</v>
      </c>
      <c r="W39" s="138">
        <f t="shared" si="18"/>
        <v>0.697512</v>
      </c>
      <c r="X39" s="138">
        <f t="shared" si="19"/>
        <v>1</v>
      </c>
      <c r="Y39" s="138">
        <f t="shared" si="20"/>
        <v>1</v>
      </c>
    </row>
    <row r="40" ht="15.75" customHeight="1">
      <c r="C40" s="11"/>
      <c r="D40" s="82" t="s">
        <v>311</v>
      </c>
      <c r="E40" s="82">
        <v>2.0</v>
      </c>
      <c r="F40" s="82" t="s">
        <v>257</v>
      </c>
      <c r="G40" s="133">
        <v>50401.0</v>
      </c>
      <c r="H40" s="133">
        <v>50402.0</v>
      </c>
      <c r="I40" s="11">
        <v>756.22</v>
      </c>
      <c r="J40" s="82">
        <f t="shared" si="5"/>
        <v>24</v>
      </c>
      <c r="K40" s="137">
        <f t="shared" si="6"/>
        <v>0</v>
      </c>
      <c r="L40" s="137">
        <f t="shared" si="7"/>
        <v>10912.48408</v>
      </c>
      <c r="M40" s="137">
        <f t="shared" si="8"/>
        <v>4230</v>
      </c>
      <c r="N40" s="137">
        <f t="shared" si="9"/>
        <v>101508</v>
      </c>
      <c r="O40" s="137">
        <f t="shared" si="10"/>
        <v>0</v>
      </c>
      <c r="P40" s="137">
        <f t="shared" si="11"/>
        <v>261899.618</v>
      </c>
      <c r="Q40" s="137">
        <f t="shared" si="12"/>
        <v>18149.28</v>
      </c>
      <c r="R40" s="137">
        <f t="shared" si="13"/>
        <v>-756.22</v>
      </c>
      <c r="S40" s="137">
        <f t="shared" si="14"/>
        <v>10156.26408</v>
      </c>
      <c r="T40" s="137">
        <f t="shared" si="15"/>
        <v>-18149.28</v>
      </c>
      <c r="U40" s="137">
        <f t="shared" si="16"/>
        <v>243750.338</v>
      </c>
      <c r="V40" s="138">
        <f t="shared" si="17"/>
        <v>1</v>
      </c>
      <c r="W40" s="138">
        <f t="shared" si="18"/>
        <v>0.395024</v>
      </c>
      <c r="X40" s="138">
        <f t="shared" si="19"/>
        <v>1</v>
      </c>
      <c r="Y40" s="138">
        <f t="shared" si="20"/>
        <v>1</v>
      </c>
    </row>
    <row r="41" ht="15.75" customHeight="1">
      <c r="C41" s="11"/>
      <c r="D41" s="82" t="s">
        <v>312</v>
      </c>
      <c r="E41" s="82">
        <v>1.0</v>
      </c>
      <c r="F41" s="82" t="s">
        <v>257</v>
      </c>
      <c r="G41" s="133">
        <v>50402.0</v>
      </c>
      <c r="H41" s="133">
        <v>50403.0</v>
      </c>
      <c r="I41" s="82">
        <v>1913.41</v>
      </c>
      <c r="J41" s="82">
        <f t="shared" si="5"/>
        <v>24</v>
      </c>
      <c r="K41" s="137">
        <f t="shared" si="6"/>
        <v>9999.999885</v>
      </c>
      <c r="L41" s="137">
        <f t="shared" si="7"/>
        <v>10912.46432</v>
      </c>
      <c r="M41" s="137">
        <f t="shared" si="8"/>
        <v>4231</v>
      </c>
      <c r="N41" s="137">
        <f t="shared" si="9"/>
        <v>101532</v>
      </c>
      <c r="O41" s="137">
        <f t="shared" si="10"/>
        <v>239999.9972</v>
      </c>
      <c r="P41" s="137">
        <f t="shared" si="11"/>
        <v>261899.1438</v>
      </c>
      <c r="Q41" s="137">
        <f t="shared" si="12"/>
        <v>45921.84</v>
      </c>
      <c r="R41" s="137">
        <f t="shared" si="13"/>
        <v>8086.589885</v>
      </c>
      <c r="S41" s="137">
        <f t="shared" si="14"/>
        <v>8999.054324</v>
      </c>
      <c r="T41" s="137">
        <f t="shared" si="15"/>
        <v>194078.1572</v>
      </c>
      <c r="U41" s="137">
        <f t="shared" si="16"/>
        <v>215977.3038</v>
      </c>
      <c r="V41" s="138">
        <f t="shared" si="17"/>
        <v>1</v>
      </c>
      <c r="W41" s="138">
        <f t="shared" si="18"/>
        <v>0.395024</v>
      </c>
      <c r="X41" s="138">
        <f t="shared" si="19"/>
        <v>1</v>
      </c>
      <c r="Y41" s="138">
        <f t="shared" si="20"/>
        <v>1</v>
      </c>
    </row>
    <row r="42" ht="15.75" customHeight="1">
      <c r="C42" s="11"/>
      <c r="D42" s="82" t="s">
        <v>286</v>
      </c>
      <c r="E42" s="82">
        <v>2.0</v>
      </c>
      <c r="F42" s="82" t="s">
        <v>257</v>
      </c>
      <c r="G42" s="133">
        <v>50403.0</v>
      </c>
      <c r="H42" s="133">
        <v>50435.0</v>
      </c>
      <c r="I42" s="11">
        <v>756.22</v>
      </c>
      <c r="J42" s="82">
        <f t="shared" si="5"/>
        <v>768</v>
      </c>
      <c r="K42" s="137">
        <f t="shared" si="6"/>
        <v>0</v>
      </c>
      <c r="L42" s="137">
        <f t="shared" si="7"/>
        <v>10912.13837</v>
      </c>
      <c r="M42" s="137">
        <f t="shared" si="8"/>
        <v>4263</v>
      </c>
      <c r="N42" s="137">
        <f t="shared" si="9"/>
        <v>101928</v>
      </c>
      <c r="O42" s="137">
        <f t="shared" si="10"/>
        <v>0</v>
      </c>
      <c r="P42" s="137">
        <f t="shared" si="11"/>
        <v>8380522.269</v>
      </c>
      <c r="Q42" s="137">
        <f t="shared" si="12"/>
        <v>580776.96</v>
      </c>
      <c r="R42" s="137">
        <f t="shared" si="13"/>
        <v>-756.22</v>
      </c>
      <c r="S42" s="137">
        <f t="shared" si="14"/>
        <v>10155.91837</v>
      </c>
      <c r="T42" s="137">
        <f t="shared" si="15"/>
        <v>-580776.96</v>
      </c>
      <c r="U42" s="137">
        <f t="shared" si="16"/>
        <v>7799745.309</v>
      </c>
      <c r="V42" s="138">
        <f t="shared" si="17"/>
        <v>1</v>
      </c>
      <c r="W42" s="138">
        <f t="shared" si="18"/>
        <v>-9.284592</v>
      </c>
      <c r="X42" s="138">
        <f t="shared" si="19"/>
        <v>1</v>
      </c>
      <c r="Y42" s="138">
        <f t="shared" si="20"/>
        <v>1</v>
      </c>
    </row>
    <row r="43" ht="15.75" customHeight="1">
      <c r="C43" s="11"/>
      <c r="D43" s="82" t="s">
        <v>269</v>
      </c>
      <c r="E43" s="82">
        <v>2.0</v>
      </c>
      <c r="F43" s="82" t="s">
        <v>257</v>
      </c>
      <c r="G43" s="133">
        <v>50435.0</v>
      </c>
      <c r="H43" s="133">
        <v>50436.0</v>
      </c>
      <c r="I43" s="11">
        <v>756.22</v>
      </c>
      <c r="J43" s="82">
        <f t="shared" si="5"/>
        <v>24</v>
      </c>
      <c r="K43" s="137">
        <f t="shared" si="6"/>
        <v>0</v>
      </c>
      <c r="L43" s="137">
        <f t="shared" si="7"/>
        <v>10911.81253</v>
      </c>
      <c r="M43" s="137">
        <f t="shared" si="8"/>
        <v>4264</v>
      </c>
      <c r="N43" s="137">
        <f t="shared" si="9"/>
        <v>102324</v>
      </c>
      <c r="O43" s="137">
        <f t="shared" si="10"/>
        <v>0</v>
      </c>
      <c r="P43" s="137">
        <f t="shared" si="11"/>
        <v>261883.5008</v>
      </c>
      <c r="Q43" s="137">
        <f t="shared" si="12"/>
        <v>18149.28</v>
      </c>
      <c r="R43" s="137">
        <f t="shared" si="13"/>
        <v>-756.22</v>
      </c>
      <c r="S43" s="137">
        <f t="shared" si="14"/>
        <v>10155.59253</v>
      </c>
      <c r="T43" s="137">
        <f t="shared" si="15"/>
        <v>-18149.28</v>
      </c>
      <c r="U43" s="137">
        <f t="shared" si="16"/>
        <v>243734.2208</v>
      </c>
      <c r="V43" s="138">
        <f t="shared" si="17"/>
        <v>1</v>
      </c>
      <c r="W43" s="138">
        <f t="shared" si="18"/>
        <v>-9.58708</v>
      </c>
      <c r="X43" s="138">
        <f t="shared" si="19"/>
        <v>1</v>
      </c>
      <c r="Y43" s="138">
        <f t="shared" si="20"/>
        <v>1</v>
      </c>
    </row>
    <row r="44" ht="15.75" customHeight="1">
      <c r="C44" s="11"/>
      <c r="D44" s="82" t="s">
        <v>274</v>
      </c>
      <c r="E44" s="82">
        <v>2.0</v>
      </c>
      <c r="F44" s="82" t="s">
        <v>289</v>
      </c>
      <c r="G44" s="133">
        <v>50436.0</v>
      </c>
      <c r="H44" s="133">
        <v>50437.0</v>
      </c>
      <c r="I44" s="11">
        <v>0.0</v>
      </c>
      <c r="J44" s="82">
        <f t="shared" si="5"/>
        <v>24</v>
      </c>
      <c r="K44" s="137">
        <f t="shared" si="6"/>
        <v>9999.999884</v>
      </c>
      <c r="L44" s="137">
        <f t="shared" si="7"/>
        <v>10911.79279</v>
      </c>
      <c r="M44" s="137">
        <f t="shared" si="8"/>
        <v>4265</v>
      </c>
      <c r="N44" s="137">
        <f t="shared" si="9"/>
        <v>102348</v>
      </c>
      <c r="O44" s="137">
        <f t="shared" si="10"/>
        <v>239999.9972</v>
      </c>
      <c r="P44" s="137">
        <f t="shared" si="11"/>
        <v>261883.0269</v>
      </c>
      <c r="Q44" s="137">
        <f t="shared" si="12"/>
        <v>0</v>
      </c>
      <c r="R44" s="137">
        <f t="shared" si="13"/>
        <v>9999.999884</v>
      </c>
      <c r="S44" s="137">
        <f t="shared" si="14"/>
        <v>10911.79279</v>
      </c>
      <c r="T44" s="137">
        <f t="shared" si="15"/>
        <v>239999.9972</v>
      </c>
      <c r="U44" s="137">
        <f t="shared" si="16"/>
        <v>261883.0269</v>
      </c>
      <c r="V44" s="138">
        <f t="shared" si="17"/>
        <v>1</v>
      </c>
      <c r="W44" s="138">
        <f t="shared" si="18"/>
        <v>-5.587080046</v>
      </c>
      <c r="X44" s="138">
        <f t="shared" si="19"/>
        <v>1</v>
      </c>
      <c r="Y44" s="138">
        <f t="shared" si="20"/>
        <v>1</v>
      </c>
    </row>
    <row r="45" ht="15.75" customHeight="1">
      <c r="C45" s="11"/>
      <c r="D45" s="82" t="s">
        <v>266</v>
      </c>
      <c r="E45" s="82">
        <v>2.0</v>
      </c>
      <c r="F45" s="82" t="s">
        <v>257</v>
      </c>
      <c r="G45" s="133">
        <v>50438.0</v>
      </c>
      <c r="H45" s="133">
        <v>50439.0</v>
      </c>
      <c r="I45" s="11">
        <v>756.22</v>
      </c>
      <c r="J45" s="82">
        <f t="shared" si="5"/>
        <v>24</v>
      </c>
      <c r="K45" s="137">
        <f t="shared" si="6"/>
        <v>0</v>
      </c>
      <c r="L45" s="137">
        <f t="shared" si="7"/>
        <v>10911.7533</v>
      </c>
      <c r="M45" s="137">
        <f t="shared" si="8"/>
        <v>4267</v>
      </c>
      <c r="N45" s="137">
        <f t="shared" si="9"/>
        <v>102396</v>
      </c>
      <c r="O45" s="137">
        <f t="shared" si="10"/>
        <v>0</v>
      </c>
      <c r="P45" s="137">
        <f t="shared" si="11"/>
        <v>261882.0793</v>
      </c>
      <c r="Q45" s="137">
        <f t="shared" si="12"/>
        <v>18149.28</v>
      </c>
      <c r="R45" s="137">
        <f t="shared" si="13"/>
        <v>-756.22</v>
      </c>
      <c r="S45" s="137">
        <f t="shared" si="14"/>
        <v>10155.5333</v>
      </c>
      <c r="T45" s="137">
        <f t="shared" si="15"/>
        <v>-18149.28</v>
      </c>
      <c r="U45" s="137">
        <f t="shared" si="16"/>
        <v>243732.7993</v>
      </c>
      <c r="V45" s="138">
        <f t="shared" si="17"/>
        <v>1</v>
      </c>
      <c r="W45" s="138">
        <f t="shared" si="18"/>
        <v>-5.889568046</v>
      </c>
      <c r="X45" s="138">
        <f t="shared" si="19"/>
        <v>1</v>
      </c>
      <c r="Y45" s="138">
        <f t="shared" si="20"/>
        <v>1</v>
      </c>
    </row>
    <row r="46" ht="15.75" customHeight="1">
      <c r="C46" s="11"/>
      <c r="D46" s="82" t="s">
        <v>286</v>
      </c>
      <c r="E46" s="82">
        <v>2.0</v>
      </c>
      <c r="F46" s="82" t="s">
        <v>257</v>
      </c>
      <c r="G46" s="133">
        <v>50439.0</v>
      </c>
      <c r="H46" s="133">
        <v>50440.0</v>
      </c>
      <c r="I46" s="11">
        <v>756.22</v>
      </c>
      <c r="J46" s="82">
        <f t="shared" si="5"/>
        <v>24</v>
      </c>
      <c r="K46" s="137">
        <f t="shared" si="6"/>
        <v>0</v>
      </c>
      <c r="L46" s="137">
        <f t="shared" si="7"/>
        <v>10911.73356</v>
      </c>
      <c r="M46" s="137">
        <f t="shared" si="8"/>
        <v>4268</v>
      </c>
      <c r="N46" s="137">
        <f t="shared" si="9"/>
        <v>102420</v>
      </c>
      <c r="O46" s="137">
        <f t="shared" si="10"/>
        <v>0</v>
      </c>
      <c r="P46" s="137">
        <f t="shared" si="11"/>
        <v>261881.6054</v>
      </c>
      <c r="Q46" s="137">
        <f t="shared" si="12"/>
        <v>18149.28</v>
      </c>
      <c r="R46" s="137">
        <f t="shared" si="13"/>
        <v>-756.22</v>
      </c>
      <c r="S46" s="137">
        <f t="shared" si="14"/>
        <v>10155.51356</v>
      </c>
      <c r="T46" s="137">
        <f t="shared" si="15"/>
        <v>-18149.28</v>
      </c>
      <c r="U46" s="137">
        <f t="shared" si="16"/>
        <v>243732.3254</v>
      </c>
      <c r="V46" s="138">
        <f t="shared" si="17"/>
        <v>1</v>
      </c>
      <c r="W46" s="138">
        <f t="shared" si="18"/>
        <v>-6.192056046</v>
      </c>
      <c r="X46" s="138">
        <f t="shared" si="19"/>
        <v>1</v>
      </c>
      <c r="Y46" s="138">
        <f t="shared" si="20"/>
        <v>1</v>
      </c>
    </row>
    <row r="47" ht="15.75" customHeight="1">
      <c r="C47" s="11"/>
      <c r="D47" s="82" t="s">
        <v>269</v>
      </c>
      <c r="E47" s="82">
        <v>2.0</v>
      </c>
      <c r="F47" s="82" t="s">
        <v>257</v>
      </c>
      <c r="G47" s="133">
        <v>50440.0</v>
      </c>
      <c r="H47" s="133">
        <v>50441.0</v>
      </c>
      <c r="I47" s="11">
        <v>756.22</v>
      </c>
      <c r="J47" s="82">
        <f t="shared" si="5"/>
        <v>24</v>
      </c>
      <c r="K47" s="137">
        <f t="shared" si="6"/>
        <v>0</v>
      </c>
      <c r="L47" s="137">
        <f t="shared" si="7"/>
        <v>10911.71382</v>
      </c>
      <c r="M47" s="137">
        <f t="shared" si="8"/>
        <v>4269</v>
      </c>
      <c r="N47" s="137">
        <f t="shared" si="9"/>
        <v>102444</v>
      </c>
      <c r="O47" s="137">
        <f t="shared" si="10"/>
        <v>0</v>
      </c>
      <c r="P47" s="137">
        <f t="shared" si="11"/>
        <v>261881.1316</v>
      </c>
      <c r="Q47" s="137">
        <f t="shared" si="12"/>
        <v>18149.28</v>
      </c>
      <c r="R47" s="137">
        <f t="shared" si="13"/>
        <v>-756.22</v>
      </c>
      <c r="S47" s="137">
        <f t="shared" si="14"/>
        <v>10155.49382</v>
      </c>
      <c r="T47" s="137">
        <f t="shared" si="15"/>
        <v>-18149.28</v>
      </c>
      <c r="U47" s="137">
        <f t="shared" si="16"/>
        <v>243731.8516</v>
      </c>
      <c r="V47" s="138">
        <f t="shared" si="17"/>
        <v>1</v>
      </c>
      <c r="W47" s="138">
        <f t="shared" si="18"/>
        <v>-6.494544046</v>
      </c>
      <c r="X47" s="138">
        <f t="shared" si="19"/>
        <v>1</v>
      </c>
      <c r="Y47" s="138">
        <f t="shared" si="20"/>
        <v>1</v>
      </c>
    </row>
    <row r="48" ht="15.75" customHeight="1">
      <c r="C48" s="11"/>
      <c r="D48" s="82" t="s">
        <v>274</v>
      </c>
      <c r="E48" s="82">
        <v>2.0</v>
      </c>
      <c r="F48" s="82" t="s">
        <v>289</v>
      </c>
      <c r="G48" s="133">
        <v>50441.0</v>
      </c>
      <c r="H48" s="133">
        <v>50451.0</v>
      </c>
      <c r="I48" s="11">
        <v>0.0</v>
      </c>
      <c r="J48" s="82">
        <f t="shared" si="5"/>
        <v>240</v>
      </c>
      <c r="K48" s="137">
        <f t="shared" si="6"/>
        <v>9999.999884</v>
      </c>
      <c r="L48" s="137">
        <f t="shared" si="7"/>
        <v>10911.60524</v>
      </c>
      <c r="M48" s="137">
        <f t="shared" si="8"/>
        <v>4279</v>
      </c>
      <c r="N48" s="137">
        <f t="shared" si="9"/>
        <v>102576</v>
      </c>
      <c r="O48" s="137">
        <f t="shared" si="10"/>
        <v>2399999.972</v>
      </c>
      <c r="P48" s="137">
        <f t="shared" si="11"/>
        <v>2618785.258</v>
      </c>
      <c r="Q48" s="137">
        <f t="shared" si="12"/>
        <v>0</v>
      </c>
      <c r="R48" s="137">
        <f t="shared" si="13"/>
        <v>9999.999884</v>
      </c>
      <c r="S48" s="137">
        <f t="shared" si="14"/>
        <v>10911.60524</v>
      </c>
      <c r="T48" s="137">
        <f t="shared" si="15"/>
        <v>2399999.972</v>
      </c>
      <c r="U48" s="137">
        <f t="shared" si="16"/>
        <v>2618785.258</v>
      </c>
      <c r="V48" s="138">
        <f t="shared" si="17"/>
        <v>1</v>
      </c>
      <c r="W48" s="138">
        <f t="shared" si="18"/>
        <v>1</v>
      </c>
      <c r="X48" s="138">
        <f t="shared" si="19"/>
        <v>1</v>
      </c>
      <c r="Y48" s="138">
        <f t="shared" si="20"/>
        <v>1</v>
      </c>
    </row>
    <row r="49" ht="15.75" customHeight="1">
      <c r="C49" s="11"/>
      <c r="D49" s="82" t="s">
        <v>297</v>
      </c>
      <c r="E49" s="82">
        <v>2.0</v>
      </c>
      <c r="F49" s="82" t="s">
        <v>257</v>
      </c>
      <c r="G49" s="133">
        <v>50451.0</v>
      </c>
      <c r="H49" s="133">
        <v>50452.0</v>
      </c>
      <c r="I49" s="11">
        <v>756.22</v>
      </c>
      <c r="J49" s="82">
        <f t="shared" si="5"/>
        <v>24</v>
      </c>
      <c r="K49" s="137">
        <f t="shared" si="6"/>
        <v>0</v>
      </c>
      <c r="L49" s="137">
        <f t="shared" si="7"/>
        <v>10911.49668</v>
      </c>
      <c r="M49" s="137">
        <f t="shared" si="8"/>
        <v>4280</v>
      </c>
      <c r="N49" s="137">
        <f t="shared" si="9"/>
        <v>102708</v>
      </c>
      <c r="O49" s="137">
        <f t="shared" si="10"/>
        <v>0</v>
      </c>
      <c r="P49" s="137">
        <f t="shared" si="11"/>
        <v>261875.9203</v>
      </c>
      <c r="Q49" s="137">
        <f t="shared" si="12"/>
        <v>18149.28</v>
      </c>
      <c r="R49" s="137">
        <f t="shared" si="13"/>
        <v>-756.22</v>
      </c>
      <c r="S49" s="137">
        <f t="shared" si="14"/>
        <v>10155.27668</v>
      </c>
      <c r="T49" s="137">
        <f t="shared" si="15"/>
        <v>-18149.28</v>
      </c>
      <c r="U49" s="137">
        <f t="shared" si="16"/>
        <v>243726.6403</v>
      </c>
      <c r="V49" s="138">
        <f t="shared" si="17"/>
        <v>1</v>
      </c>
      <c r="W49" s="138">
        <f t="shared" si="18"/>
        <v>0.697512</v>
      </c>
      <c r="X49" s="138">
        <f t="shared" si="19"/>
        <v>1</v>
      </c>
      <c r="Y49" s="138">
        <f t="shared" si="20"/>
        <v>1</v>
      </c>
    </row>
    <row r="50" ht="15.75" customHeight="1">
      <c r="C50" s="11"/>
      <c r="D50" s="82" t="s">
        <v>313</v>
      </c>
      <c r="E50" s="82">
        <v>2.0</v>
      </c>
      <c r="F50" s="82" t="s">
        <v>257</v>
      </c>
      <c r="G50" s="133">
        <v>50452.0</v>
      </c>
      <c r="H50" s="133">
        <v>50453.0</v>
      </c>
      <c r="I50" s="11">
        <v>756.22</v>
      </c>
      <c r="J50" s="82">
        <f t="shared" si="5"/>
        <v>24</v>
      </c>
      <c r="K50" s="137">
        <f t="shared" si="6"/>
        <v>0</v>
      </c>
      <c r="L50" s="137">
        <f t="shared" si="7"/>
        <v>10911.47694</v>
      </c>
      <c r="M50" s="137">
        <f t="shared" si="8"/>
        <v>4281</v>
      </c>
      <c r="N50" s="137">
        <f t="shared" si="9"/>
        <v>102732</v>
      </c>
      <c r="O50" s="137">
        <f t="shared" si="10"/>
        <v>0</v>
      </c>
      <c r="P50" s="137">
        <f t="shared" si="11"/>
        <v>261875.4467</v>
      </c>
      <c r="Q50" s="137">
        <f t="shared" si="12"/>
        <v>18149.28</v>
      </c>
      <c r="R50" s="137">
        <f t="shared" si="13"/>
        <v>-756.22</v>
      </c>
      <c r="S50" s="137">
        <f t="shared" si="14"/>
        <v>10155.25694</v>
      </c>
      <c r="T50" s="137">
        <f t="shared" si="15"/>
        <v>-18149.28</v>
      </c>
      <c r="U50" s="137">
        <f t="shared" si="16"/>
        <v>243726.1667</v>
      </c>
      <c r="V50" s="138">
        <f t="shared" si="17"/>
        <v>1</v>
      </c>
      <c r="W50" s="138">
        <f t="shared" si="18"/>
        <v>0.395024</v>
      </c>
      <c r="X50" s="138">
        <f t="shared" si="19"/>
        <v>1</v>
      </c>
      <c r="Y50" s="138">
        <f t="shared" si="20"/>
        <v>1</v>
      </c>
    </row>
    <row r="51" ht="15.75" customHeight="1">
      <c r="C51" s="11"/>
      <c r="D51" s="82" t="s">
        <v>269</v>
      </c>
      <c r="E51" s="82">
        <v>2.0</v>
      </c>
      <c r="F51" s="82" t="s">
        <v>257</v>
      </c>
      <c r="G51" s="133">
        <v>50453.0</v>
      </c>
      <c r="H51" s="133">
        <v>50454.0</v>
      </c>
      <c r="I51" s="11">
        <v>756.22</v>
      </c>
      <c r="J51" s="82">
        <f t="shared" si="5"/>
        <v>24</v>
      </c>
      <c r="K51" s="137">
        <f t="shared" si="6"/>
        <v>0</v>
      </c>
      <c r="L51" s="137">
        <f t="shared" si="7"/>
        <v>10911.45721</v>
      </c>
      <c r="M51" s="137">
        <f t="shared" si="8"/>
        <v>4282</v>
      </c>
      <c r="N51" s="137">
        <f t="shared" si="9"/>
        <v>102756</v>
      </c>
      <c r="O51" s="137">
        <f t="shared" si="10"/>
        <v>0</v>
      </c>
      <c r="P51" s="137">
        <f t="shared" si="11"/>
        <v>261874.973</v>
      </c>
      <c r="Q51" s="137">
        <f t="shared" si="12"/>
        <v>18149.28</v>
      </c>
      <c r="R51" s="137">
        <f t="shared" si="13"/>
        <v>-756.22</v>
      </c>
      <c r="S51" s="137">
        <f t="shared" si="14"/>
        <v>10155.23721</v>
      </c>
      <c r="T51" s="137">
        <f t="shared" si="15"/>
        <v>-18149.28</v>
      </c>
      <c r="U51" s="137">
        <f t="shared" si="16"/>
        <v>243725.693</v>
      </c>
      <c r="V51" s="138">
        <f t="shared" si="17"/>
        <v>1</v>
      </c>
      <c r="W51" s="138">
        <f t="shared" si="18"/>
        <v>0.092536</v>
      </c>
      <c r="X51" s="138">
        <f t="shared" si="19"/>
        <v>1</v>
      </c>
      <c r="Y51" s="138">
        <f t="shared" si="20"/>
        <v>1</v>
      </c>
    </row>
    <row r="52" ht="15.75" customHeight="1">
      <c r="C52" s="11" t="s">
        <v>278</v>
      </c>
      <c r="D52" s="82" t="s">
        <v>279</v>
      </c>
      <c r="E52" s="82">
        <v>1.0</v>
      </c>
      <c r="F52" s="82" t="s">
        <v>257</v>
      </c>
      <c r="G52" s="133">
        <v>50454.0</v>
      </c>
      <c r="H52" s="133">
        <v>50455.0</v>
      </c>
      <c r="I52" s="11">
        <v>1913.41</v>
      </c>
      <c r="J52" s="82">
        <f t="shared" si="5"/>
        <v>24</v>
      </c>
      <c r="K52" s="137">
        <f t="shared" si="6"/>
        <v>9999.999884</v>
      </c>
      <c r="L52" s="137">
        <f t="shared" si="7"/>
        <v>10911.43747</v>
      </c>
      <c r="M52" s="137">
        <f t="shared" si="8"/>
        <v>4283</v>
      </c>
      <c r="N52" s="137">
        <f t="shared" si="9"/>
        <v>102780</v>
      </c>
      <c r="O52" s="137">
        <f t="shared" si="10"/>
        <v>239999.9972</v>
      </c>
      <c r="P52" s="137">
        <f t="shared" si="11"/>
        <v>261874.4993</v>
      </c>
      <c r="Q52" s="137">
        <f t="shared" si="12"/>
        <v>45921.84</v>
      </c>
      <c r="R52" s="137">
        <f t="shared" si="13"/>
        <v>8086.589884</v>
      </c>
      <c r="S52" s="137">
        <f t="shared" si="14"/>
        <v>8998.027471</v>
      </c>
      <c r="T52" s="137">
        <f t="shared" si="15"/>
        <v>194078.1572</v>
      </c>
      <c r="U52" s="137">
        <f t="shared" si="16"/>
        <v>215952.6593</v>
      </c>
      <c r="V52" s="138">
        <f t="shared" si="17"/>
        <v>1</v>
      </c>
      <c r="W52" s="138">
        <f t="shared" si="18"/>
        <v>0.092536</v>
      </c>
      <c r="X52" s="138">
        <f t="shared" si="19"/>
        <v>1</v>
      </c>
      <c r="Y52" s="138">
        <f t="shared" si="20"/>
        <v>1</v>
      </c>
    </row>
    <row r="53" ht="15.75" customHeight="1">
      <c r="C53" s="11"/>
      <c r="D53" s="82" t="s">
        <v>280</v>
      </c>
      <c r="E53" s="82">
        <v>1.0</v>
      </c>
      <c r="F53" s="82" t="s">
        <v>257</v>
      </c>
      <c r="G53" s="145">
        <v>44611.0</v>
      </c>
      <c r="H53" s="145">
        <v>50472.0</v>
      </c>
      <c r="I53" s="11">
        <v>1913.41</v>
      </c>
      <c r="J53" s="82">
        <f t="shared" si="5"/>
        <v>140664</v>
      </c>
      <c r="K53" s="137">
        <f t="shared" si="6"/>
        <v>9999.999963</v>
      </c>
      <c r="L53" s="137">
        <f t="shared" si="7"/>
        <v>10970.78055</v>
      </c>
      <c r="M53" s="137">
        <f t="shared" si="8"/>
        <v>4300</v>
      </c>
      <c r="N53" s="137">
        <f t="shared" si="9"/>
        <v>32868</v>
      </c>
      <c r="O53" s="137">
        <f t="shared" si="10"/>
        <v>1406639995</v>
      </c>
      <c r="P53" s="137">
        <f t="shared" si="11"/>
        <v>1543193875</v>
      </c>
      <c r="Q53" s="137">
        <f t="shared" si="12"/>
        <v>269147904.2</v>
      </c>
      <c r="R53" s="137">
        <f t="shared" si="13"/>
        <v>8086.589963</v>
      </c>
      <c r="S53" s="137">
        <f t="shared" si="14"/>
        <v>9057.370549</v>
      </c>
      <c r="T53" s="137">
        <f t="shared" si="15"/>
        <v>1137492091</v>
      </c>
      <c r="U53" s="137">
        <f t="shared" si="16"/>
        <v>1274045971</v>
      </c>
      <c r="V53" s="138">
        <f t="shared" si="17"/>
        <v>1</v>
      </c>
      <c r="W53" s="138">
        <f t="shared" si="18"/>
        <v>0.092536</v>
      </c>
      <c r="X53" s="138">
        <f t="shared" si="19"/>
        <v>1</v>
      </c>
      <c r="Y53" s="138">
        <f t="shared" si="20"/>
        <v>1</v>
      </c>
      <c r="AB53" s="31"/>
    </row>
    <row r="54" ht="15.75" customHeight="1">
      <c r="C54" s="11"/>
      <c r="D54" s="82" t="s">
        <v>282</v>
      </c>
      <c r="E54" s="82">
        <v>3.0</v>
      </c>
      <c r="F54" s="82" t="s">
        <v>257</v>
      </c>
      <c r="G54" s="133">
        <v>50472.0</v>
      </c>
      <c r="H54" s="133">
        <v>50473.0</v>
      </c>
      <c r="I54" s="11">
        <v>503.41</v>
      </c>
      <c r="J54" s="82">
        <f t="shared" si="5"/>
        <v>24</v>
      </c>
      <c r="K54" s="137">
        <f t="shared" si="6"/>
        <v>455.5412039</v>
      </c>
      <c r="L54" s="137">
        <f t="shared" si="7"/>
        <v>10911.08229</v>
      </c>
      <c r="M54" s="137">
        <f t="shared" si="8"/>
        <v>4301</v>
      </c>
      <c r="N54" s="137">
        <f t="shared" si="9"/>
        <v>103212</v>
      </c>
      <c r="O54" s="137">
        <f t="shared" si="10"/>
        <v>10932.98889</v>
      </c>
      <c r="P54" s="137">
        <f t="shared" si="11"/>
        <v>261865.975</v>
      </c>
      <c r="Q54" s="137">
        <f t="shared" si="12"/>
        <v>12081.84</v>
      </c>
      <c r="R54" s="137">
        <f t="shared" si="13"/>
        <v>-47.86879609</v>
      </c>
      <c r="S54" s="137">
        <f t="shared" si="14"/>
        <v>10407.67229</v>
      </c>
      <c r="T54" s="137">
        <f t="shared" si="15"/>
        <v>-1148.851106</v>
      </c>
      <c r="U54" s="137">
        <f t="shared" si="16"/>
        <v>249784.135</v>
      </c>
      <c r="V54" s="138">
        <f t="shared" si="17"/>
        <v>1</v>
      </c>
      <c r="W54" s="138">
        <f t="shared" si="18"/>
        <v>0.092536</v>
      </c>
      <c r="X54" s="138">
        <f t="shared" si="19"/>
        <v>0.9986323201</v>
      </c>
      <c r="Y54" s="138">
        <f t="shared" si="20"/>
        <v>1</v>
      </c>
      <c r="AD54" s="115"/>
    </row>
    <row r="55" ht="15.75" customHeight="1">
      <c r="C55" s="11" t="s">
        <v>290</v>
      </c>
      <c r="D55" s="82" t="s">
        <v>291</v>
      </c>
      <c r="E55" s="82">
        <v>3.0</v>
      </c>
      <c r="F55" s="82" t="s">
        <v>257</v>
      </c>
      <c r="G55" s="133">
        <v>50473.0</v>
      </c>
      <c r="H55" s="133">
        <v>53159.0</v>
      </c>
      <c r="I55" s="11">
        <v>503.41</v>
      </c>
      <c r="J55" s="82">
        <f t="shared" si="5"/>
        <v>64464</v>
      </c>
      <c r="K55" s="137">
        <f t="shared" si="6"/>
        <v>442.4796018</v>
      </c>
      <c r="L55" s="137">
        <f t="shared" si="7"/>
        <v>10884.95905</v>
      </c>
      <c r="M55" s="137">
        <f t="shared" si="8"/>
        <v>6987</v>
      </c>
      <c r="N55" s="137">
        <f t="shared" si="9"/>
        <v>135456</v>
      </c>
      <c r="O55" s="137">
        <f t="shared" si="10"/>
        <v>28524005.05</v>
      </c>
      <c r="P55" s="137">
        <f t="shared" si="11"/>
        <v>701688000.2</v>
      </c>
      <c r="Q55" s="137">
        <f t="shared" si="12"/>
        <v>32451822.24</v>
      </c>
      <c r="R55" s="137">
        <f t="shared" si="13"/>
        <v>-60.93039817</v>
      </c>
      <c r="S55" s="137">
        <f t="shared" si="14"/>
        <v>10381.54905</v>
      </c>
      <c r="T55" s="137">
        <f t="shared" si="15"/>
        <v>-3927817.187</v>
      </c>
      <c r="U55" s="137">
        <f t="shared" si="16"/>
        <v>669236178</v>
      </c>
      <c r="V55" s="138">
        <f t="shared" si="17"/>
        <v>1</v>
      </c>
      <c r="W55" s="138">
        <f t="shared" si="18"/>
        <v>0.092536</v>
      </c>
      <c r="X55" s="138">
        <f t="shared" si="19"/>
        <v>-3.677340522</v>
      </c>
      <c r="Y55" s="138">
        <f t="shared" si="20"/>
        <v>1</v>
      </c>
      <c r="AD55" s="115"/>
    </row>
    <row r="56" ht="15.75" customHeight="1">
      <c r="C56" s="11" t="s">
        <v>295</v>
      </c>
      <c r="D56" s="82" t="s">
        <v>295</v>
      </c>
      <c r="E56" s="82">
        <v>3.0</v>
      </c>
      <c r="F56" s="82" t="s">
        <v>257</v>
      </c>
      <c r="G56" s="133">
        <v>52794.0</v>
      </c>
      <c r="H56" s="133">
        <v>52795.0</v>
      </c>
      <c r="I56" s="11">
        <v>503.41</v>
      </c>
      <c r="J56" s="82">
        <f t="shared" si="5"/>
        <v>24</v>
      </c>
      <c r="K56" s="137">
        <f t="shared" si="6"/>
        <v>433.202886</v>
      </c>
      <c r="L56" s="137">
        <f t="shared" si="7"/>
        <v>10866.40559</v>
      </c>
      <c r="M56" s="137">
        <f t="shared" si="8"/>
        <v>6623</v>
      </c>
      <c r="N56" s="137">
        <f t="shared" si="9"/>
        <v>158940</v>
      </c>
      <c r="O56" s="137">
        <f t="shared" si="10"/>
        <v>10396.86926</v>
      </c>
      <c r="P56" s="137">
        <f t="shared" si="11"/>
        <v>260793.7342</v>
      </c>
      <c r="Q56" s="137">
        <f t="shared" si="12"/>
        <v>12081.84</v>
      </c>
      <c r="R56" s="137">
        <f t="shared" si="13"/>
        <v>-70.20711403</v>
      </c>
      <c r="S56" s="137">
        <f t="shared" si="14"/>
        <v>10362.99559</v>
      </c>
      <c r="T56" s="137">
        <f t="shared" si="15"/>
        <v>-1684.970737</v>
      </c>
      <c r="U56" s="137">
        <f t="shared" si="16"/>
        <v>248711.8942</v>
      </c>
      <c r="V56" s="138">
        <f t="shared" si="17"/>
        <v>1</v>
      </c>
      <c r="W56" s="138">
        <f t="shared" si="18"/>
        <v>0.092536</v>
      </c>
      <c r="X56" s="138">
        <f t="shared" si="19"/>
        <v>-3.67934644</v>
      </c>
      <c r="Y56" s="138">
        <f t="shared" si="20"/>
        <v>1</v>
      </c>
      <c r="AD56" s="115"/>
    </row>
    <row r="57" ht="15.75" customHeight="1">
      <c r="E57" s="82"/>
      <c r="G57" s="79"/>
      <c r="H57" s="79"/>
      <c r="M57" s="86"/>
      <c r="U57" s="87"/>
      <c r="V57" s="87"/>
      <c r="W57" s="87"/>
      <c r="X57" s="87"/>
      <c r="AD57" s="115"/>
    </row>
    <row r="58" ht="15.75" customHeight="1">
      <c r="E58" s="82"/>
      <c r="G58" s="79"/>
      <c r="H58" s="79"/>
      <c r="M58" s="86"/>
      <c r="U58" s="87"/>
      <c r="V58" s="87"/>
      <c r="W58" s="87"/>
      <c r="X58" s="87"/>
    </row>
    <row r="59" ht="15.75" customHeight="1">
      <c r="E59" s="82"/>
      <c r="G59" s="79"/>
      <c r="H59" s="79"/>
      <c r="M59" s="86"/>
      <c r="U59" s="87"/>
      <c r="V59" s="87"/>
      <c r="W59" s="87"/>
      <c r="X59" s="87"/>
    </row>
    <row r="60" ht="15.75" customHeight="1">
      <c r="E60" s="82"/>
      <c r="G60" s="79"/>
      <c r="H60" s="79"/>
      <c r="M60" s="86"/>
      <c r="U60" s="87"/>
      <c r="V60" s="87"/>
      <c r="W60" s="87"/>
      <c r="X60" s="87"/>
    </row>
    <row r="61" ht="15.75" customHeight="1">
      <c r="E61" s="82"/>
      <c r="G61" s="79"/>
      <c r="H61" s="79"/>
      <c r="M61" s="86"/>
      <c r="U61" s="87"/>
      <c r="V61" s="87"/>
      <c r="W61" s="87"/>
      <c r="X61" s="87"/>
    </row>
    <row r="62" ht="15.75" customHeight="1">
      <c r="E62" s="82"/>
      <c r="G62" s="79"/>
      <c r="H62" s="79"/>
      <c r="M62" s="86"/>
      <c r="U62" s="87"/>
      <c r="V62" s="87"/>
      <c r="W62" s="87"/>
      <c r="X62" s="87"/>
      <c r="AF62" s="11"/>
    </row>
    <row r="63" ht="15.75" customHeight="1">
      <c r="E63" s="82"/>
      <c r="G63" s="79"/>
      <c r="H63" s="79"/>
      <c r="M63" s="86"/>
      <c r="U63" s="87"/>
      <c r="V63" s="87"/>
      <c r="W63" s="87"/>
      <c r="X63" s="87"/>
      <c r="AF63" s="11"/>
    </row>
    <row r="64" ht="15.75" customHeight="1">
      <c r="E64" s="82"/>
      <c r="G64" s="79"/>
      <c r="H64" s="79"/>
      <c r="M64" s="86"/>
      <c r="U64" s="87"/>
      <c r="V64" s="87"/>
      <c r="W64" s="87"/>
      <c r="X64" s="87"/>
      <c r="AF64" s="11"/>
    </row>
    <row r="65" ht="15.75" customHeight="1">
      <c r="E65" s="82"/>
      <c r="G65" s="79"/>
      <c r="H65" s="79"/>
      <c r="M65" s="86"/>
      <c r="U65" s="87"/>
      <c r="V65" s="87"/>
      <c r="W65" s="87"/>
      <c r="X65" s="87"/>
      <c r="AF65" s="11"/>
    </row>
    <row r="66" ht="15.75" customHeight="1">
      <c r="E66" s="82"/>
      <c r="G66" s="79"/>
      <c r="H66" s="79"/>
      <c r="M66" s="86"/>
      <c r="U66" s="87"/>
      <c r="V66" s="87"/>
      <c r="W66" s="87"/>
      <c r="X66" s="87"/>
      <c r="AF66" s="11"/>
    </row>
    <row r="67" ht="15.75" customHeight="1">
      <c r="E67" s="82"/>
      <c r="G67" s="79"/>
      <c r="H67" s="79"/>
      <c r="M67" s="86"/>
      <c r="U67" s="87"/>
      <c r="V67" s="87"/>
      <c r="W67" s="87"/>
      <c r="X67" s="87"/>
      <c r="AF67" s="11"/>
    </row>
    <row r="68" ht="15.75" customHeight="1">
      <c r="E68" s="82"/>
      <c r="G68" s="79"/>
      <c r="H68" s="79"/>
      <c r="M68" s="86"/>
      <c r="U68" s="87"/>
      <c r="V68" s="87"/>
      <c r="W68" s="87"/>
      <c r="X68" s="87"/>
      <c r="AF68" s="11"/>
    </row>
    <row r="69" ht="15.75" customHeight="1">
      <c r="E69" s="82"/>
      <c r="G69" s="79"/>
      <c r="H69" s="79"/>
      <c r="M69" s="86"/>
      <c r="U69" s="87"/>
      <c r="V69" s="87"/>
      <c r="W69" s="87"/>
      <c r="X69" s="87"/>
      <c r="AF69" s="11"/>
    </row>
    <row r="70" ht="15.75" customHeight="1">
      <c r="E70" s="82"/>
      <c r="G70" s="79"/>
      <c r="H70" s="79"/>
      <c r="M70" s="86"/>
      <c r="U70" s="87"/>
      <c r="V70" s="87"/>
      <c r="W70" s="87"/>
      <c r="X70" s="87"/>
      <c r="AF70" s="11"/>
    </row>
    <row r="71" ht="15.75" customHeight="1">
      <c r="E71" s="82"/>
      <c r="G71" s="79"/>
      <c r="H71" s="79"/>
      <c r="M71" s="86"/>
      <c r="U71" s="87"/>
      <c r="V71" s="87"/>
      <c r="W71" s="87"/>
      <c r="X71" s="87"/>
      <c r="AF71" s="11"/>
    </row>
    <row r="72" ht="15.75" customHeight="1">
      <c r="E72" s="82"/>
      <c r="G72" s="79"/>
      <c r="H72" s="79"/>
      <c r="M72" s="86"/>
      <c r="U72" s="87"/>
      <c r="V72" s="87"/>
      <c r="W72" s="87"/>
      <c r="X72" s="87"/>
      <c r="AF72" s="11"/>
    </row>
    <row r="73" ht="15.75" customHeight="1">
      <c r="E73" s="82"/>
      <c r="G73" s="79"/>
      <c r="H73" s="79"/>
      <c r="M73" s="86"/>
      <c r="U73" s="87"/>
      <c r="V73" s="87"/>
      <c r="W73" s="87"/>
      <c r="X73" s="87"/>
      <c r="AF73" s="11"/>
    </row>
    <row r="74" ht="15.75" customHeight="1">
      <c r="E74" s="82"/>
      <c r="G74" s="79"/>
      <c r="H74" s="79"/>
      <c r="M74" s="86"/>
      <c r="U74" s="87"/>
      <c r="V74" s="87"/>
      <c r="W74" s="87"/>
      <c r="X74" s="87"/>
      <c r="AF74" s="11"/>
    </row>
    <row r="75" ht="15.75" customHeight="1">
      <c r="E75" s="82"/>
      <c r="G75" s="79"/>
      <c r="H75" s="79"/>
      <c r="M75" s="86"/>
      <c r="U75" s="87"/>
      <c r="V75" s="87"/>
      <c r="W75" s="87"/>
      <c r="X75" s="87"/>
      <c r="AF75" s="11"/>
    </row>
    <row r="76" ht="15.75" customHeight="1">
      <c r="E76" s="82"/>
      <c r="G76" s="79"/>
      <c r="H76" s="79"/>
      <c r="M76" s="86"/>
      <c r="U76" s="87"/>
      <c r="V76" s="87"/>
      <c r="W76" s="87"/>
      <c r="X76" s="87"/>
      <c r="AF76" s="11"/>
    </row>
    <row r="77" ht="15.75" customHeight="1">
      <c r="E77" s="82"/>
      <c r="G77" s="79"/>
      <c r="H77" s="79"/>
      <c r="M77" s="86"/>
      <c r="U77" s="87"/>
      <c r="V77" s="87"/>
      <c r="W77" s="87"/>
      <c r="X77" s="87"/>
      <c r="AF77" s="11"/>
    </row>
    <row r="78" ht="15.75" customHeight="1">
      <c r="E78" s="82"/>
      <c r="G78" s="79"/>
      <c r="H78" s="79"/>
      <c r="M78" s="86"/>
      <c r="U78" s="87"/>
      <c r="V78" s="87"/>
      <c r="W78" s="87"/>
      <c r="X78" s="87"/>
      <c r="AF78" s="11"/>
    </row>
    <row r="79" ht="15.75" customHeight="1">
      <c r="E79" s="82"/>
      <c r="G79" s="79"/>
      <c r="H79" s="79"/>
      <c r="M79" s="86"/>
      <c r="U79" s="87"/>
      <c r="V79" s="87"/>
      <c r="W79" s="87"/>
      <c r="X79" s="87"/>
    </row>
    <row r="80" ht="15.75" customHeight="1">
      <c r="E80" s="82"/>
      <c r="G80" s="79"/>
      <c r="H80" s="79"/>
      <c r="M80" s="86"/>
      <c r="U80" s="87"/>
      <c r="V80" s="87"/>
      <c r="W80" s="87"/>
      <c r="X80" s="87"/>
    </row>
    <row r="81" ht="15.75" customHeight="1">
      <c r="E81" s="82"/>
      <c r="G81" s="79"/>
      <c r="H81" s="79"/>
      <c r="M81" s="86"/>
      <c r="U81" s="87"/>
      <c r="V81" s="87"/>
      <c r="W81" s="87"/>
      <c r="X81" s="87"/>
    </row>
    <row r="82" ht="15.75" customHeight="1">
      <c r="E82" s="82"/>
      <c r="G82" s="79"/>
      <c r="H82" s="79"/>
      <c r="M82" s="86"/>
      <c r="U82" s="87"/>
      <c r="V82" s="87"/>
      <c r="W82" s="87"/>
      <c r="X82" s="87"/>
    </row>
    <row r="83" ht="15.75" customHeight="1">
      <c r="E83" s="82"/>
      <c r="G83" s="79"/>
      <c r="H83" s="79"/>
      <c r="M83" s="86"/>
      <c r="U83" s="87"/>
      <c r="V83" s="87"/>
      <c r="W83" s="87"/>
      <c r="X83" s="87"/>
    </row>
    <row r="84" ht="15.75" customHeight="1">
      <c r="E84" s="82"/>
      <c r="G84" s="79"/>
      <c r="H84" s="79"/>
      <c r="M84" s="86"/>
      <c r="U84" s="87"/>
      <c r="V84" s="87"/>
      <c r="W84" s="87"/>
      <c r="X84" s="87"/>
    </row>
    <row r="85" ht="15.75" customHeight="1">
      <c r="E85" s="82"/>
      <c r="G85" s="79"/>
      <c r="H85" s="79"/>
      <c r="M85" s="86"/>
      <c r="U85" s="87"/>
      <c r="V85" s="87"/>
      <c r="W85" s="87"/>
      <c r="X85" s="87"/>
    </row>
    <row r="86" ht="15.75" customHeight="1">
      <c r="E86" s="82"/>
      <c r="G86" s="79"/>
      <c r="H86" s="79"/>
      <c r="M86" s="86"/>
      <c r="U86" s="87"/>
      <c r="V86" s="87"/>
      <c r="W86" s="87"/>
      <c r="X86" s="87"/>
    </row>
    <row r="87" ht="15.75" customHeight="1">
      <c r="E87" s="82"/>
      <c r="G87" s="79"/>
      <c r="H87" s="79"/>
      <c r="M87" s="86"/>
      <c r="U87" s="87"/>
      <c r="V87" s="87"/>
      <c r="W87" s="87"/>
      <c r="X87" s="87"/>
    </row>
    <row r="88" ht="15.75" customHeight="1">
      <c r="E88" s="82"/>
      <c r="G88" s="79"/>
      <c r="H88" s="79"/>
      <c r="M88" s="86"/>
      <c r="U88" s="87"/>
      <c r="V88" s="87"/>
      <c r="W88" s="87"/>
      <c r="X88" s="87"/>
    </row>
    <row r="89" ht="15.75" customHeight="1">
      <c r="E89" s="82"/>
      <c r="G89" s="79"/>
      <c r="H89" s="79"/>
      <c r="M89" s="86"/>
      <c r="U89" s="87"/>
      <c r="V89" s="87"/>
      <c r="W89" s="87"/>
      <c r="X89" s="87"/>
    </row>
    <row r="90" ht="15.75" customHeight="1">
      <c r="E90" s="82"/>
      <c r="G90" s="79"/>
      <c r="H90" s="79"/>
      <c r="M90" s="86"/>
      <c r="U90" s="87"/>
      <c r="V90" s="87"/>
      <c r="W90" s="87"/>
      <c r="X90" s="87"/>
    </row>
    <row r="91" ht="15.75" customHeight="1">
      <c r="E91" s="82"/>
      <c r="G91" s="79"/>
      <c r="H91" s="79"/>
      <c r="M91" s="86"/>
      <c r="U91" s="87"/>
      <c r="V91" s="87"/>
      <c r="W91" s="87"/>
      <c r="X91" s="87"/>
    </row>
    <row r="92" ht="15.75" customHeight="1">
      <c r="E92" s="82"/>
      <c r="G92" s="79"/>
      <c r="H92" s="79"/>
      <c r="M92" s="86"/>
      <c r="U92" s="87"/>
      <c r="V92" s="87"/>
      <c r="W92" s="87"/>
      <c r="X92" s="87"/>
    </row>
    <row r="93" ht="15.75" customHeight="1">
      <c r="E93" s="82"/>
      <c r="G93" s="79"/>
      <c r="H93" s="79"/>
      <c r="M93" s="86"/>
      <c r="U93" s="87"/>
      <c r="V93" s="87"/>
      <c r="W93" s="87"/>
      <c r="X93" s="87"/>
    </row>
    <row r="94" ht="15.75" customHeight="1">
      <c r="E94" s="82"/>
      <c r="G94" s="79"/>
      <c r="H94" s="79"/>
      <c r="M94" s="86"/>
      <c r="U94" s="87"/>
      <c r="V94" s="87"/>
      <c r="W94" s="87"/>
      <c r="X94" s="87"/>
    </row>
    <row r="95" ht="15.75" customHeight="1">
      <c r="E95" s="82"/>
      <c r="G95" s="79"/>
      <c r="H95" s="79"/>
      <c r="M95" s="86"/>
      <c r="U95" s="87"/>
      <c r="V95" s="87"/>
      <c r="W95" s="87"/>
      <c r="X95" s="87"/>
    </row>
    <row r="96" ht="15.75" customHeight="1">
      <c r="E96" s="82"/>
      <c r="G96" s="79"/>
      <c r="H96" s="79"/>
      <c r="M96" s="86"/>
      <c r="U96" s="87"/>
      <c r="V96" s="87"/>
      <c r="W96" s="87"/>
      <c r="X96" s="87"/>
    </row>
    <row r="97" ht="15.75" customHeight="1">
      <c r="E97" s="82"/>
      <c r="G97" s="79"/>
      <c r="H97" s="79"/>
      <c r="M97" s="86"/>
      <c r="U97" s="87"/>
      <c r="V97" s="87"/>
      <c r="W97" s="87"/>
      <c r="X97" s="87"/>
    </row>
    <row r="98" ht="15.75" customHeight="1">
      <c r="E98" s="82"/>
      <c r="G98" s="79"/>
      <c r="H98" s="79"/>
      <c r="M98" s="86"/>
      <c r="U98" s="87"/>
      <c r="V98" s="87"/>
      <c r="W98" s="87"/>
      <c r="X98" s="87"/>
    </row>
    <row r="99" ht="15.75" customHeight="1">
      <c r="E99" s="82"/>
      <c r="G99" s="79"/>
      <c r="H99" s="79"/>
      <c r="M99" s="86"/>
      <c r="U99" s="87"/>
      <c r="V99" s="87"/>
      <c r="W99" s="87"/>
      <c r="X99" s="87"/>
    </row>
    <row r="100" ht="15.75" customHeight="1">
      <c r="E100" s="82"/>
      <c r="G100" s="79"/>
      <c r="H100" s="79"/>
      <c r="M100" s="86"/>
      <c r="U100" s="87"/>
      <c r="V100" s="87"/>
      <c r="W100" s="87"/>
      <c r="X100" s="87"/>
    </row>
    <row r="101" ht="15.75" customHeight="1">
      <c r="E101" s="82"/>
      <c r="G101" s="79"/>
      <c r="H101" s="79"/>
      <c r="M101" s="86"/>
      <c r="U101" s="87"/>
      <c r="V101" s="87"/>
      <c r="W101" s="87"/>
      <c r="X101" s="87"/>
    </row>
    <row r="102" ht="15.75" customHeight="1">
      <c r="E102" s="82"/>
      <c r="G102" s="79"/>
      <c r="H102" s="79"/>
      <c r="M102" s="86"/>
      <c r="U102" s="87"/>
      <c r="V102" s="87"/>
      <c r="W102" s="87"/>
      <c r="X102" s="87"/>
    </row>
    <row r="103" ht="15.75" customHeight="1">
      <c r="E103" s="82"/>
      <c r="G103" s="79"/>
      <c r="H103" s="79"/>
      <c r="M103" s="86"/>
      <c r="U103" s="87"/>
      <c r="V103" s="87"/>
      <c r="W103" s="87"/>
      <c r="X103" s="87"/>
    </row>
    <row r="104" ht="15.75" customHeight="1">
      <c r="E104" s="82"/>
      <c r="G104" s="79"/>
      <c r="H104" s="79"/>
      <c r="M104" s="86"/>
      <c r="U104" s="87"/>
      <c r="V104" s="87"/>
      <c r="W104" s="87"/>
      <c r="X104" s="87"/>
    </row>
    <row r="105" ht="15.75" customHeight="1">
      <c r="E105" s="82"/>
      <c r="G105" s="79"/>
      <c r="H105" s="79"/>
      <c r="M105" s="86"/>
      <c r="U105" s="87"/>
      <c r="V105" s="87"/>
      <c r="W105" s="87"/>
      <c r="X105" s="87"/>
    </row>
    <row r="106" ht="15.75" customHeight="1">
      <c r="E106" s="82"/>
      <c r="G106" s="79"/>
      <c r="H106" s="79"/>
      <c r="M106" s="86"/>
      <c r="U106" s="87"/>
      <c r="V106" s="87"/>
      <c r="W106" s="87"/>
      <c r="X106" s="87"/>
    </row>
    <row r="107" ht="15.75" customHeight="1">
      <c r="E107" s="82"/>
      <c r="G107" s="79"/>
      <c r="H107" s="79"/>
      <c r="M107" s="86"/>
      <c r="U107" s="87"/>
      <c r="V107" s="87"/>
      <c r="W107" s="87"/>
      <c r="X107" s="87"/>
    </row>
    <row r="108" ht="15.75" customHeight="1">
      <c r="E108" s="82"/>
      <c r="G108" s="79"/>
      <c r="H108" s="79"/>
      <c r="M108" s="86"/>
      <c r="U108" s="87"/>
      <c r="V108" s="87"/>
      <c r="W108" s="87"/>
      <c r="X108" s="87"/>
    </row>
    <row r="109" ht="15.75" customHeight="1">
      <c r="E109" s="82"/>
      <c r="G109" s="79"/>
      <c r="H109" s="79"/>
      <c r="M109" s="86"/>
      <c r="U109" s="87"/>
      <c r="V109" s="87"/>
      <c r="W109" s="87"/>
      <c r="X109" s="87"/>
    </row>
    <row r="110" ht="15.75" customHeight="1">
      <c r="E110" s="82"/>
      <c r="G110" s="79"/>
      <c r="H110" s="79"/>
      <c r="M110" s="86"/>
      <c r="U110" s="87"/>
      <c r="V110" s="87"/>
      <c r="W110" s="87"/>
      <c r="X110" s="87"/>
    </row>
    <row r="111" ht="15.75" customHeight="1">
      <c r="E111" s="82"/>
      <c r="G111" s="79"/>
      <c r="H111" s="79"/>
      <c r="M111" s="86"/>
      <c r="U111" s="87"/>
      <c r="V111" s="87"/>
      <c r="W111" s="87"/>
      <c r="X111" s="87"/>
    </row>
    <row r="112" ht="15.75" customHeight="1">
      <c r="E112" s="82"/>
      <c r="G112" s="79"/>
      <c r="H112" s="79"/>
      <c r="M112" s="86"/>
      <c r="U112" s="87"/>
      <c r="V112" s="87"/>
      <c r="W112" s="87"/>
      <c r="X112" s="87"/>
    </row>
    <row r="113" ht="15.75" customHeight="1">
      <c r="E113" s="82"/>
      <c r="G113" s="79"/>
      <c r="H113" s="79"/>
      <c r="M113" s="86"/>
      <c r="U113" s="87"/>
      <c r="V113" s="87"/>
      <c r="W113" s="87"/>
      <c r="X113" s="87"/>
    </row>
    <row r="114" ht="15.75" customHeight="1">
      <c r="E114" s="82"/>
      <c r="G114" s="79"/>
      <c r="H114" s="79"/>
      <c r="M114" s="86"/>
      <c r="U114" s="87"/>
      <c r="V114" s="87"/>
      <c r="W114" s="87"/>
      <c r="X114" s="87"/>
    </row>
    <row r="115" ht="15.75" customHeight="1">
      <c r="E115" s="82"/>
      <c r="G115" s="79"/>
      <c r="H115" s="79"/>
      <c r="M115" s="86"/>
      <c r="U115" s="87"/>
      <c r="V115" s="87"/>
      <c r="W115" s="87"/>
      <c r="X115" s="87"/>
    </row>
    <row r="116" ht="15.75" customHeight="1">
      <c r="E116" s="82"/>
      <c r="G116" s="79"/>
      <c r="H116" s="79"/>
      <c r="M116" s="86"/>
      <c r="U116" s="87"/>
      <c r="V116" s="87"/>
      <c r="W116" s="87"/>
      <c r="X116" s="87"/>
    </row>
    <row r="117" ht="15.75" customHeight="1">
      <c r="E117" s="82"/>
      <c r="G117" s="79"/>
      <c r="H117" s="79"/>
      <c r="M117" s="86"/>
      <c r="U117" s="87"/>
      <c r="V117" s="87"/>
      <c r="W117" s="87"/>
      <c r="X117" s="87"/>
    </row>
    <row r="118" ht="15.75" customHeight="1">
      <c r="E118" s="82"/>
      <c r="G118" s="79"/>
      <c r="H118" s="79"/>
      <c r="M118" s="86"/>
      <c r="U118" s="87"/>
      <c r="V118" s="87"/>
      <c r="W118" s="87"/>
      <c r="X118" s="87"/>
    </row>
    <row r="119" ht="15.75" customHeight="1">
      <c r="E119" s="82"/>
      <c r="G119" s="79"/>
      <c r="H119" s="79"/>
      <c r="M119" s="86"/>
      <c r="U119" s="87"/>
      <c r="V119" s="87"/>
      <c r="W119" s="87"/>
      <c r="X119" s="87"/>
    </row>
    <row r="120" ht="15.75" customHeight="1">
      <c r="E120" s="82"/>
      <c r="G120" s="79"/>
      <c r="H120" s="79"/>
      <c r="M120" s="86"/>
      <c r="U120" s="87"/>
      <c r="V120" s="87"/>
      <c r="W120" s="87"/>
      <c r="X120" s="87"/>
    </row>
    <row r="121" ht="15.75" customHeight="1">
      <c r="E121" s="82"/>
      <c r="G121" s="79"/>
      <c r="H121" s="79"/>
      <c r="M121" s="86"/>
      <c r="U121" s="87"/>
      <c r="V121" s="87"/>
      <c r="W121" s="87"/>
      <c r="X121" s="87"/>
    </row>
    <row r="122" ht="15.75" customHeight="1">
      <c r="E122" s="82"/>
      <c r="G122" s="79"/>
      <c r="H122" s="79"/>
      <c r="M122" s="86"/>
      <c r="U122" s="87"/>
      <c r="V122" s="87"/>
      <c r="W122" s="87"/>
      <c r="X122" s="87"/>
    </row>
    <row r="123" ht="15.75" customHeight="1">
      <c r="E123" s="82"/>
      <c r="G123" s="79"/>
      <c r="H123" s="79"/>
      <c r="M123" s="86"/>
      <c r="U123" s="87"/>
      <c r="V123" s="87"/>
      <c r="W123" s="87"/>
      <c r="X123" s="87"/>
    </row>
    <row r="124" ht="15.75" customHeight="1">
      <c r="E124" s="82"/>
      <c r="G124" s="79"/>
      <c r="H124" s="79"/>
      <c r="M124" s="86"/>
      <c r="U124" s="87"/>
      <c r="V124" s="87"/>
      <c r="W124" s="87"/>
      <c r="X124" s="87"/>
    </row>
    <row r="125" ht="15.75" customHeight="1">
      <c r="E125" s="82"/>
      <c r="G125" s="79"/>
      <c r="H125" s="79"/>
      <c r="M125" s="86"/>
      <c r="U125" s="87"/>
      <c r="V125" s="87"/>
      <c r="W125" s="87"/>
      <c r="X125" s="87"/>
    </row>
    <row r="126" ht="15.75" customHeight="1">
      <c r="E126" s="82"/>
      <c r="G126" s="79"/>
      <c r="H126" s="79"/>
      <c r="M126" s="86"/>
      <c r="U126" s="87"/>
      <c r="V126" s="87"/>
      <c r="W126" s="87"/>
      <c r="X126" s="87"/>
    </row>
    <row r="127" ht="15.75" customHeight="1">
      <c r="E127" s="82"/>
      <c r="G127" s="79"/>
      <c r="H127" s="79"/>
      <c r="M127" s="86"/>
      <c r="U127" s="87"/>
      <c r="V127" s="87"/>
      <c r="W127" s="87"/>
      <c r="X127" s="87"/>
    </row>
    <row r="128" ht="15.75" customHeight="1">
      <c r="E128" s="82"/>
      <c r="G128" s="79"/>
      <c r="H128" s="79"/>
      <c r="M128" s="86"/>
      <c r="U128" s="87"/>
      <c r="V128" s="87"/>
      <c r="W128" s="87"/>
      <c r="X128" s="87"/>
    </row>
    <row r="129" ht="15.75" customHeight="1">
      <c r="E129" s="82"/>
      <c r="G129" s="79"/>
      <c r="H129" s="79"/>
      <c r="M129" s="86"/>
      <c r="U129" s="87"/>
      <c r="V129" s="87"/>
      <c r="W129" s="87"/>
      <c r="X129" s="87"/>
    </row>
    <row r="130" ht="15.75" customHeight="1">
      <c r="E130" s="82"/>
      <c r="G130" s="79"/>
      <c r="H130" s="79"/>
      <c r="M130" s="86"/>
      <c r="U130" s="87"/>
      <c r="V130" s="87"/>
      <c r="W130" s="87"/>
      <c r="X130" s="87"/>
    </row>
    <row r="131" ht="15.75" customHeight="1">
      <c r="E131" s="82"/>
      <c r="G131" s="79"/>
      <c r="H131" s="79"/>
      <c r="M131" s="86"/>
      <c r="U131" s="87"/>
      <c r="V131" s="87"/>
      <c r="W131" s="87"/>
      <c r="X131" s="87"/>
    </row>
    <row r="132" ht="15.75" customHeight="1">
      <c r="E132" s="82"/>
      <c r="G132" s="79"/>
      <c r="H132" s="79"/>
      <c r="M132" s="86"/>
      <c r="U132" s="87"/>
      <c r="V132" s="87"/>
      <c r="W132" s="87"/>
      <c r="X132" s="87"/>
    </row>
    <row r="133" ht="15.75" customHeight="1">
      <c r="E133" s="82"/>
      <c r="G133" s="79"/>
      <c r="H133" s="79"/>
      <c r="M133" s="86"/>
      <c r="U133" s="87"/>
      <c r="V133" s="87"/>
      <c r="W133" s="87"/>
      <c r="X133" s="87"/>
    </row>
    <row r="134" ht="15.75" customHeight="1">
      <c r="E134" s="82"/>
      <c r="G134" s="79"/>
      <c r="H134" s="79"/>
      <c r="M134" s="86"/>
      <c r="U134" s="87"/>
      <c r="V134" s="87"/>
      <c r="W134" s="87"/>
      <c r="X134" s="87"/>
    </row>
    <row r="135" ht="15.75" customHeight="1">
      <c r="E135" s="82"/>
      <c r="G135" s="79"/>
      <c r="H135" s="79"/>
      <c r="M135" s="86"/>
      <c r="U135" s="87"/>
      <c r="V135" s="87"/>
      <c r="W135" s="87"/>
      <c r="X135" s="87"/>
    </row>
    <row r="136" ht="15.75" customHeight="1">
      <c r="E136" s="82"/>
      <c r="G136" s="79"/>
      <c r="H136" s="79"/>
      <c r="M136" s="86"/>
      <c r="U136" s="87"/>
      <c r="V136" s="87"/>
      <c r="W136" s="87"/>
      <c r="X136" s="87"/>
    </row>
    <row r="137" ht="15.75" customHeight="1">
      <c r="E137" s="82"/>
      <c r="G137" s="79"/>
      <c r="H137" s="79"/>
      <c r="M137" s="86"/>
      <c r="U137" s="87"/>
      <c r="V137" s="87"/>
      <c r="W137" s="87"/>
      <c r="X137" s="87"/>
    </row>
    <row r="138" ht="15.75" customHeight="1">
      <c r="E138" s="82"/>
      <c r="G138" s="79"/>
      <c r="H138" s="79"/>
      <c r="M138" s="86"/>
      <c r="U138" s="87"/>
      <c r="V138" s="87"/>
      <c r="W138" s="87"/>
      <c r="X138" s="87"/>
    </row>
    <row r="139" ht="15.75" customHeight="1">
      <c r="E139" s="82"/>
      <c r="G139" s="79"/>
      <c r="H139" s="79"/>
      <c r="M139" s="86"/>
      <c r="U139" s="87"/>
      <c r="V139" s="87"/>
      <c r="W139" s="87"/>
      <c r="X139" s="87"/>
    </row>
    <row r="140" ht="15.75" customHeight="1">
      <c r="E140" s="82"/>
      <c r="G140" s="79"/>
      <c r="H140" s="79"/>
      <c r="M140" s="86"/>
      <c r="U140" s="87"/>
      <c r="V140" s="87"/>
      <c r="W140" s="87"/>
      <c r="X140" s="87"/>
    </row>
    <row r="141" ht="15.75" customHeight="1">
      <c r="E141" s="82"/>
      <c r="G141" s="79"/>
      <c r="H141" s="79"/>
      <c r="M141" s="86"/>
      <c r="U141" s="87"/>
      <c r="V141" s="87"/>
      <c r="W141" s="87"/>
      <c r="X141" s="87"/>
    </row>
    <row r="142" ht="15.75" customHeight="1">
      <c r="E142" s="82"/>
      <c r="G142" s="79"/>
      <c r="H142" s="79"/>
      <c r="M142" s="86"/>
      <c r="U142" s="87"/>
      <c r="V142" s="87"/>
      <c r="W142" s="87"/>
      <c r="X142" s="87"/>
    </row>
    <row r="143" ht="15.75" customHeight="1">
      <c r="E143" s="82"/>
      <c r="G143" s="79"/>
      <c r="H143" s="79"/>
      <c r="M143" s="86"/>
      <c r="U143" s="87"/>
      <c r="V143" s="87"/>
      <c r="W143" s="87"/>
      <c r="X143" s="87"/>
    </row>
    <row r="144" ht="15.75" customHeight="1">
      <c r="E144" s="82"/>
      <c r="G144" s="79"/>
      <c r="H144" s="79"/>
      <c r="M144" s="86"/>
      <c r="U144" s="87"/>
      <c r="V144" s="87"/>
      <c r="W144" s="87"/>
      <c r="X144" s="87"/>
    </row>
    <row r="145" ht="15.75" customHeight="1">
      <c r="E145" s="82"/>
      <c r="G145" s="79"/>
      <c r="H145" s="79"/>
      <c r="M145" s="86"/>
      <c r="U145" s="87"/>
      <c r="V145" s="87"/>
      <c r="W145" s="87"/>
      <c r="X145" s="87"/>
    </row>
    <row r="146" ht="15.75" customHeight="1">
      <c r="E146" s="82"/>
      <c r="G146" s="79"/>
      <c r="H146" s="79"/>
      <c r="M146" s="86"/>
      <c r="U146" s="87"/>
      <c r="V146" s="87"/>
      <c r="W146" s="87"/>
      <c r="X146" s="87"/>
    </row>
    <row r="147" ht="15.75" customHeight="1">
      <c r="E147" s="82"/>
      <c r="G147" s="79"/>
      <c r="H147" s="79"/>
      <c r="M147" s="86"/>
      <c r="U147" s="87"/>
      <c r="V147" s="87"/>
      <c r="W147" s="87"/>
      <c r="X147" s="87"/>
    </row>
    <row r="148" ht="15.75" customHeight="1">
      <c r="E148" s="82"/>
      <c r="G148" s="79"/>
      <c r="H148" s="79"/>
      <c r="M148" s="86"/>
      <c r="U148" s="87"/>
      <c r="V148" s="87"/>
      <c r="W148" s="87"/>
      <c r="X148" s="87"/>
    </row>
    <row r="149" ht="15.75" customHeight="1">
      <c r="E149" s="82"/>
      <c r="G149" s="79"/>
      <c r="H149" s="79"/>
      <c r="M149" s="86"/>
      <c r="U149" s="87"/>
      <c r="V149" s="87"/>
      <c r="W149" s="87"/>
      <c r="X149" s="87"/>
    </row>
    <row r="150" ht="15.75" customHeight="1">
      <c r="E150" s="82"/>
      <c r="G150" s="79"/>
      <c r="H150" s="79"/>
      <c r="M150" s="86"/>
      <c r="U150" s="87"/>
      <c r="V150" s="87"/>
      <c r="W150" s="87"/>
      <c r="X150" s="87"/>
    </row>
    <row r="151" ht="15.75" customHeight="1">
      <c r="E151" s="82"/>
      <c r="G151" s="79"/>
      <c r="H151" s="79"/>
      <c r="M151" s="86"/>
      <c r="U151" s="87"/>
      <c r="V151" s="87"/>
      <c r="W151" s="87"/>
      <c r="X151" s="87"/>
    </row>
    <row r="152" ht="15.75" customHeight="1">
      <c r="E152" s="82"/>
      <c r="G152" s="79"/>
      <c r="H152" s="79"/>
      <c r="M152" s="86"/>
      <c r="U152" s="87"/>
      <c r="V152" s="87"/>
      <c r="W152" s="87"/>
      <c r="X152" s="87"/>
    </row>
    <row r="153" ht="15.75" customHeight="1">
      <c r="E153" s="82"/>
      <c r="G153" s="79"/>
      <c r="H153" s="79"/>
      <c r="M153" s="86"/>
      <c r="U153" s="87"/>
      <c r="V153" s="87"/>
      <c r="W153" s="87"/>
      <c r="X153" s="87"/>
    </row>
    <row r="154" ht="15.75" customHeight="1">
      <c r="E154" s="82"/>
      <c r="G154" s="79"/>
      <c r="H154" s="79"/>
      <c r="M154" s="86"/>
      <c r="U154" s="87"/>
      <c r="V154" s="87"/>
      <c r="W154" s="87"/>
      <c r="X154" s="87"/>
    </row>
    <row r="155" ht="15.75" customHeight="1">
      <c r="E155" s="82"/>
      <c r="G155" s="79"/>
      <c r="H155" s="79"/>
      <c r="M155" s="86"/>
      <c r="U155" s="87"/>
      <c r="V155" s="87"/>
      <c r="W155" s="87"/>
      <c r="X155" s="87"/>
    </row>
    <row r="156" ht="15.75" customHeight="1">
      <c r="E156" s="82"/>
      <c r="G156" s="79"/>
      <c r="H156" s="79"/>
      <c r="M156" s="86"/>
      <c r="U156" s="87"/>
      <c r="V156" s="87"/>
      <c r="W156" s="87"/>
      <c r="X156" s="87"/>
    </row>
    <row r="157" ht="15.75" customHeight="1">
      <c r="E157" s="82"/>
      <c r="G157" s="79"/>
      <c r="H157" s="79"/>
      <c r="M157" s="86"/>
      <c r="U157" s="87"/>
      <c r="V157" s="87"/>
      <c r="W157" s="87"/>
      <c r="X157" s="87"/>
    </row>
    <row r="158" ht="15.75" customHeight="1">
      <c r="E158" s="82"/>
      <c r="G158" s="79"/>
      <c r="H158" s="79"/>
      <c r="M158" s="86"/>
      <c r="U158" s="87"/>
      <c r="V158" s="87"/>
      <c r="W158" s="87"/>
      <c r="X158" s="87"/>
    </row>
    <row r="159" ht="15.75" customHeight="1">
      <c r="E159" s="82"/>
      <c r="G159" s="79"/>
      <c r="H159" s="79"/>
      <c r="M159" s="86"/>
      <c r="U159" s="87"/>
      <c r="V159" s="87"/>
      <c r="W159" s="87"/>
      <c r="X159" s="87"/>
    </row>
    <row r="160" ht="15.75" customHeight="1">
      <c r="E160" s="82"/>
      <c r="G160" s="79"/>
      <c r="H160" s="79"/>
      <c r="M160" s="86"/>
      <c r="U160" s="87"/>
      <c r="V160" s="87"/>
      <c r="W160" s="87"/>
      <c r="X160" s="87"/>
    </row>
    <row r="161" ht="15.75" customHeight="1">
      <c r="E161" s="82"/>
      <c r="G161" s="79"/>
      <c r="H161" s="79"/>
      <c r="M161" s="86"/>
      <c r="U161" s="87"/>
      <c r="V161" s="87"/>
      <c r="W161" s="87"/>
      <c r="X161" s="87"/>
    </row>
    <row r="162" ht="15.75" customHeight="1">
      <c r="E162" s="82"/>
      <c r="G162" s="79"/>
      <c r="H162" s="79"/>
      <c r="M162" s="86"/>
      <c r="U162" s="87"/>
      <c r="V162" s="87"/>
      <c r="W162" s="87"/>
      <c r="X162" s="87"/>
    </row>
    <row r="163" ht="15.75" customHeight="1">
      <c r="E163" s="82"/>
      <c r="G163" s="79"/>
      <c r="H163" s="79"/>
      <c r="M163" s="86"/>
      <c r="U163" s="87"/>
      <c r="V163" s="87"/>
      <c r="W163" s="87"/>
      <c r="X163" s="87"/>
    </row>
    <row r="164" ht="15.75" customHeight="1">
      <c r="E164" s="82"/>
      <c r="G164" s="79"/>
      <c r="H164" s="79"/>
      <c r="M164" s="86"/>
      <c r="U164" s="87"/>
      <c r="V164" s="87"/>
      <c r="W164" s="87"/>
      <c r="X164" s="87"/>
    </row>
    <row r="165" ht="15.75" customHeight="1">
      <c r="E165" s="82"/>
      <c r="G165" s="79"/>
      <c r="H165" s="79"/>
      <c r="M165" s="86"/>
      <c r="U165" s="87"/>
      <c r="V165" s="87"/>
      <c r="W165" s="87"/>
      <c r="X165" s="87"/>
    </row>
    <row r="166" ht="15.75" customHeight="1">
      <c r="E166" s="82"/>
      <c r="G166" s="79"/>
      <c r="H166" s="79"/>
      <c r="M166" s="86"/>
      <c r="U166" s="87"/>
      <c r="V166" s="87"/>
      <c r="W166" s="87"/>
      <c r="X166" s="87"/>
    </row>
    <row r="167" ht="15.75" customHeight="1">
      <c r="E167" s="82"/>
      <c r="G167" s="79"/>
      <c r="H167" s="79"/>
      <c r="M167" s="86"/>
      <c r="U167" s="87"/>
      <c r="V167" s="87"/>
      <c r="W167" s="87"/>
      <c r="X167" s="87"/>
    </row>
    <row r="168" ht="15.75" customHeight="1">
      <c r="E168" s="82"/>
      <c r="G168" s="79"/>
      <c r="H168" s="79"/>
      <c r="M168" s="86"/>
      <c r="U168" s="87"/>
      <c r="V168" s="87"/>
      <c r="W168" s="87"/>
      <c r="X168" s="87"/>
    </row>
    <row r="169" ht="15.75" customHeight="1">
      <c r="E169" s="82"/>
      <c r="G169" s="79"/>
      <c r="H169" s="79"/>
      <c r="M169" s="86"/>
      <c r="U169" s="87"/>
      <c r="V169" s="87"/>
      <c r="W169" s="87"/>
      <c r="X169" s="87"/>
    </row>
    <row r="170" ht="15.75" customHeight="1">
      <c r="E170" s="82"/>
      <c r="G170" s="79"/>
      <c r="H170" s="79"/>
      <c r="M170" s="86"/>
      <c r="U170" s="87"/>
      <c r="V170" s="87"/>
      <c r="W170" s="87"/>
      <c r="X170" s="87"/>
    </row>
    <row r="171" ht="15.75" customHeight="1">
      <c r="E171" s="82"/>
      <c r="G171" s="79"/>
      <c r="H171" s="79"/>
      <c r="M171" s="86"/>
      <c r="U171" s="87"/>
      <c r="V171" s="87"/>
      <c r="W171" s="87"/>
      <c r="X171" s="87"/>
    </row>
    <row r="172" ht="15.75" customHeight="1">
      <c r="E172" s="82"/>
      <c r="G172" s="79"/>
      <c r="H172" s="79"/>
      <c r="M172" s="86"/>
      <c r="U172" s="87"/>
      <c r="V172" s="87"/>
      <c r="W172" s="87"/>
      <c r="X172" s="87"/>
    </row>
    <row r="173" ht="15.75" customHeight="1">
      <c r="E173" s="82"/>
      <c r="G173" s="79"/>
      <c r="H173" s="79"/>
      <c r="M173" s="86"/>
      <c r="U173" s="87"/>
      <c r="V173" s="87"/>
      <c r="W173" s="87"/>
      <c r="X173" s="87"/>
    </row>
    <row r="174" ht="15.75" customHeight="1">
      <c r="E174" s="82"/>
      <c r="G174" s="79"/>
      <c r="H174" s="79"/>
      <c r="M174" s="86"/>
      <c r="U174" s="87"/>
      <c r="V174" s="87"/>
      <c r="W174" s="87"/>
      <c r="X174" s="87"/>
    </row>
    <row r="175" ht="15.75" customHeight="1">
      <c r="E175" s="82"/>
      <c r="G175" s="79"/>
      <c r="H175" s="79"/>
      <c r="M175" s="86"/>
      <c r="U175" s="87"/>
      <c r="V175" s="87"/>
      <c r="W175" s="87"/>
      <c r="X175" s="87"/>
    </row>
    <row r="176" ht="15.75" customHeight="1">
      <c r="E176" s="82"/>
      <c r="G176" s="79"/>
      <c r="H176" s="79"/>
      <c r="M176" s="86"/>
      <c r="U176" s="87"/>
      <c r="V176" s="87"/>
      <c r="W176" s="87"/>
      <c r="X176" s="87"/>
    </row>
    <row r="177" ht="15.75" customHeight="1">
      <c r="E177" s="82"/>
      <c r="G177" s="79"/>
      <c r="H177" s="79"/>
      <c r="M177" s="86"/>
      <c r="U177" s="87"/>
      <c r="V177" s="87"/>
      <c r="W177" s="87"/>
      <c r="X177" s="87"/>
    </row>
    <row r="178" ht="15.75" customHeight="1">
      <c r="E178" s="82"/>
      <c r="G178" s="79"/>
      <c r="H178" s="79"/>
      <c r="M178" s="86"/>
      <c r="U178" s="87"/>
      <c r="V178" s="87"/>
      <c r="W178" s="87"/>
      <c r="X178" s="87"/>
    </row>
    <row r="179" ht="15.75" customHeight="1">
      <c r="E179" s="82"/>
      <c r="G179" s="79"/>
      <c r="H179" s="79"/>
      <c r="M179" s="86"/>
      <c r="U179" s="87"/>
      <c r="V179" s="87"/>
      <c r="W179" s="87"/>
      <c r="X179" s="87"/>
    </row>
    <row r="180" ht="15.75" customHeight="1">
      <c r="E180" s="82"/>
      <c r="G180" s="79"/>
      <c r="H180" s="79"/>
      <c r="M180" s="86"/>
      <c r="U180" s="87"/>
      <c r="V180" s="87"/>
      <c r="W180" s="87"/>
      <c r="X180" s="87"/>
    </row>
    <row r="181" ht="15.75" customHeight="1">
      <c r="E181" s="82"/>
      <c r="G181" s="79"/>
      <c r="H181" s="79"/>
      <c r="M181" s="86"/>
      <c r="U181" s="87"/>
      <c r="V181" s="87"/>
      <c r="W181" s="87"/>
      <c r="X181" s="87"/>
    </row>
    <row r="182" ht="15.75" customHeight="1">
      <c r="E182" s="82"/>
      <c r="G182" s="79"/>
      <c r="H182" s="79"/>
      <c r="M182" s="86"/>
      <c r="U182" s="87"/>
      <c r="V182" s="87"/>
      <c r="W182" s="87"/>
      <c r="X182" s="87"/>
    </row>
    <row r="183" ht="15.75" customHeight="1">
      <c r="E183" s="82"/>
      <c r="G183" s="79"/>
      <c r="H183" s="79"/>
      <c r="M183" s="86"/>
      <c r="U183" s="87"/>
      <c r="V183" s="87"/>
      <c r="W183" s="87"/>
      <c r="X183" s="87"/>
    </row>
    <row r="184" ht="15.75" customHeight="1">
      <c r="E184" s="82"/>
      <c r="G184" s="79"/>
      <c r="H184" s="79"/>
      <c r="M184" s="86"/>
      <c r="U184" s="87"/>
      <c r="V184" s="87"/>
      <c r="W184" s="87"/>
      <c r="X184" s="87"/>
    </row>
    <row r="185" ht="15.75" customHeight="1">
      <c r="E185" s="82"/>
      <c r="G185" s="79"/>
      <c r="H185" s="79"/>
      <c r="M185" s="86"/>
      <c r="U185" s="87"/>
      <c r="V185" s="87"/>
      <c r="W185" s="87"/>
      <c r="X185" s="87"/>
    </row>
    <row r="186" ht="15.75" customHeight="1">
      <c r="E186" s="82"/>
      <c r="G186" s="79"/>
      <c r="H186" s="79"/>
      <c r="M186" s="86"/>
      <c r="U186" s="87"/>
      <c r="V186" s="87"/>
      <c r="W186" s="87"/>
      <c r="X186" s="87"/>
    </row>
    <row r="187" ht="15.75" customHeight="1">
      <c r="E187" s="82"/>
      <c r="G187" s="79"/>
      <c r="H187" s="79"/>
      <c r="M187" s="86"/>
      <c r="U187" s="87"/>
      <c r="V187" s="87"/>
      <c r="W187" s="87"/>
      <c r="X187" s="87"/>
    </row>
    <row r="188" ht="15.75" customHeight="1">
      <c r="E188" s="82"/>
      <c r="G188" s="79"/>
      <c r="H188" s="79"/>
      <c r="M188" s="86"/>
      <c r="U188" s="87"/>
      <c r="V188" s="87"/>
      <c r="W188" s="87"/>
      <c r="X188" s="87"/>
    </row>
    <row r="189" ht="15.75" customHeight="1">
      <c r="E189" s="82"/>
      <c r="G189" s="79"/>
      <c r="H189" s="79"/>
      <c r="M189" s="86"/>
      <c r="U189" s="87"/>
      <c r="V189" s="87"/>
      <c r="W189" s="87"/>
      <c r="X189" s="87"/>
    </row>
    <row r="190" ht="15.75" customHeight="1">
      <c r="E190" s="82"/>
      <c r="G190" s="79"/>
      <c r="H190" s="79"/>
      <c r="M190" s="86"/>
      <c r="U190" s="87"/>
      <c r="V190" s="87"/>
      <c r="W190" s="87"/>
      <c r="X190" s="87"/>
    </row>
    <row r="191" ht="15.75" customHeight="1">
      <c r="E191" s="82"/>
      <c r="G191" s="79"/>
      <c r="H191" s="79"/>
      <c r="M191" s="86"/>
      <c r="U191" s="87"/>
      <c r="V191" s="87"/>
      <c r="W191" s="87"/>
      <c r="X191" s="87"/>
    </row>
    <row r="192" ht="15.75" customHeight="1">
      <c r="E192" s="82"/>
      <c r="G192" s="79"/>
      <c r="H192" s="79"/>
      <c r="M192" s="86"/>
      <c r="U192" s="87"/>
      <c r="V192" s="87"/>
      <c r="W192" s="87"/>
      <c r="X192" s="87"/>
    </row>
    <row r="193" ht="15.75" customHeight="1">
      <c r="E193" s="82"/>
      <c r="G193" s="79"/>
      <c r="H193" s="79"/>
      <c r="M193" s="86"/>
      <c r="U193" s="87"/>
      <c r="V193" s="87"/>
      <c r="W193" s="87"/>
      <c r="X193" s="87"/>
    </row>
    <row r="194" ht="15.75" customHeight="1">
      <c r="E194" s="82"/>
      <c r="G194" s="79"/>
      <c r="H194" s="79"/>
      <c r="M194" s="86"/>
      <c r="U194" s="87"/>
      <c r="V194" s="87"/>
      <c r="W194" s="87"/>
      <c r="X194" s="87"/>
    </row>
    <row r="195" ht="15.75" customHeight="1">
      <c r="E195" s="82"/>
      <c r="G195" s="79"/>
      <c r="H195" s="79"/>
      <c r="M195" s="86"/>
      <c r="U195" s="87"/>
      <c r="V195" s="87"/>
      <c r="W195" s="87"/>
      <c r="X195" s="87"/>
    </row>
    <row r="196" ht="15.75" customHeight="1">
      <c r="E196" s="82"/>
      <c r="G196" s="79"/>
      <c r="H196" s="79"/>
      <c r="M196" s="86"/>
      <c r="U196" s="87"/>
      <c r="V196" s="87"/>
      <c r="W196" s="87"/>
      <c r="X196" s="87"/>
    </row>
    <row r="197" ht="15.75" customHeight="1">
      <c r="E197" s="82"/>
      <c r="G197" s="79"/>
      <c r="H197" s="79"/>
      <c r="M197" s="86"/>
      <c r="U197" s="87"/>
      <c r="V197" s="87"/>
      <c r="W197" s="87"/>
      <c r="X197" s="87"/>
    </row>
    <row r="198" ht="15.75" customHeight="1">
      <c r="E198" s="82"/>
      <c r="G198" s="79"/>
      <c r="H198" s="79"/>
      <c r="M198" s="86"/>
      <c r="U198" s="87"/>
      <c r="V198" s="87"/>
      <c r="W198" s="87"/>
      <c r="X198" s="87"/>
    </row>
    <row r="199" ht="15.75" customHeight="1">
      <c r="E199" s="82"/>
      <c r="G199" s="79"/>
      <c r="H199" s="79"/>
      <c r="M199" s="86"/>
      <c r="U199" s="87"/>
      <c r="V199" s="87"/>
      <c r="W199" s="87"/>
      <c r="X199" s="87"/>
    </row>
    <row r="200" ht="15.75" customHeight="1">
      <c r="E200" s="82"/>
      <c r="G200" s="79"/>
      <c r="H200" s="79"/>
      <c r="M200" s="86"/>
      <c r="U200" s="87"/>
      <c r="V200" s="87"/>
      <c r="W200" s="87"/>
      <c r="X200" s="87"/>
    </row>
    <row r="201" ht="15.75" customHeight="1">
      <c r="E201" s="82"/>
      <c r="G201" s="79"/>
      <c r="H201" s="79"/>
      <c r="M201" s="86"/>
      <c r="U201" s="87"/>
      <c r="V201" s="87"/>
      <c r="W201" s="87"/>
      <c r="X201" s="87"/>
    </row>
    <row r="202" ht="15.75" customHeight="1">
      <c r="E202" s="82"/>
      <c r="G202" s="79"/>
      <c r="H202" s="79"/>
      <c r="M202" s="86"/>
      <c r="U202" s="87"/>
      <c r="V202" s="87"/>
      <c r="W202" s="87"/>
      <c r="X202" s="87"/>
    </row>
    <row r="203" ht="15.75" customHeight="1">
      <c r="E203" s="82"/>
      <c r="G203" s="79"/>
      <c r="H203" s="79"/>
      <c r="M203" s="86"/>
      <c r="U203" s="87"/>
      <c r="V203" s="87"/>
      <c r="W203" s="87"/>
      <c r="X203" s="87"/>
    </row>
    <row r="204" ht="15.75" customHeight="1">
      <c r="E204" s="82"/>
      <c r="G204" s="79"/>
      <c r="H204" s="79"/>
      <c r="M204" s="86"/>
      <c r="U204" s="87"/>
      <c r="V204" s="87"/>
      <c r="W204" s="87"/>
      <c r="X204" s="87"/>
    </row>
    <row r="205" ht="15.75" customHeight="1">
      <c r="E205" s="82"/>
      <c r="G205" s="79"/>
      <c r="H205" s="79"/>
      <c r="M205" s="86"/>
      <c r="U205" s="87"/>
      <c r="V205" s="87"/>
      <c r="W205" s="87"/>
      <c r="X205" s="87"/>
    </row>
    <row r="206" ht="15.75" customHeight="1">
      <c r="E206" s="82"/>
      <c r="G206" s="79"/>
      <c r="H206" s="79"/>
      <c r="M206" s="86"/>
      <c r="U206" s="87"/>
      <c r="V206" s="87"/>
      <c r="W206" s="87"/>
      <c r="X206" s="87"/>
    </row>
    <row r="207" ht="15.75" customHeight="1">
      <c r="E207" s="82"/>
      <c r="G207" s="79"/>
      <c r="H207" s="79"/>
      <c r="M207" s="86"/>
      <c r="U207" s="87"/>
      <c r="V207" s="87"/>
      <c r="W207" s="87"/>
      <c r="X207" s="87"/>
    </row>
    <row r="208" ht="15.75" customHeight="1">
      <c r="E208" s="82"/>
      <c r="G208" s="79"/>
      <c r="H208" s="79"/>
      <c r="M208" s="86"/>
      <c r="U208" s="87"/>
      <c r="V208" s="87"/>
      <c r="W208" s="87"/>
      <c r="X208" s="87"/>
    </row>
    <row r="209" ht="15.75" customHeight="1">
      <c r="E209" s="82"/>
      <c r="G209" s="79"/>
      <c r="H209" s="79"/>
      <c r="M209" s="86"/>
      <c r="U209" s="87"/>
      <c r="V209" s="87"/>
      <c r="W209" s="87"/>
      <c r="X209" s="87"/>
    </row>
    <row r="210" ht="15.75" customHeight="1">
      <c r="E210" s="82"/>
      <c r="G210" s="79"/>
      <c r="H210" s="79"/>
      <c r="M210" s="86"/>
      <c r="U210" s="87"/>
      <c r="V210" s="87"/>
      <c r="W210" s="87"/>
      <c r="X210" s="87"/>
    </row>
    <row r="211" ht="15.75" customHeight="1">
      <c r="E211" s="82"/>
      <c r="G211" s="79"/>
      <c r="H211" s="79"/>
      <c r="M211" s="86"/>
      <c r="U211" s="87"/>
      <c r="V211" s="87"/>
      <c r="W211" s="87"/>
      <c r="X211" s="87"/>
    </row>
    <row r="212" ht="15.75" customHeight="1">
      <c r="E212" s="82"/>
      <c r="G212" s="79"/>
      <c r="H212" s="79"/>
      <c r="M212" s="86"/>
      <c r="U212" s="87"/>
      <c r="V212" s="87"/>
      <c r="W212" s="87"/>
      <c r="X212" s="87"/>
    </row>
    <row r="213" ht="15.75" customHeight="1">
      <c r="E213" s="82"/>
      <c r="G213" s="79"/>
      <c r="H213" s="79"/>
      <c r="M213" s="86"/>
      <c r="U213" s="87"/>
      <c r="V213" s="87"/>
      <c r="W213" s="87"/>
      <c r="X213" s="87"/>
    </row>
    <row r="214" ht="15.75" customHeight="1">
      <c r="E214" s="82"/>
      <c r="G214" s="79"/>
      <c r="H214" s="79"/>
      <c r="M214" s="86"/>
      <c r="U214" s="87"/>
      <c r="V214" s="87"/>
      <c r="W214" s="87"/>
      <c r="X214" s="87"/>
    </row>
    <row r="215" ht="15.75" customHeight="1">
      <c r="E215" s="82"/>
      <c r="G215" s="79"/>
      <c r="H215" s="79"/>
      <c r="M215" s="86"/>
      <c r="U215" s="87"/>
      <c r="V215" s="87"/>
      <c r="W215" s="87"/>
      <c r="X215" s="87"/>
    </row>
    <row r="216" ht="15.75" customHeight="1">
      <c r="E216" s="82"/>
      <c r="G216" s="79"/>
      <c r="H216" s="79"/>
      <c r="M216" s="86"/>
      <c r="U216" s="87"/>
      <c r="V216" s="87"/>
      <c r="W216" s="87"/>
      <c r="X216" s="87"/>
    </row>
    <row r="217" ht="15.75" customHeight="1">
      <c r="E217" s="82"/>
      <c r="G217" s="79"/>
      <c r="H217" s="79"/>
      <c r="M217" s="86"/>
      <c r="U217" s="87"/>
      <c r="V217" s="87"/>
      <c r="W217" s="87"/>
      <c r="X217" s="87"/>
    </row>
    <row r="218" ht="15.75" customHeight="1">
      <c r="E218" s="82"/>
      <c r="G218" s="79"/>
      <c r="H218" s="79"/>
      <c r="M218" s="86"/>
      <c r="U218" s="87"/>
      <c r="V218" s="87"/>
      <c r="W218" s="87"/>
      <c r="X218" s="87"/>
    </row>
    <row r="219" ht="15.75" customHeight="1">
      <c r="E219" s="82"/>
      <c r="G219" s="79"/>
      <c r="H219" s="79"/>
      <c r="M219" s="86"/>
      <c r="U219" s="87"/>
      <c r="V219" s="87"/>
      <c r="W219" s="87"/>
      <c r="X219" s="87"/>
    </row>
    <row r="220" ht="15.75" customHeight="1">
      <c r="E220" s="82"/>
      <c r="G220" s="79"/>
      <c r="H220" s="79"/>
      <c r="M220" s="86"/>
      <c r="U220" s="87"/>
      <c r="V220" s="87"/>
      <c r="W220" s="87"/>
      <c r="X220" s="87"/>
    </row>
    <row r="221" ht="15.75" customHeight="1">
      <c r="E221" s="82"/>
      <c r="G221" s="79"/>
      <c r="H221" s="79"/>
      <c r="M221" s="86"/>
      <c r="U221" s="87"/>
      <c r="V221" s="87"/>
      <c r="W221" s="87"/>
      <c r="X221" s="87"/>
    </row>
    <row r="222" ht="15.75" customHeight="1">
      <c r="E222" s="82"/>
      <c r="G222" s="79"/>
      <c r="H222" s="79"/>
      <c r="M222" s="86"/>
      <c r="U222" s="87"/>
      <c r="V222" s="87"/>
      <c r="W222" s="87"/>
      <c r="X222" s="87"/>
    </row>
    <row r="223" ht="15.75" customHeight="1">
      <c r="E223" s="82"/>
      <c r="G223" s="79"/>
      <c r="H223" s="79"/>
      <c r="M223" s="86"/>
      <c r="U223" s="87"/>
      <c r="V223" s="87"/>
      <c r="W223" s="87"/>
      <c r="X223" s="87"/>
    </row>
    <row r="224" ht="15.75" customHeight="1">
      <c r="E224" s="82"/>
      <c r="G224" s="79"/>
      <c r="H224" s="79"/>
      <c r="M224" s="86"/>
      <c r="U224" s="87"/>
      <c r="V224" s="87"/>
      <c r="W224" s="87"/>
      <c r="X224" s="87"/>
    </row>
    <row r="225" ht="15.75" customHeight="1">
      <c r="E225" s="82"/>
      <c r="G225" s="79"/>
      <c r="H225" s="79"/>
      <c r="M225" s="86"/>
      <c r="U225" s="87"/>
      <c r="V225" s="87"/>
      <c r="W225" s="87"/>
      <c r="X225" s="87"/>
    </row>
    <row r="226" ht="15.75" customHeight="1">
      <c r="E226" s="82"/>
      <c r="G226" s="79"/>
      <c r="H226" s="79"/>
      <c r="M226" s="86"/>
      <c r="U226" s="87"/>
      <c r="V226" s="87"/>
      <c r="W226" s="87"/>
      <c r="X226" s="87"/>
    </row>
    <row r="227" ht="15.75" customHeight="1">
      <c r="E227" s="82"/>
      <c r="G227" s="79"/>
      <c r="H227" s="79"/>
      <c r="M227" s="86"/>
      <c r="U227" s="87"/>
      <c r="V227" s="87"/>
      <c r="W227" s="87"/>
      <c r="X227" s="87"/>
    </row>
    <row r="228" ht="15.75" customHeight="1">
      <c r="E228" s="82"/>
      <c r="G228" s="79"/>
      <c r="H228" s="79"/>
      <c r="M228" s="86"/>
      <c r="U228" s="87"/>
      <c r="V228" s="87"/>
      <c r="W228" s="87"/>
      <c r="X228" s="87"/>
    </row>
    <row r="229" ht="15.75" customHeight="1">
      <c r="E229" s="82"/>
      <c r="G229" s="79"/>
      <c r="H229" s="79"/>
      <c r="M229" s="86"/>
      <c r="U229" s="87"/>
      <c r="V229" s="87"/>
      <c r="W229" s="87"/>
      <c r="X229" s="87"/>
    </row>
    <row r="230" ht="15.75" customHeight="1">
      <c r="E230" s="82"/>
      <c r="G230" s="79"/>
      <c r="H230" s="79"/>
      <c r="M230" s="86"/>
      <c r="U230" s="87"/>
      <c r="V230" s="87"/>
      <c r="W230" s="87"/>
      <c r="X230" s="87"/>
    </row>
    <row r="231" ht="15.75" customHeight="1">
      <c r="E231" s="82"/>
      <c r="G231" s="79"/>
      <c r="H231" s="79"/>
      <c r="M231" s="86"/>
      <c r="U231" s="87"/>
      <c r="V231" s="87"/>
      <c r="W231" s="87"/>
      <c r="X231" s="87"/>
    </row>
    <row r="232" ht="15.75" customHeight="1">
      <c r="E232" s="82"/>
      <c r="G232" s="79"/>
      <c r="H232" s="79"/>
      <c r="M232" s="86"/>
      <c r="U232" s="87"/>
      <c r="V232" s="87"/>
      <c r="W232" s="87"/>
      <c r="X232" s="87"/>
    </row>
    <row r="233" ht="15.75" customHeight="1">
      <c r="E233" s="82"/>
      <c r="G233" s="79"/>
      <c r="H233" s="79"/>
      <c r="M233" s="86"/>
      <c r="U233" s="87"/>
      <c r="V233" s="87"/>
      <c r="W233" s="87"/>
      <c r="X233" s="87"/>
    </row>
    <row r="234" ht="15.75" customHeight="1">
      <c r="E234" s="82"/>
      <c r="G234" s="79"/>
      <c r="H234" s="79"/>
      <c r="M234" s="86"/>
      <c r="U234" s="87"/>
      <c r="V234" s="87"/>
      <c r="W234" s="87"/>
      <c r="X234" s="87"/>
    </row>
    <row r="235" ht="15.75" customHeight="1">
      <c r="E235" s="82"/>
      <c r="G235" s="79"/>
      <c r="H235" s="79"/>
      <c r="M235" s="86"/>
      <c r="U235" s="87"/>
      <c r="V235" s="87"/>
      <c r="W235" s="87"/>
      <c r="X235" s="87"/>
    </row>
    <row r="236" ht="15.75" customHeight="1">
      <c r="E236" s="82"/>
      <c r="G236" s="79"/>
      <c r="H236" s="79"/>
      <c r="M236" s="86"/>
      <c r="U236" s="87"/>
      <c r="V236" s="87"/>
      <c r="W236" s="87"/>
      <c r="X236" s="87"/>
    </row>
    <row r="237" ht="15.75" customHeight="1">
      <c r="E237" s="82"/>
      <c r="G237" s="79"/>
      <c r="H237" s="79"/>
      <c r="M237" s="86"/>
      <c r="U237" s="87"/>
      <c r="V237" s="87"/>
      <c r="W237" s="87"/>
      <c r="X237" s="87"/>
    </row>
    <row r="238" ht="15.75" customHeight="1">
      <c r="E238" s="82"/>
      <c r="G238" s="79"/>
      <c r="H238" s="79"/>
      <c r="M238" s="86"/>
      <c r="U238" s="87"/>
      <c r="V238" s="87"/>
      <c r="W238" s="87"/>
      <c r="X238" s="87"/>
    </row>
    <row r="239" ht="15.75" customHeight="1">
      <c r="E239" s="82"/>
      <c r="G239" s="79"/>
      <c r="H239" s="79"/>
      <c r="M239" s="86"/>
      <c r="U239" s="87"/>
      <c r="V239" s="87"/>
      <c r="W239" s="87"/>
      <c r="X239" s="87"/>
    </row>
    <row r="240" ht="15.75" customHeight="1">
      <c r="E240" s="82"/>
      <c r="G240" s="79"/>
      <c r="H240" s="79"/>
      <c r="M240" s="86"/>
      <c r="U240" s="87"/>
      <c r="V240" s="87"/>
      <c r="W240" s="87"/>
      <c r="X240" s="87"/>
    </row>
    <row r="241" ht="15.75" customHeight="1">
      <c r="E241" s="82"/>
      <c r="G241" s="79"/>
      <c r="H241" s="79"/>
      <c r="M241" s="86"/>
      <c r="U241" s="87"/>
      <c r="V241" s="87"/>
      <c r="W241" s="87"/>
      <c r="X241" s="87"/>
    </row>
    <row r="242" ht="15.75" customHeight="1">
      <c r="E242" s="82"/>
      <c r="G242" s="79"/>
      <c r="H242" s="79"/>
      <c r="M242" s="86"/>
      <c r="U242" s="87"/>
      <c r="V242" s="87"/>
      <c r="W242" s="87"/>
      <c r="X242" s="87"/>
    </row>
    <row r="243" ht="15.75" customHeight="1">
      <c r="E243" s="82"/>
      <c r="G243" s="79"/>
      <c r="H243" s="79"/>
      <c r="M243" s="86"/>
      <c r="U243" s="87"/>
      <c r="V243" s="87"/>
      <c r="W243" s="87"/>
      <c r="X243" s="87"/>
    </row>
    <row r="244" ht="15.75" customHeight="1">
      <c r="E244" s="82"/>
      <c r="G244" s="79"/>
      <c r="H244" s="79"/>
      <c r="M244" s="86"/>
      <c r="U244" s="87"/>
      <c r="V244" s="87"/>
      <c r="W244" s="87"/>
      <c r="X244" s="87"/>
    </row>
    <row r="245" ht="15.75" customHeight="1">
      <c r="E245" s="82"/>
      <c r="G245" s="79"/>
      <c r="H245" s="79"/>
      <c r="M245" s="86"/>
      <c r="U245" s="87"/>
      <c r="V245" s="87"/>
      <c r="W245" s="87"/>
      <c r="X245" s="87"/>
    </row>
    <row r="246" ht="15.75" customHeight="1">
      <c r="E246" s="82"/>
      <c r="G246" s="79"/>
      <c r="H246" s="79"/>
      <c r="M246" s="86"/>
      <c r="U246" s="87"/>
      <c r="V246" s="87"/>
      <c r="W246" s="87"/>
      <c r="X246" s="87"/>
    </row>
    <row r="247" ht="15.75" customHeight="1">
      <c r="E247" s="82"/>
      <c r="G247" s="79"/>
      <c r="H247" s="79"/>
      <c r="M247" s="86"/>
      <c r="U247" s="87"/>
      <c r="V247" s="87"/>
      <c r="W247" s="87"/>
      <c r="X247" s="87"/>
    </row>
    <row r="248" ht="15.75" customHeight="1">
      <c r="E248" s="82"/>
      <c r="G248" s="79"/>
      <c r="H248" s="79"/>
      <c r="M248" s="86"/>
      <c r="U248" s="87"/>
      <c r="V248" s="87"/>
      <c r="W248" s="87"/>
      <c r="X248" s="87"/>
    </row>
    <row r="249" ht="15.75" customHeight="1">
      <c r="E249" s="82"/>
      <c r="G249" s="79"/>
      <c r="H249" s="79"/>
      <c r="M249" s="86"/>
      <c r="U249" s="87"/>
      <c r="V249" s="87"/>
      <c r="W249" s="87"/>
      <c r="X249" s="87"/>
    </row>
    <row r="250" ht="15.75" customHeight="1">
      <c r="E250" s="82"/>
      <c r="G250" s="79"/>
      <c r="H250" s="79"/>
      <c r="M250" s="86"/>
      <c r="U250" s="87"/>
      <c r="V250" s="87"/>
      <c r="W250" s="87"/>
      <c r="X250" s="87"/>
    </row>
    <row r="251" ht="15.75" customHeight="1">
      <c r="E251" s="82"/>
      <c r="G251" s="79"/>
      <c r="H251" s="79"/>
      <c r="M251" s="86"/>
      <c r="U251" s="87"/>
      <c r="V251" s="87"/>
      <c r="W251" s="87"/>
      <c r="X251" s="87"/>
    </row>
    <row r="252" ht="15.75" customHeight="1">
      <c r="E252" s="82"/>
      <c r="G252" s="79"/>
      <c r="H252" s="79"/>
      <c r="M252" s="86"/>
      <c r="U252" s="87"/>
      <c r="V252" s="87"/>
      <c r="W252" s="87"/>
      <c r="X252" s="87"/>
    </row>
    <row r="253" ht="15.75" customHeight="1">
      <c r="E253" s="82"/>
      <c r="G253" s="79"/>
      <c r="H253" s="79"/>
      <c r="M253" s="86"/>
      <c r="U253" s="87"/>
      <c r="V253" s="87"/>
      <c r="W253" s="87"/>
      <c r="X253" s="87"/>
    </row>
    <row r="254" ht="15.75" customHeight="1">
      <c r="E254" s="82"/>
      <c r="G254" s="79"/>
      <c r="H254" s="79"/>
      <c r="M254" s="86"/>
      <c r="U254" s="87"/>
      <c r="V254" s="87"/>
      <c r="W254" s="87"/>
      <c r="X254" s="87"/>
    </row>
    <row r="255" ht="15.75" customHeight="1">
      <c r="E255" s="82"/>
      <c r="G255" s="79"/>
      <c r="H255" s="79"/>
      <c r="M255" s="86"/>
      <c r="U255" s="87"/>
      <c r="V255" s="87"/>
      <c r="W255" s="87"/>
      <c r="X255" s="87"/>
    </row>
    <row r="256" ht="15.75" customHeight="1">
      <c r="E256" s="82"/>
      <c r="G256" s="79"/>
      <c r="H256" s="79"/>
      <c r="M256" s="86"/>
      <c r="U256" s="87"/>
      <c r="V256" s="87"/>
      <c r="W256" s="87"/>
      <c r="X256" s="87"/>
    </row>
    <row r="257" ht="15.75" customHeight="1">
      <c r="E257" s="82"/>
      <c r="G257" s="79"/>
      <c r="H257" s="79"/>
      <c r="M257" s="86"/>
      <c r="U257" s="87"/>
      <c r="V257" s="87"/>
      <c r="W257" s="87"/>
      <c r="X257" s="87"/>
    </row>
    <row r="258" ht="15.75" customHeight="1">
      <c r="E258" s="82"/>
      <c r="G258" s="79"/>
      <c r="H258" s="79"/>
      <c r="M258" s="86"/>
      <c r="U258" s="87"/>
      <c r="V258" s="87"/>
      <c r="W258" s="87"/>
      <c r="X258" s="87"/>
    </row>
    <row r="259" ht="15.75" customHeight="1">
      <c r="E259" s="82"/>
      <c r="G259" s="79"/>
      <c r="H259" s="79"/>
      <c r="M259" s="86"/>
      <c r="U259" s="87"/>
      <c r="V259" s="87"/>
      <c r="W259" s="87"/>
      <c r="X259" s="87"/>
    </row>
    <row r="260" ht="15.75" customHeight="1">
      <c r="E260" s="82"/>
      <c r="G260" s="79"/>
      <c r="H260" s="79"/>
      <c r="M260" s="86"/>
      <c r="U260" s="87"/>
      <c r="V260" s="87"/>
      <c r="W260" s="87"/>
      <c r="X260" s="87"/>
    </row>
    <row r="261" ht="15.75" customHeight="1">
      <c r="E261" s="82"/>
      <c r="G261" s="79"/>
      <c r="H261" s="79"/>
      <c r="M261" s="86"/>
      <c r="U261" s="87"/>
      <c r="V261" s="87"/>
      <c r="W261" s="87"/>
      <c r="X261" s="87"/>
    </row>
    <row r="262" ht="15.75" customHeight="1">
      <c r="E262" s="82"/>
      <c r="G262" s="79"/>
      <c r="H262" s="79"/>
      <c r="M262" s="86"/>
      <c r="U262" s="87"/>
      <c r="V262" s="87"/>
      <c r="W262" s="87"/>
      <c r="X262" s="87"/>
    </row>
    <row r="263" ht="15.75" customHeight="1">
      <c r="E263" s="82"/>
      <c r="G263" s="79"/>
      <c r="H263" s="79"/>
      <c r="M263" s="86"/>
      <c r="U263" s="87"/>
      <c r="V263" s="87"/>
      <c r="W263" s="87"/>
      <c r="X263" s="87"/>
    </row>
    <row r="264" ht="15.75" customHeight="1">
      <c r="E264" s="82"/>
      <c r="G264" s="79"/>
      <c r="H264" s="79"/>
      <c r="M264" s="86"/>
      <c r="U264" s="87"/>
      <c r="V264" s="87"/>
      <c r="W264" s="87"/>
      <c r="X264" s="87"/>
    </row>
    <row r="265" ht="15.75" customHeight="1">
      <c r="E265" s="82"/>
      <c r="G265" s="79"/>
      <c r="H265" s="79"/>
      <c r="M265" s="86"/>
      <c r="U265" s="87"/>
      <c r="V265" s="87"/>
      <c r="W265" s="87"/>
      <c r="X265" s="87"/>
    </row>
    <row r="266" ht="15.75" customHeight="1">
      <c r="E266" s="82"/>
      <c r="G266" s="79"/>
      <c r="H266" s="79"/>
      <c r="M266" s="86"/>
      <c r="U266" s="87"/>
      <c r="V266" s="87"/>
      <c r="W266" s="87"/>
      <c r="X266" s="87"/>
    </row>
    <row r="267" ht="15.75" customHeight="1">
      <c r="E267" s="82"/>
      <c r="G267" s="79"/>
      <c r="H267" s="79"/>
      <c r="M267" s="86"/>
      <c r="U267" s="87"/>
      <c r="V267" s="87"/>
      <c r="W267" s="87"/>
      <c r="X267" s="87"/>
    </row>
    <row r="268" ht="15.75" customHeight="1">
      <c r="E268" s="82"/>
      <c r="G268" s="79"/>
      <c r="H268" s="79"/>
      <c r="M268" s="86"/>
      <c r="U268" s="87"/>
      <c r="V268" s="87"/>
      <c r="W268" s="87"/>
      <c r="X268" s="87"/>
    </row>
    <row r="269" ht="15.75" customHeight="1">
      <c r="E269" s="82"/>
      <c r="G269" s="79"/>
      <c r="H269" s="79"/>
      <c r="M269" s="86"/>
      <c r="U269" s="87"/>
      <c r="V269" s="87"/>
      <c r="W269" s="87"/>
      <c r="X269" s="87"/>
    </row>
    <row r="270" ht="15.75" customHeight="1">
      <c r="E270" s="82"/>
      <c r="G270" s="79"/>
      <c r="H270" s="79"/>
      <c r="M270" s="86"/>
      <c r="U270" s="87"/>
      <c r="V270" s="87"/>
      <c r="W270" s="87"/>
      <c r="X270" s="87"/>
    </row>
    <row r="271" ht="15.75" customHeight="1">
      <c r="E271" s="82"/>
      <c r="G271" s="79"/>
      <c r="H271" s="79"/>
      <c r="M271" s="86"/>
      <c r="U271" s="87"/>
      <c r="V271" s="87"/>
      <c r="W271" s="87"/>
      <c r="X271" s="87"/>
    </row>
    <row r="272" ht="15.75" customHeight="1">
      <c r="E272" s="82"/>
      <c r="G272" s="79"/>
      <c r="H272" s="79"/>
      <c r="M272" s="86"/>
      <c r="U272" s="87"/>
      <c r="V272" s="87"/>
      <c r="W272" s="87"/>
      <c r="X272" s="87"/>
    </row>
    <row r="273" ht="15.75" customHeight="1">
      <c r="E273" s="82"/>
      <c r="G273" s="79"/>
      <c r="H273" s="79"/>
      <c r="M273" s="86"/>
      <c r="U273" s="87"/>
      <c r="V273" s="87"/>
      <c r="W273" s="87"/>
      <c r="X273" s="87"/>
    </row>
    <row r="274" ht="15.75" customHeight="1">
      <c r="E274" s="82"/>
      <c r="G274" s="79"/>
      <c r="H274" s="79"/>
      <c r="M274" s="86"/>
      <c r="U274" s="87"/>
      <c r="V274" s="87"/>
      <c r="W274" s="87"/>
      <c r="X274" s="87"/>
    </row>
    <row r="275" ht="15.75" customHeight="1">
      <c r="E275" s="82"/>
      <c r="G275" s="79"/>
      <c r="H275" s="79"/>
      <c r="M275" s="86"/>
      <c r="U275" s="87"/>
      <c r="V275" s="87"/>
      <c r="W275" s="87"/>
      <c r="X275" s="87"/>
    </row>
    <row r="276" ht="15.75" customHeight="1">
      <c r="E276" s="82"/>
      <c r="G276" s="79"/>
      <c r="H276" s="79"/>
      <c r="M276" s="86"/>
      <c r="U276" s="87"/>
      <c r="V276" s="87"/>
      <c r="W276" s="87"/>
      <c r="X276" s="87"/>
    </row>
    <row r="277" ht="15.75" customHeight="1">
      <c r="E277" s="82"/>
      <c r="G277" s="79"/>
      <c r="H277" s="79"/>
      <c r="M277" s="86"/>
      <c r="U277" s="87"/>
      <c r="V277" s="87"/>
      <c r="W277" s="87"/>
      <c r="X277" s="87"/>
    </row>
    <row r="278" ht="15.75" customHeight="1">
      <c r="E278" s="82"/>
      <c r="G278" s="79"/>
      <c r="H278" s="79"/>
      <c r="M278" s="86"/>
      <c r="U278" s="87"/>
      <c r="V278" s="87"/>
      <c r="W278" s="87"/>
      <c r="X278" s="87"/>
    </row>
    <row r="279" ht="15.75" customHeight="1">
      <c r="E279" s="82"/>
      <c r="G279" s="79"/>
      <c r="H279" s="79"/>
      <c r="M279" s="86"/>
      <c r="U279" s="87"/>
      <c r="V279" s="87"/>
      <c r="W279" s="87"/>
      <c r="X279" s="87"/>
    </row>
    <row r="280" ht="15.75" customHeight="1">
      <c r="E280" s="82"/>
      <c r="G280" s="79"/>
      <c r="H280" s="79"/>
      <c r="M280" s="86"/>
      <c r="U280" s="87"/>
      <c r="V280" s="87"/>
      <c r="W280" s="87"/>
      <c r="X280" s="87"/>
    </row>
    <row r="281" ht="15.75" customHeight="1">
      <c r="E281" s="82"/>
      <c r="G281" s="79"/>
      <c r="H281" s="79"/>
      <c r="M281" s="86"/>
      <c r="U281" s="87"/>
      <c r="V281" s="87"/>
      <c r="W281" s="87"/>
      <c r="X281" s="87"/>
    </row>
    <row r="282" ht="15.75" customHeight="1">
      <c r="E282" s="82"/>
      <c r="G282" s="79"/>
      <c r="H282" s="79"/>
      <c r="M282" s="86"/>
      <c r="U282" s="87"/>
      <c r="V282" s="87"/>
      <c r="W282" s="87"/>
      <c r="X282" s="87"/>
    </row>
    <row r="283" ht="15.75" customHeight="1">
      <c r="E283" s="82"/>
      <c r="G283" s="79"/>
      <c r="H283" s="79"/>
      <c r="M283" s="86"/>
      <c r="U283" s="87"/>
      <c r="V283" s="87"/>
      <c r="W283" s="87"/>
      <c r="X283" s="87"/>
    </row>
    <row r="284" ht="15.75" customHeight="1">
      <c r="E284" s="82"/>
      <c r="G284" s="79"/>
      <c r="H284" s="79"/>
      <c r="M284" s="86"/>
      <c r="U284" s="87"/>
      <c r="V284" s="87"/>
      <c r="W284" s="87"/>
      <c r="X284" s="87"/>
    </row>
    <row r="285" ht="15.75" customHeight="1">
      <c r="E285" s="82"/>
      <c r="G285" s="79"/>
      <c r="H285" s="79"/>
      <c r="M285" s="86"/>
      <c r="U285" s="87"/>
      <c r="V285" s="87"/>
      <c r="W285" s="87"/>
      <c r="X285" s="87"/>
    </row>
    <row r="286" ht="15.75" customHeight="1">
      <c r="E286" s="82"/>
      <c r="G286" s="79"/>
      <c r="H286" s="79"/>
      <c r="M286" s="86"/>
      <c r="U286" s="87"/>
      <c r="V286" s="87"/>
      <c r="W286" s="87"/>
      <c r="X286" s="87"/>
    </row>
    <row r="287" ht="15.75" customHeight="1">
      <c r="E287" s="82"/>
      <c r="G287" s="79"/>
      <c r="H287" s="79"/>
      <c r="M287" s="86"/>
      <c r="U287" s="87"/>
      <c r="V287" s="87"/>
      <c r="W287" s="87"/>
      <c r="X287" s="87"/>
    </row>
    <row r="288" ht="15.75" customHeight="1">
      <c r="E288" s="82"/>
      <c r="G288" s="79"/>
      <c r="H288" s="79"/>
      <c r="M288" s="86"/>
      <c r="U288" s="87"/>
      <c r="V288" s="87"/>
      <c r="W288" s="87"/>
      <c r="X288" s="87"/>
    </row>
    <row r="289" ht="15.75" customHeight="1">
      <c r="E289" s="82"/>
      <c r="G289" s="79"/>
      <c r="H289" s="79"/>
      <c r="M289" s="86"/>
      <c r="U289" s="87"/>
      <c r="V289" s="87"/>
      <c r="W289" s="87"/>
      <c r="X289" s="87"/>
    </row>
    <row r="290" ht="15.75" customHeight="1">
      <c r="E290" s="82"/>
      <c r="G290" s="79"/>
      <c r="H290" s="79"/>
      <c r="M290" s="86"/>
      <c r="U290" s="87"/>
      <c r="V290" s="87"/>
      <c r="W290" s="87"/>
      <c r="X290" s="87"/>
    </row>
    <row r="291" ht="15.75" customHeight="1">
      <c r="E291" s="82"/>
      <c r="G291" s="79"/>
      <c r="H291" s="79"/>
      <c r="M291" s="86"/>
      <c r="U291" s="87"/>
      <c r="V291" s="87"/>
      <c r="W291" s="87"/>
      <c r="X291" s="87"/>
    </row>
    <row r="292" ht="15.75" customHeight="1">
      <c r="E292" s="82"/>
      <c r="G292" s="79"/>
      <c r="H292" s="79"/>
      <c r="M292" s="86"/>
      <c r="U292" s="87"/>
      <c r="V292" s="87"/>
      <c r="W292" s="87"/>
      <c r="X292" s="87"/>
    </row>
    <row r="293" ht="15.75" customHeight="1">
      <c r="E293" s="82"/>
      <c r="G293" s="79"/>
      <c r="H293" s="79"/>
      <c r="M293" s="86"/>
      <c r="U293" s="87"/>
      <c r="V293" s="87"/>
      <c r="W293" s="87"/>
      <c r="X293" s="87"/>
    </row>
    <row r="294" ht="15.75" customHeight="1">
      <c r="E294" s="82"/>
      <c r="G294" s="79"/>
      <c r="H294" s="79"/>
      <c r="M294" s="86"/>
      <c r="U294" s="87"/>
      <c r="V294" s="87"/>
      <c r="W294" s="87"/>
      <c r="X294" s="87"/>
    </row>
    <row r="295" ht="15.75" customHeight="1">
      <c r="E295" s="82"/>
      <c r="G295" s="79"/>
      <c r="H295" s="79"/>
      <c r="M295" s="86"/>
      <c r="U295" s="87"/>
      <c r="V295" s="87"/>
      <c r="W295" s="87"/>
      <c r="X295" s="87"/>
    </row>
    <row r="296" ht="15.75" customHeight="1">
      <c r="E296" s="82"/>
      <c r="G296" s="79"/>
      <c r="H296" s="79"/>
      <c r="M296" s="86"/>
      <c r="U296" s="87"/>
      <c r="V296" s="87"/>
      <c r="W296" s="87"/>
      <c r="X296" s="87"/>
    </row>
    <row r="297" ht="15.75" customHeight="1">
      <c r="E297" s="82"/>
      <c r="G297" s="79"/>
      <c r="H297" s="79"/>
      <c r="M297" s="86"/>
      <c r="U297" s="87"/>
      <c r="V297" s="87"/>
      <c r="W297" s="87"/>
      <c r="X297" s="87"/>
    </row>
    <row r="298" ht="15.75" customHeight="1">
      <c r="E298" s="82"/>
      <c r="G298" s="79"/>
      <c r="H298" s="79"/>
      <c r="M298" s="86"/>
      <c r="U298" s="87"/>
      <c r="V298" s="87"/>
      <c r="W298" s="87"/>
      <c r="X298" s="87"/>
    </row>
    <row r="299" ht="15.75" customHeight="1">
      <c r="E299" s="82"/>
      <c r="G299" s="79"/>
      <c r="H299" s="79"/>
      <c r="M299" s="86"/>
      <c r="U299" s="87"/>
      <c r="V299" s="87"/>
      <c r="W299" s="87"/>
      <c r="X299" s="87"/>
    </row>
    <row r="300" ht="15.75" customHeight="1">
      <c r="E300" s="82"/>
      <c r="G300" s="79"/>
      <c r="H300" s="79"/>
      <c r="M300" s="86"/>
      <c r="U300" s="87"/>
      <c r="V300" s="87"/>
      <c r="W300" s="87"/>
      <c r="X300" s="87"/>
    </row>
    <row r="301" ht="15.75" customHeight="1">
      <c r="E301" s="82"/>
      <c r="G301" s="79"/>
      <c r="H301" s="79"/>
      <c r="M301" s="86"/>
      <c r="U301" s="87"/>
      <c r="V301" s="87"/>
      <c r="W301" s="87"/>
      <c r="X301" s="87"/>
    </row>
    <row r="302" ht="15.75" customHeight="1">
      <c r="E302" s="82"/>
      <c r="G302" s="79"/>
      <c r="H302" s="79"/>
      <c r="M302" s="86"/>
      <c r="U302" s="87"/>
      <c r="V302" s="87"/>
      <c r="W302" s="87"/>
      <c r="X302" s="87"/>
    </row>
    <row r="303" ht="15.75" customHeight="1">
      <c r="E303" s="82"/>
      <c r="G303" s="79"/>
      <c r="H303" s="79"/>
      <c r="M303" s="86"/>
      <c r="U303" s="87"/>
      <c r="V303" s="87"/>
      <c r="W303" s="87"/>
      <c r="X303" s="87"/>
    </row>
    <row r="304" ht="15.75" customHeight="1">
      <c r="E304" s="82"/>
      <c r="G304" s="79"/>
      <c r="H304" s="79"/>
      <c r="M304" s="86"/>
      <c r="U304" s="87"/>
      <c r="V304" s="87"/>
      <c r="W304" s="87"/>
      <c r="X304" s="87"/>
    </row>
    <row r="305" ht="15.75" customHeight="1">
      <c r="E305" s="82"/>
      <c r="G305" s="79"/>
      <c r="H305" s="79"/>
      <c r="M305" s="86"/>
      <c r="U305" s="87"/>
      <c r="V305" s="87"/>
      <c r="W305" s="87"/>
      <c r="X305" s="87"/>
    </row>
    <row r="306" ht="15.75" customHeight="1">
      <c r="E306" s="82"/>
      <c r="G306" s="79"/>
      <c r="H306" s="79"/>
      <c r="M306" s="86"/>
      <c r="U306" s="87"/>
      <c r="V306" s="87"/>
      <c r="W306" s="87"/>
      <c r="X306" s="87"/>
    </row>
    <row r="307" ht="15.75" customHeight="1">
      <c r="E307" s="82"/>
      <c r="G307" s="79"/>
      <c r="H307" s="79"/>
      <c r="M307" s="86"/>
      <c r="U307" s="87"/>
      <c r="V307" s="87"/>
      <c r="W307" s="87"/>
      <c r="X307" s="87"/>
    </row>
    <row r="308" ht="15.75" customHeight="1">
      <c r="E308" s="82"/>
      <c r="G308" s="79"/>
      <c r="H308" s="79"/>
      <c r="M308" s="86"/>
      <c r="U308" s="87"/>
      <c r="V308" s="87"/>
      <c r="W308" s="87"/>
      <c r="X308" s="87"/>
    </row>
    <row r="309" ht="15.75" customHeight="1">
      <c r="E309" s="82"/>
      <c r="G309" s="79"/>
      <c r="H309" s="79"/>
      <c r="M309" s="86"/>
      <c r="U309" s="87"/>
      <c r="V309" s="87"/>
      <c r="W309" s="87"/>
      <c r="X309" s="87"/>
    </row>
    <row r="310" ht="15.75" customHeight="1">
      <c r="E310" s="82"/>
      <c r="G310" s="79"/>
      <c r="H310" s="79"/>
      <c r="M310" s="86"/>
      <c r="U310" s="87"/>
      <c r="V310" s="87"/>
      <c r="W310" s="87"/>
      <c r="X310" s="87"/>
    </row>
    <row r="311" ht="15.75" customHeight="1">
      <c r="E311" s="82"/>
      <c r="G311" s="79"/>
      <c r="H311" s="79"/>
      <c r="M311" s="86"/>
      <c r="U311" s="87"/>
      <c r="V311" s="87"/>
      <c r="W311" s="87"/>
      <c r="X311" s="87"/>
    </row>
    <row r="312" ht="15.75" customHeight="1">
      <c r="E312" s="82"/>
      <c r="G312" s="79"/>
      <c r="H312" s="79"/>
      <c r="M312" s="86"/>
      <c r="U312" s="87"/>
      <c r="V312" s="87"/>
      <c r="W312" s="87"/>
      <c r="X312" s="87"/>
    </row>
    <row r="313" ht="15.75" customHeight="1">
      <c r="E313" s="82"/>
      <c r="G313" s="79"/>
      <c r="H313" s="79"/>
      <c r="M313" s="86"/>
      <c r="U313" s="87"/>
      <c r="V313" s="87"/>
      <c r="W313" s="87"/>
      <c r="X313" s="87"/>
    </row>
    <row r="314" ht="15.75" customHeight="1">
      <c r="E314" s="82"/>
      <c r="G314" s="79"/>
      <c r="H314" s="79"/>
      <c r="M314" s="86"/>
      <c r="U314" s="87"/>
      <c r="V314" s="87"/>
      <c r="W314" s="87"/>
      <c r="X314" s="87"/>
    </row>
    <row r="315" ht="15.75" customHeight="1">
      <c r="E315" s="82"/>
      <c r="G315" s="79"/>
      <c r="H315" s="79"/>
      <c r="M315" s="86"/>
      <c r="U315" s="87"/>
      <c r="V315" s="87"/>
      <c r="W315" s="87"/>
      <c r="X315" s="87"/>
    </row>
    <row r="316" ht="15.75" customHeight="1">
      <c r="E316" s="82"/>
      <c r="G316" s="79"/>
      <c r="H316" s="79"/>
      <c r="M316" s="86"/>
      <c r="U316" s="87"/>
      <c r="V316" s="87"/>
      <c r="W316" s="87"/>
      <c r="X316" s="87"/>
    </row>
    <row r="317" ht="15.75" customHeight="1">
      <c r="E317" s="82"/>
      <c r="G317" s="79"/>
      <c r="H317" s="79"/>
      <c r="M317" s="86"/>
      <c r="U317" s="87"/>
      <c r="V317" s="87"/>
      <c r="W317" s="87"/>
      <c r="X317" s="87"/>
    </row>
    <row r="318" ht="15.75" customHeight="1">
      <c r="E318" s="82"/>
      <c r="G318" s="79"/>
      <c r="H318" s="79"/>
      <c r="M318" s="86"/>
      <c r="U318" s="87"/>
      <c r="V318" s="87"/>
      <c r="W318" s="87"/>
      <c r="X318" s="87"/>
    </row>
    <row r="319" ht="15.75" customHeight="1">
      <c r="E319" s="82"/>
      <c r="G319" s="79"/>
      <c r="H319" s="79"/>
      <c r="M319" s="86"/>
      <c r="U319" s="87"/>
      <c r="V319" s="87"/>
      <c r="W319" s="87"/>
      <c r="X319" s="87"/>
    </row>
    <row r="320" ht="15.75" customHeight="1">
      <c r="E320" s="82"/>
      <c r="G320" s="79"/>
      <c r="H320" s="79"/>
      <c r="M320" s="86"/>
      <c r="U320" s="87"/>
      <c r="V320" s="87"/>
      <c r="W320" s="87"/>
      <c r="X320" s="87"/>
    </row>
    <row r="321" ht="15.75" customHeight="1">
      <c r="E321" s="82"/>
      <c r="G321" s="79"/>
      <c r="H321" s="79"/>
      <c r="M321" s="86"/>
      <c r="U321" s="87"/>
      <c r="V321" s="87"/>
      <c r="W321" s="87"/>
      <c r="X321" s="87"/>
    </row>
    <row r="322" ht="15.75" customHeight="1">
      <c r="E322" s="82"/>
      <c r="G322" s="79"/>
      <c r="H322" s="79"/>
      <c r="M322" s="86"/>
      <c r="U322" s="87"/>
      <c r="V322" s="87"/>
      <c r="W322" s="87"/>
      <c r="X322" s="87"/>
    </row>
    <row r="323" ht="15.75" customHeight="1">
      <c r="E323" s="82"/>
      <c r="G323" s="79"/>
      <c r="H323" s="79"/>
      <c r="M323" s="86"/>
      <c r="U323" s="87"/>
      <c r="V323" s="87"/>
      <c r="W323" s="87"/>
      <c r="X323" s="87"/>
    </row>
    <row r="324" ht="15.75" customHeight="1">
      <c r="E324" s="82"/>
      <c r="G324" s="79"/>
      <c r="H324" s="79"/>
      <c r="M324" s="86"/>
      <c r="U324" s="87"/>
      <c r="V324" s="87"/>
      <c r="W324" s="87"/>
      <c r="X324" s="87"/>
    </row>
    <row r="325" ht="15.75" customHeight="1">
      <c r="E325" s="82"/>
      <c r="G325" s="79"/>
      <c r="H325" s="79"/>
      <c r="M325" s="86"/>
      <c r="U325" s="87"/>
      <c r="V325" s="87"/>
      <c r="W325" s="87"/>
      <c r="X325" s="87"/>
    </row>
    <row r="326" ht="15.75" customHeight="1">
      <c r="E326" s="82"/>
      <c r="G326" s="79"/>
      <c r="H326" s="79"/>
      <c r="M326" s="86"/>
      <c r="U326" s="87"/>
      <c r="V326" s="87"/>
      <c r="W326" s="87"/>
      <c r="X326" s="87"/>
    </row>
    <row r="327" ht="15.75" customHeight="1">
      <c r="E327" s="82"/>
      <c r="G327" s="79"/>
      <c r="H327" s="79"/>
      <c r="M327" s="86"/>
      <c r="U327" s="87"/>
      <c r="V327" s="87"/>
      <c r="W327" s="87"/>
      <c r="X327" s="87"/>
    </row>
    <row r="328" ht="15.75" customHeight="1">
      <c r="E328" s="82"/>
      <c r="G328" s="79"/>
      <c r="H328" s="79"/>
      <c r="M328" s="86"/>
      <c r="U328" s="87"/>
      <c r="V328" s="87"/>
      <c r="W328" s="87"/>
      <c r="X328" s="87"/>
    </row>
    <row r="329" ht="15.75" customHeight="1">
      <c r="E329" s="82"/>
      <c r="G329" s="79"/>
      <c r="H329" s="79"/>
      <c r="M329" s="86"/>
      <c r="U329" s="87"/>
      <c r="V329" s="87"/>
      <c r="W329" s="87"/>
      <c r="X329" s="87"/>
    </row>
    <row r="330" ht="15.75" customHeight="1">
      <c r="E330" s="82"/>
      <c r="G330" s="79"/>
      <c r="H330" s="79"/>
      <c r="M330" s="86"/>
      <c r="U330" s="87"/>
      <c r="V330" s="87"/>
      <c r="W330" s="87"/>
      <c r="X330" s="87"/>
    </row>
    <row r="331" ht="15.75" customHeight="1">
      <c r="E331" s="82"/>
      <c r="G331" s="79"/>
      <c r="H331" s="79"/>
      <c r="M331" s="86"/>
      <c r="U331" s="87"/>
      <c r="V331" s="87"/>
      <c r="W331" s="87"/>
      <c r="X331" s="87"/>
    </row>
    <row r="332" ht="15.75" customHeight="1">
      <c r="E332" s="82"/>
      <c r="G332" s="79"/>
      <c r="H332" s="79"/>
      <c r="M332" s="86"/>
      <c r="U332" s="87"/>
      <c r="V332" s="87"/>
      <c r="W332" s="87"/>
      <c r="X332" s="87"/>
    </row>
    <row r="333" ht="15.75" customHeight="1">
      <c r="E333" s="82"/>
      <c r="G333" s="79"/>
      <c r="H333" s="79"/>
      <c r="M333" s="86"/>
      <c r="U333" s="87"/>
      <c r="V333" s="87"/>
      <c r="W333" s="87"/>
      <c r="X333" s="87"/>
    </row>
    <row r="334" ht="15.75" customHeight="1">
      <c r="E334" s="82"/>
      <c r="G334" s="79"/>
      <c r="H334" s="79"/>
      <c r="M334" s="86"/>
      <c r="U334" s="87"/>
      <c r="V334" s="87"/>
      <c r="W334" s="87"/>
      <c r="X334" s="87"/>
    </row>
    <row r="335" ht="15.75" customHeight="1">
      <c r="E335" s="82"/>
      <c r="G335" s="79"/>
      <c r="H335" s="79"/>
      <c r="M335" s="86"/>
      <c r="U335" s="87"/>
      <c r="V335" s="87"/>
      <c r="W335" s="87"/>
      <c r="X335" s="87"/>
    </row>
    <row r="336" ht="15.75" customHeight="1">
      <c r="E336" s="82"/>
      <c r="G336" s="79"/>
      <c r="H336" s="79"/>
      <c r="M336" s="86"/>
      <c r="U336" s="87"/>
      <c r="V336" s="87"/>
      <c r="W336" s="87"/>
      <c r="X336" s="87"/>
    </row>
    <row r="337" ht="15.75" customHeight="1">
      <c r="E337" s="82"/>
      <c r="G337" s="79"/>
      <c r="H337" s="79"/>
      <c r="M337" s="86"/>
      <c r="U337" s="87"/>
      <c r="V337" s="87"/>
      <c r="W337" s="87"/>
      <c r="X337" s="87"/>
    </row>
    <row r="338" ht="15.75" customHeight="1">
      <c r="E338" s="82"/>
      <c r="G338" s="79"/>
      <c r="H338" s="79"/>
      <c r="M338" s="86"/>
      <c r="U338" s="87"/>
      <c r="V338" s="87"/>
      <c r="W338" s="87"/>
      <c r="X338" s="87"/>
    </row>
    <row r="339" ht="15.75" customHeight="1">
      <c r="E339" s="82"/>
      <c r="G339" s="79"/>
      <c r="H339" s="79"/>
      <c r="M339" s="86"/>
      <c r="U339" s="87"/>
      <c r="V339" s="87"/>
      <c r="W339" s="87"/>
      <c r="X339" s="87"/>
    </row>
    <row r="340" ht="15.75" customHeight="1">
      <c r="E340" s="82"/>
      <c r="G340" s="79"/>
      <c r="H340" s="79"/>
      <c r="M340" s="86"/>
      <c r="U340" s="87"/>
      <c r="V340" s="87"/>
      <c r="W340" s="87"/>
      <c r="X340" s="87"/>
    </row>
    <row r="341" ht="15.75" customHeight="1">
      <c r="E341" s="82"/>
      <c r="G341" s="79"/>
      <c r="H341" s="79"/>
      <c r="M341" s="86"/>
      <c r="U341" s="87"/>
      <c r="V341" s="87"/>
      <c r="W341" s="87"/>
      <c r="X341" s="87"/>
    </row>
    <row r="342" ht="15.75" customHeight="1">
      <c r="E342" s="82"/>
      <c r="G342" s="79"/>
      <c r="H342" s="79"/>
      <c r="M342" s="86"/>
      <c r="U342" s="87"/>
      <c r="V342" s="87"/>
      <c r="W342" s="87"/>
      <c r="X342" s="87"/>
    </row>
    <row r="343" ht="15.75" customHeight="1">
      <c r="E343" s="82"/>
      <c r="G343" s="79"/>
      <c r="H343" s="79"/>
      <c r="M343" s="86"/>
      <c r="U343" s="87"/>
      <c r="V343" s="87"/>
      <c r="W343" s="87"/>
      <c r="X343" s="87"/>
    </row>
    <row r="344" ht="15.75" customHeight="1">
      <c r="E344" s="82"/>
      <c r="G344" s="79"/>
      <c r="H344" s="79"/>
      <c r="M344" s="86"/>
      <c r="U344" s="87"/>
      <c r="V344" s="87"/>
      <c r="W344" s="87"/>
      <c r="X344" s="87"/>
    </row>
    <row r="345" ht="15.75" customHeight="1">
      <c r="E345" s="82"/>
      <c r="G345" s="79"/>
      <c r="H345" s="79"/>
      <c r="M345" s="86"/>
      <c r="U345" s="87"/>
      <c r="V345" s="87"/>
      <c r="W345" s="87"/>
      <c r="X345" s="87"/>
    </row>
    <row r="346" ht="15.75" customHeight="1">
      <c r="E346" s="82"/>
      <c r="G346" s="79"/>
      <c r="H346" s="79"/>
      <c r="M346" s="86"/>
      <c r="U346" s="87"/>
      <c r="V346" s="87"/>
      <c r="W346" s="87"/>
      <c r="X346" s="87"/>
    </row>
    <row r="347" ht="15.75" customHeight="1">
      <c r="E347" s="82"/>
      <c r="G347" s="79"/>
      <c r="H347" s="79"/>
      <c r="M347" s="86"/>
      <c r="U347" s="87"/>
      <c r="V347" s="87"/>
      <c r="W347" s="87"/>
      <c r="X347" s="87"/>
    </row>
    <row r="348" ht="15.75" customHeight="1">
      <c r="E348" s="82"/>
      <c r="G348" s="79"/>
      <c r="H348" s="79"/>
      <c r="M348" s="86"/>
      <c r="U348" s="87"/>
      <c r="V348" s="87"/>
      <c r="W348" s="87"/>
      <c r="X348" s="87"/>
    </row>
    <row r="349" ht="15.75" customHeight="1">
      <c r="E349" s="82"/>
      <c r="G349" s="79"/>
      <c r="H349" s="79"/>
      <c r="M349" s="86"/>
      <c r="U349" s="87"/>
      <c r="V349" s="87"/>
      <c r="W349" s="87"/>
      <c r="X349" s="87"/>
    </row>
    <row r="350" ht="15.75" customHeight="1">
      <c r="E350" s="82"/>
      <c r="G350" s="79"/>
      <c r="H350" s="79"/>
      <c r="M350" s="86"/>
      <c r="U350" s="87"/>
      <c r="V350" s="87"/>
      <c r="W350" s="87"/>
      <c r="X350" s="87"/>
    </row>
    <row r="351" ht="15.75" customHeight="1">
      <c r="E351" s="82"/>
      <c r="G351" s="79"/>
      <c r="H351" s="79"/>
      <c r="M351" s="86"/>
      <c r="U351" s="87"/>
      <c r="V351" s="87"/>
      <c r="W351" s="87"/>
      <c r="X351" s="87"/>
    </row>
    <row r="352" ht="15.75" customHeight="1">
      <c r="E352" s="82"/>
      <c r="G352" s="79"/>
      <c r="H352" s="79"/>
      <c r="M352" s="86"/>
      <c r="U352" s="87"/>
      <c r="V352" s="87"/>
      <c r="W352" s="87"/>
      <c r="X352" s="87"/>
    </row>
    <row r="353" ht="15.75" customHeight="1">
      <c r="E353" s="82"/>
      <c r="G353" s="79"/>
      <c r="H353" s="79"/>
      <c r="M353" s="86"/>
      <c r="U353" s="87"/>
      <c r="V353" s="87"/>
      <c r="W353" s="87"/>
      <c r="X353" s="87"/>
    </row>
    <row r="354" ht="15.75" customHeight="1">
      <c r="E354" s="82"/>
      <c r="G354" s="79"/>
      <c r="H354" s="79"/>
      <c r="M354" s="86"/>
      <c r="U354" s="87"/>
      <c r="V354" s="87"/>
      <c r="W354" s="87"/>
      <c r="X354" s="87"/>
    </row>
    <row r="355" ht="15.75" customHeight="1">
      <c r="E355" s="82"/>
      <c r="G355" s="79"/>
      <c r="H355" s="79"/>
      <c r="M355" s="86"/>
      <c r="U355" s="87"/>
      <c r="V355" s="87"/>
      <c r="W355" s="87"/>
      <c r="X355" s="87"/>
    </row>
    <row r="356" ht="15.75" customHeight="1">
      <c r="E356" s="82"/>
      <c r="G356" s="79"/>
      <c r="H356" s="79"/>
      <c r="M356" s="86"/>
      <c r="U356" s="87"/>
      <c r="V356" s="87"/>
      <c r="W356" s="87"/>
      <c r="X356" s="87"/>
    </row>
    <row r="357" ht="15.75" customHeight="1">
      <c r="E357" s="82"/>
      <c r="G357" s="79"/>
      <c r="H357" s="79"/>
      <c r="M357" s="86"/>
      <c r="U357" s="87"/>
      <c r="V357" s="87"/>
      <c r="W357" s="87"/>
      <c r="X357" s="87"/>
    </row>
    <row r="358" ht="15.75" customHeight="1">
      <c r="E358" s="82"/>
      <c r="G358" s="79"/>
      <c r="H358" s="79"/>
      <c r="M358" s="86"/>
      <c r="U358" s="87"/>
      <c r="V358" s="87"/>
      <c r="W358" s="87"/>
      <c r="X358" s="87"/>
    </row>
    <row r="359" ht="15.75" customHeight="1">
      <c r="E359" s="82"/>
      <c r="G359" s="79"/>
      <c r="H359" s="79"/>
      <c r="M359" s="86"/>
      <c r="U359" s="87"/>
      <c r="V359" s="87"/>
      <c r="W359" s="87"/>
      <c r="X359" s="87"/>
    </row>
    <row r="360" ht="15.75" customHeight="1">
      <c r="E360" s="82"/>
      <c r="G360" s="79"/>
      <c r="H360" s="79"/>
      <c r="M360" s="86"/>
      <c r="U360" s="87"/>
      <c r="V360" s="87"/>
      <c r="W360" s="87"/>
      <c r="X360" s="87"/>
    </row>
    <row r="361" ht="15.75" customHeight="1">
      <c r="E361" s="82"/>
      <c r="G361" s="79"/>
      <c r="H361" s="79"/>
      <c r="M361" s="86"/>
      <c r="U361" s="87"/>
      <c r="V361" s="87"/>
      <c r="W361" s="87"/>
      <c r="X361" s="87"/>
    </row>
    <row r="362" ht="15.75" customHeight="1">
      <c r="E362" s="82"/>
      <c r="G362" s="79"/>
      <c r="H362" s="79"/>
      <c r="M362" s="86"/>
      <c r="U362" s="87"/>
      <c r="V362" s="87"/>
      <c r="W362" s="87"/>
      <c r="X362" s="87"/>
    </row>
    <row r="363" ht="15.75" customHeight="1">
      <c r="E363" s="82"/>
      <c r="G363" s="79"/>
      <c r="H363" s="79"/>
      <c r="M363" s="86"/>
      <c r="U363" s="87"/>
      <c r="V363" s="87"/>
      <c r="W363" s="87"/>
      <c r="X363" s="87"/>
    </row>
    <row r="364" ht="15.75" customHeight="1">
      <c r="E364" s="82"/>
      <c r="G364" s="79"/>
      <c r="H364" s="79"/>
      <c r="M364" s="86"/>
      <c r="U364" s="87"/>
      <c r="V364" s="87"/>
      <c r="W364" s="87"/>
      <c r="X364" s="87"/>
    </row>
    <row r="365" ht="15.75" customHeight="1">
      <c r="E365" s="82"/>
      <c r="G365" s="79"/>
      <c r="H365" s="79"/>
      <c r="M365" s="86"/>
      <c r="U365" s="87"/>
      <c r="V365" s="87"/>
      <c r="W365" s="87"/>
      <c r="X365" s="87"/>
    </row>
    <row r="366" ht="15.75" customHeight="1">
      <c r="E366" s="82"/>
      <c r="G366" s="79"/>
      <c r="H366" s="79"/>
      <c r="M366" s="86"/>
      <c r="U366" s="87"/>
      <c r="V366" s="87"/>
      <c r="W366" s="87"/>
      <c r="X366" s="87"/>
    </row>
    <row r="367" ht="15.75" customHeight="1">
      <c r="E367" s="82"/>
      <c r="G367" s="79"/>
      <c r="H367" s="79"/>
      <c r="M367" s="86"/>
      <c r="U367" s="87"/>
      <c r="V367" s="87"/>
      <c r="W367" s="87"/>
      <c r="X367" s="87"/>
    </row>
    <row r="368" ht="15.75" customHeight="1">
      <c r="E368" s="82"/>
      <c r="G368" s="79"/>
      <c r="H368" s="79"/>
      <c r="M368" s="86"/>
      <c r="U368" s="87"/>
      <c r="V368" s="87"/>
      <c r="W368" s="87"/>
      <c r="X368" s="87"/>
    </row>
    <row r="369" ht="15.75" customHeight="1">
      <c r="E369" s="82"/>
      <c r="G369" s="79"/>
      <c r="H369" s="79"/>
      <c r="M369" s="86"/>
      <c r="U369" s="87"/>
      <c r="V369" s="87"/>
      <c r="W369" s="87"/>
      <c r="X369" s="87"/>
    </row>
    <row r="370" ht="15.75" customHeight="1">
      <c r="E370" s="82"/>
      <c r="G370" s="79"/>
      <c r="H370" s="79"/>
      <c r="M370" s="86"/>
      <c r="U370" s="87"/>
      <c r="V370" s="87"/>
      <c r="W370" s="87"/>
      <c r="X370" s="87"/>
    </row>
    <row r="371" ht="15.75" customHeight="1">
      <c r="E371" s="82"/>
      <c r="G371" s="79"/>
      <c r="H371" s="79"/>
      <c r="M371" s="86"/>
      <c r="U371" s="87"/>
      <c r="V371" s="87"/>
      <c r="W371" s="87"/>
      <c r="X371" s="87"/>
    </row>
    <row r="372" ht="15.75" customHeight="1">
      <c r="E372" s="82"/>
      <c r="G372" s="79"/>
      <c r="H372" s="79"/>
      <c r="M372" s="86"/>
      <c r="U372" s="87"/>
      <c r="V372" s="87"/>
      <c r="W372" s="87"/>
      <c r="X372" s="87"/>
    </row>
    <row r="373" ht="15.75" customHeight="1">
      <c r="E373" s="82"/>
      <c r="G373" s="79"/>
      <c r="H373" s="79"/>
      <c r="M373" s="86"/>
      <c r="U373" s="87"/>
      <c r="V373" s="87"/>
      <c r="W373" s="87"/>
      <c r="X373" s="87"/>
    </row>
    <row r="374" ht="15.75" customHeight="1">
      <c r="E374" s="82"/>
      <c r="G374" s="79"/>
      <c r="H374" s="79"/>
      <c r="M374" s="86"/>
      <c r="U374" s="87"/>
      <c r="V374" s="87"/>
      <c r="W374" s="87"/>
      <c r="X374" s="87"/>
    </row>
    <row r="375" ht="15.75" customHeight="1">
      <c r="E375" s="82"/>
      <c r="G375" s="79"/>
      <c r="H375" s="79"/>
      <c r="M375" s="86"/>
      <c r="U375" s="87"/>
      <c r="V375" s="87"/>
      <c r="W375" s="87"/>
      <c r="X375" s="87"/>
    </row>
    <row r="376" ht="15.75" customHeight="1">
      <c r="E376" s="82"/>
      <c r="G376" s="79"/>
      <c r="H376" s="79"/>
      <c r="M376" s="86"/>
      <c r="U376" s="87"/>
      <c r="V376" s="87"/>
      <c r="W376" s="87"/>
      <c r="X376" s="87"/>
    </row>
    <row r="377" ht="15.75" customHeight="1">
      <c r="E377" s="82"/>
      <c r="G377" s="79"/>
      <c r="H377" s="79"/>
      <c r="M377" s="86"/>
      <c r="U377" s="87"/>
      <c r="V377" s="87"/>
      <c r="W377" s="87"/>
      <c r="X377" s="87"/>
    </row>
    <row r="378" ht="15.75" customHeight="1">
      <c r="E378" s="82"/>
      <c r="G378" s="79"/>
      <c r="H378" s="79"/>
      <c r="M378" s="86"/>
      <c r="U378" s="87"/>
      <c r="V378" s="87"/>
      <c r="W378" s="87"/>
      <c r="X378" s="87"/>
    </row>
    <row r="379" ht="15.75" customHeight="1">
      <c r="E379" s="82"/>
      <c r="G379" s="79"/>
      <c r="H379" s="79"/>
      <c r="M379" s="86"/>
      <c r="U379" s="87"/>
      <c r="V379" s="87"/>
      <c r="W379" s="87"/>
      <c r="X379" s="87"/>
    </row>
    <row r="380" ht="15.75" customHeight="1">
      <c r="E380" s="82"/>
      <c r="G380" s="79"/>
      <c r="H380" s="79"/>
      <c r="M380" s="86"/>
      <c r="U380" s="87"/>
      <c r="V380" s="87"/>
      <c r="W380" s="87"/>
      <c r="X380" s="87"/>
    </row>
    <row r="381" ht="15.75" customHeight="1">
      <c r="E381" s="82"/>
      <c r="G381" s="79"/>
      <c r="H381" s="79"/>
      <c r="M381" s="86"/>
      <c r="U381" s="87"/>
      <c r="V381" s="87"/>
      <c r="W381" s="87"/>
      <c r="X381" s="87"/>
    </row>
    <row r="382" ht="15.75" customHeight="1">
      <c r="E382" s="82"/>
      <c r="G382" s="79"/>
      <c r="H382" s="79"/>
      <c r="M382" s="86"/>
      <c r="U382" s="87"/>
      <c r="V382" s="87"/>
      <c r="W382" s="87"/>
      <c r="X382" s="87"/>
    </row>
    <row r="383" ht="15.75" customHeight="1">
      <c r="E383" s="82"/>
      <c r="G383" s="79"/>
      <c r="H383" s="79"/>
      <c r="M383" s="86"/>
      <c r="U383" s="87"/>
      <c r="V383" s="87"/>
      <c r="W383" s="87"/>
      <c r="X383" s="87"/>
    </row>
    <row r="384" ht="15.75" customHeight="1">
      <c r="E384" s="82"/>
      <c r="G384" s="79"/>
      <c r="H384" s="79"/>
      <c r="M384" s="86"/>
      <c r="U384" s="87"/>
      <c r="V384" s="87"/>
      <c r="W384" s="87"/>
      <c r="X384" s="87"/>
    </row>
    <row r="385" ht="15.75" customHeight="1">
      <c r="E385" s="82"/>
      <c r="G385" s="79"/>
      <c r="H385" s="79"/>
      <c r="M385" s="86"/>
      <c r="U385" s="87"/>
      <c r="V385" s="87"/>
      <c r="W385" s="87"/>
      <c r="X385" s="87"/>
    </row>
    <row r="386" ht="15.75" customHeight="1">
      <c r="E386" s="82"/>
      <c r="G386" s="79"/>
      <c r="H386" s="79"/>
      <c r="M386" s="86"/>
      <c r="U386" s="87"/>
      <c r="V386" s="87"/>
      <c r="W386" s="87"/>
      <c r="X386" s="87"/>
    </row>
    <row r="387" ht="15.75" customHeight="1">
      <c r="E387" s="82"/>
      <c r="G387" s="79"/>
      <c r="H387" s="79"/>
      <c r="M387" s="86"/>
      <c r="U387" s="87"/>
      <c r="V387" s="87"/>
      <c r="W387" s="87"/>
      <c r="X387" s="87"/>
    </row>
    <row r="388" ht="15.75" customHeight="1">
      <c r="E388" s="82"/>
      <c r="G388" s="79"/>
      <c r="H388" s="79"/>
      <c r="M388" s="86"/>
      <c r="U388" s="87"/>
      <c r="V388" s="87"/>
      <c r="W388" s="87"/>
      <c r="X388" s="87"/>
    </row>
    <row r="389" ht="15.75" customHeight="1">
      <c r="E389" s="82"/>
      <c r="G389" s="79"/>
      <c r="H389" s="79"/>
      <c r="M389" s="86"/>
      <c r="U389" s="87"/>
      <c r="V389" s="87"/>
      <c r="W389" s="87"/>
      <c r="X389" s="87"/>
    </row>
    <row r="390" ht="15.75" customHeight="1">
      <c r="E390" s="82"/>
      <c r="G390" s="79"/>
      <c r="H390" s="79"/>
      <c r="M390" s="86"/>
      <c r="U390" s="87"/>
      <c r="V390" s="87"/>
      <c r="W390" s="87"/>
      <c r="X390" s="87"/>
    </row>
    <row r="391" ht="15.75" customHeight="1">
      <c r="E391" s="82"/>
      <c r="G391" s="79"/>
      <c r="H391" s="79"/>
      <c r="M391" s="86"/>
      <c r="U391" s="87"/>
      <c r="V391" s="87"/>
      <c r="W391" s="87"/>
      <c r="X391" s="87"/>
    </row>
    <row r="392" ht="15.75" customHeight="1">
      <c r="E392" s="82"/>
      <c r="G392" s="79"/>
      <c r="H392" s="79"/>
      <c r="M392" s="86"/>
      <c r="U392" s="87"/>
      <c r="V392" s="87"/>
      <c r="W392" s="87"/>
      <c r="X392" s="87"/>
    </row>
    <row r="393" ht="15.75" customHeight="1">
      <c r="E393" s="82"/>
      <c r="G393" s="79"/>
      <c r="H393" s="79"/>
      <c r="M393" s="86"/>
      <c r="U393" s="87"/>
      <c r="V393" s="87"/>
      <c r="W393" s="87"/>
      <c r="X393" s="87"/>
    </row>
    <row r="394" ht="15.75" customHeight="1">
      <c r="E394" s="82"/>
      <c r="G394" s="79"/>
      <c r="H394" s="79"/>
      <c r="M394" s="86"/>
      <c r="U394" s="87"/>
      <c r="V394" s="87"/>
      <c r="W394" s="87"/>
      <c r="X394" s="87"/>
    </row>
    <row r="395" ht="15.75" customHeight="1">
      <c r="E395" s="82"/>
      <c r="G395" s="79"/>
      <c r="H395" s="79"/>
      <c r="M395" s="86"/>
      <c r="U395" s="87"/>
      <c r="V395" s="87"/>
      <c r="W395" s="87"/>
      <c r="X395" s="87"/>
    </row>
    <row r="396" ht="15.75" customHeight="1">
      <c r="E396" s="82"/>
      <c r="G396" s="79"/>
      <c r="H396" s="79"/>
      <c r="M396" s="86"/>
      <c r="U396" s="87"/>
      <c r="V396" s="87"/>
      <c r="W396" s="87"/>
      <c r="X396" s="87"/>
    </row>
    <row r="397" ht="15.75" customHeight="1">
      <c r="E397" s="82"/>
      <c r="G397" s="79"/>
      <c r="H397" s="79"/>
      <c r="M397" s="86"/>
      <c r="U397" s="87"/>
      <c r="V397" s="87"/>
      <c r="W397" s="87"/>
      <c r="X397" s="87"/>
    </row>
    <row r="398" ht="15.75" customHeight="1">
      <c r="E398" s="82"/>
      <c r="G398" s="79"/>
      <c r="H398" s="79"/>
      <c r="M398" s="86"/>
      <c r="U398" s="87"/>
      <c r="V398" s="87"/>
      <c r="W398" s="87"/>
      <c r="X398" s="87"/>
    </row>
    <row r="399" ht="15.75" customHeight="1">
      <c r="E399" s="82"/>
      <c r="G399" s="79"/>
      <c r="H399" s="79"/>
      <c r="M399" s="86"/>
      <c r="U399" s="87"/>
      <c r="V399" s="87"/>
      <c r="W399" s="87"/>
      <c r="X399" s="87"/>
    </row>
    <row r="400" ht="15.75" customHeight="1">
      <c r="E400" s="82"/>
      <c r="G400" s="79"/>
      <c r="H400" s="79"/>
      <c r="M400" s="86"/>
      <c r="U400" s="87"/>
      <c r="V400" s="87"/>
      <c r="W400" s="87"/>
      <c r="X400" s="87"/>
    </row>
    <row r="401" ht="15.75" customHeight="1">
      <c r="E401" s="82"/>
      <c r="G401" s="79"/>
      <c r="H401" s="79"/>
      <c r="M401" s="86"/>
      <c r="U401" s="87"/>
      <c r="V401" s="87"/>
      <c r="W401" s="87"/>
      <c r="X401" s="87"/>
    </row>
    <row r="402" ht="15.75" customHeight="1">
      <c r="E402" s="82"/>
      <c r="G402" s="79"/>
      <c r="H402" s="79"/>
      <c r="M402" s="86"/>
      <c r="U402" s="87"/>
      <c r="V402" s="87"/>
      <c r="W402" s="87"/>
      <c r="X402" s="87"/>
    </row>
    <row r="403" ht="15.75" customHeight="1">
      <c r="E403" s="82"/>
      <c r="G403" s="79"/>
      <c r="H403" s="79"/>
      <c r="M403" s="86"/>
      <c r="U403" s="87"/>
      <c r="V403" s="87"/>
      <c r="W403" s="87"/>
      <c r="X403" s="87"/>
    </row>
    <row r="404" ht="15.75" customHeight="1">
      <c r="E404" s="82"/>
      <c r="G404" s="79"/>
      <c r="H404" s="79"/>
      <c r="M404" s="86"/>
      <c r="U404" s="87"/>
      <c r="V404" s="87"/>
      <c r="W404" s="87"/>
      <c r="X404" s="87"/>
    </row>
    <row r="405" ht="15.75" customHeight="1">
      <c r="E405" s="82"/>
      <c r="G405" s="79"/>
      <c r="H405" s="79"/>
      <c r="M405" s="86"/>
      <c r="U405" s="87"/>
      <c r="V405" s="87"/>
      <c r="W405" s="87"/>
      <c r="X405" s="87"/>
    </row>
    <row r="406" ht="15.75" customHeight="1">
      <c r="E406" s="82"/>
      <c r="G406" s="79"/>
      <c r="H406" s="79"/>
      <c r="M406" s="86"/>
      <c r="U406" s="87"/>
      <c r="V406" s="87"/>
      <c r="W406" s="87"/>
      <c r="X406" s="87"/>
    </row>
    <row r="407" ht="15.75" customHeight="1">
      <c r="E407" s="82"/>
      <c r="G407" s="79"/>
      <c r="H407" s="79"/>
      <c r="M407" s="86"/>
      <c r="U407" s="87"/>
      <c r="V407" s="87"/>
      <c r="W407" s="87"/>
      <c r="X407" s="87"/>
    </row>
    <row r="408" ht="15.75" customHeight="1">
      <c r="E408" s="82"/>
      <c r="G408" s="79"/>
      <c r="H408" s="79"/>
      <c r="M408" s="86"/>
      <c r="U408" s="87"/>
      <c r="V408" s="87"/>
      <c r="W408" s="87"/>
      <c r="X408" s="87"/>
    </row>
    <row r="409" ht="15.75" customHeight="1">
      <c r="E409" s="82"/>
      <c r="G409" s="79"/>
      <c r="H409" s="79"/>
      <c r="M409" s="86"/>
      <c r="U409" s="87"/>
      <c r="V409" s="87"/>
      <c r="W409" s="87"/>
      <c r="X409" s="87"/>
    </row>
    <row r="410" ht="15.75" customHeight="1">
      <c r="E410" s="82"/>
      <c r="G410" s="79"/>
      <c r="H410" s="79"/>
      <c r="M410" s="86"/>
      <c r="U410" s="87"/>
      <c r="V410" s="87"/>
      <c r="W410" s="87"/>
      <c r="X410" s="87"/>
    </row>
    <row r="411" ht="15.75" customHeight="1">
      <c r="E411" s="82"/>
      <c r="G411" s="79"/>
      <c r="H411" s="79"/>
      <c r="M411" s="86"/>
      <c r="U411" s="87"/>
      <c r="V411" s="87"/>
      <c r="W411" s="87"/>
      <c r="X411" s="87"/>
    </row>
    <row r="412" ht="15.75" customHeight="1">
      <c r="E412" s="82"/>
      <c r="G412" s="79"/>
      <c r="H412" s="79"/>
      <c r="M412" s="86"/>
      <c r="U412" s="87"/>
      <c r="V412" s="87"/>
      <c r="W412" s="87"/>
      <c r="X412" s="87"/>
    </row>
    <row r="413" ht="15.75" customHeight="1">
      <c r="E413" s="82"/>
      <c r="G413" s="79"/>
      <c r="H413" s="79"/>
      <c r="M413" s="86"/>
      <c r="U413" s="87"/>
      <c r="V413" s="87"/>
      <c r="W413" s="87"/>
      <c r="X413" s="87"/>
    </row>
    <row r="414" ht="15.75" customHeight="1">
      <c r="E414" s="82"/>
      <c r="G414" s="79"/>
      <c r="H414" s="79"/>
      <c r="M414" s="86"/>
      <c r="U414" s="87"/>
      <c r="V414" s="87"/>
      <c r="W414" s="87"/>
      <c r="X414" s="87"/>
    </row>
    <row r="415" ht="15.75" customHeight="1">
      <c r="E415" s="82"/>
      <c r="G415" s="79"/>
      <c r="H415" s="79"/>
      <c r="M415" s="86"/>
      <c r="U415" s="87"/>
      <c r="V415" s="87"/>
      <c r="W415" s="87"/>
      <c r="X415" s="87"/>
    </row>
    <row r="416" ht="15.75" customHeight="1">
      <c r="E416" s="82"/>
      <c r="G416" s="79"/>
      <c r="H416" s="79"/>
      <c r="M416" s="86"/>
      <c r="U416" s="87"/>
      <c r="V416" s="87"/>
      <c r="W416" s="87"/>
      <c r="X416" s="87"/>
    </row>
    <row r="417" ht="15.75" customHeight="1">
      <c r="E417" s="82"/>
      <c r="G417" s="79"/>
      <c r="H417" s="79"/>
      <c r="M417" s="86"/>
      <c r="U417" s="87"/>
      <c r="V417" s="87"/>
      <c r="W417" s="87"/>
      <c r="X417" s="87"/>
    </row>
    <row r="418" ht="15.75" customHeight="1">
      <c r="E418" s="82"/>
      <c r="G418" s="79"/>
      <c r="H418" s="79"/>
      <c r="M418" s="86"/>
      <c r="U418" s="87"/>
      <c r="V418" s="87"/>
      <c r="W418" s="87"/>
      <c r="X418" s="87"/>
    </row>
    <row r="419" ht="15.75" customHeight="1">
      <c r="E419" s="82"/>
      <c r="G419" s="79"/>
      <c r="H419" s="79"/>
      <c r="M419" s="86"/>
      <c r="U419" s="87"/>
      <c r="V419" s="87"/>
      <c r="W419" s="87"/>
      <c r="X419" s="87"/>
    </row>
    <row r="420" ht="15.75" customHeight="1">
      <c r="E420" s="82"/>
      <c r="G420" s="79"/>
      <c r="H420" s="79"/>
      <c r="M420" s="86"/>
      <c r="U420" s="87"/>
      <c r="V420" s="87"/>
      <c r="W420" s="87"/>
      <c r="X420" s="87"/>
    </row>
    <row r="421" ht="15.75" customHeight="1">
      <c r="E421" s="82"/>
      <c r="G421" s="79"/>
      <c r="H421" s="79"/>
      <c r="M421" s="86"/>
      <c r="U421" s="87"/>
      <c r="V421" s="87"/>
      <c r="W421" s="87"/>
      <c r="X421" s="87"/>
    </row>
    <row r="422" ht="15.75" customHeight="1">
      <c r="E422" s="82"/>
      <c r="G422" s="79"/>
      <c r="H422" s="79"/>
      <c r="M422" s="86"/>
      <c r="U422" s="87"/>
      <c r="V422" s="87"/>
      <c r="W422" s="87"/>
      <c r="X422" s="87"/>
    </row>
    <row r="423" ht="15.75" customHeight="1">
      <c r="E423" s="82"/>
      <c r="G423" s="79"/>
      <c r="H423" s="79"/>
      <c r="M423" s="86"/>
      <c r="U423" s="87"/>
      <c r="V423" s="87"/>
      <c r="W423" s="87"/>
      <c r="X423" s="87"/>
    </row>
    <row r="424" ht="15.75" customHeight="1">
      <c r="E424" s="82"/>
      <c r="G424" s="79"/>
      <c r="H424" s="79"/>
      <c r="M424" s="86"/>
      <c r="U424" s="87"/>
      <c r="V424" s="87"/>
      <c r="W424" s="87"/>
      <c r="X424" s="87"/>
    </row>
    <row r="425" ht="15.75" customHeight="1">
      <c r="E425" s="82"/>
      <c r="G425" s="79"/>
      <c r="H425" s="79"/>
      <c r="M425" s="86"/>
      <c r="U425" s="87"/>
      <c r="V425" s="87"/>
      <c r="W425" s="87"/>
      <c r="X425" s="87"/>
    </row>
    <row r="426" ht="15.75" customHeight="1">
      <c r="E426" s="82"/>
      <c r="G426" s="79"/>
      <c r="H426" s="79"/>
      <c r="M426" s="86"/>
      <c r="U426" s="87"/>
      <c r="V426" s="87"/>
      <c r="W426" s="87"/>
      <c r="X426" s="87"/>
    </row>
    <row r="427" ht="15.75" customHeight="1">
      <c r="E427" s="82"/>
      <c r="G427" s="79"/>
      <c r="H427" s="79"/>
      <c r="M427" s="86"/>
      <c r="U427" s="87"/>
      <c r="V427" s="87"/>
      <c r="W427" s="87"/>
      <c r="X427" s="87"/>
    </row>
    <row r="428" ht="15.75" customHeight="1">
      <c r="E428" s="82"/>
      <c r="G428" s="79"/>
      <c r="H428" s="79"/>
      <c r="M428" s="86"/>
      <c r="U428" s="87"/>
      <c r="V428" s="87"/>
      <c r="W428" s="87"/>
      <c r="X428" s="87"/>
    </row>
    <row r="429" ht="15.75" customHeight="1">
      <c r="E429" s="82"/>
      <c r="G429" s="79"/>
      <c r="H429" s="79"/>
      <c r="M429" s="86"/>
      <c r="U429" s="87"/>
      <c r="V429" s="87"/>
      <c r="W429" s="87"/>
      <c r="X429" s="87"/>
    </row>
    <row r="430" ht="15.75" customHeight="1">
      <c r="E430" s="82"/>
      <c r="G430" s="79"/>
      <c r="H430" s="79"/>
      <c r="M430" s="86"/>
      <c r="U430" s="87"/>
      <c r="V430" s="87"/>
      <c r="W430" s="87"/>
      <c r="X430" s="87"/>
    </row>
    <row r="431" ht="15.75" customHeight="1">
      <c r="E431" s="82"/>
      <c r="G431" s="79"/>
      <c r="H431" s="79"/>
      <c r="M431" s="86"/>
      <c r="U431" s="87"/>
      <c r="V431" s="87"/>
      <c r="W431" s="87"/>
      <c r="X431" s="87"/>
    </row>
    <row r="432" ht="15.75" customHeight="1">
      <c r="E432" s="82"/>
      <c r="G432" s="79"/>
      <c r="H432" s="79"/>
      <c r="M432" s="86"/>
      <c r="U432" s="87"/>
      <c r="V432" s="87"/>
      <c r="W432" s="87"/>
      <c r="X432" s="87"/>
    </row>
    <row r="433" ht="15.75" customHeight="1">
      <c r="E433" s="82"/>
      <c r="G433" s="79"/>
      <c r="H433" s="79"/>
      <c r="M433" s="86"/>
      <c r="U433" s="87"/>
      <c r="V433" s="87"/>
      <c r="W433" s="87"/>
      <c r="X433" s="87"/>
    </row>
    <row r="434" ht="15.75" customHeight="1">
      <c r="E434" s="82"/>
      <c r="G434" s="79"/>
      <c r="H434" s="79"/>
      <c r="M434" s="86"/>
      <c r="U434" s="87"/>
      <c r="V434" s="87"/>
      <c r="W434" s="87"/>
      <c r="X434" s="87"/>
    </row>
    <row r="435" ht="15.75" customHeight="1">
      <c r="E435" s="82"/>
      <c r="G435" s="79"/>
      <c r="H435" s="79"/>
      <c r="M435" s="86"/>
      <c r="U435" s="87"/>
      <c r="V435" s="87"/>
      <c r="W435" s="87"/>
      <c r="X435" s="87"/>
    </row>
    <row r="436" ht="15.75" customHeight="1">
      <c r="E436" s="82"/>
      <c r="G436" s="79"/>
      <c r="H436" s="79"/>
      <c r="M436" s="86"/>
      <c r="U436" s="87"/>
      <c r="V436" s="87"/>
      <c r="W436" s="87"/>
      <c r="X436" s="87"/>
    </row>
    <row r="437" ht="15.75" customHeight="1">
      <c r="E437" s="82"/>
      <c r="G437" s="79"/>
      <c r="H437" s="79"/>
      <c r="M437" s="86"/>
      <c r="U437" s="87"/>
      <c r="V437" s="87"/>
      <c r="W437" s="87"/>
      <c r="X437" s="87"/>
    </row>
    <row r="438" ht="15.75" customHeight="1">
      <c r="E438" s="82"/>
      <c r="G438" s="79"/>
      <c r="H438" s="79"/>
      <c r="M438" s="86"/>
      <c r="U438" s="87"/>
      <c r="V438" s="87"/>
      <c r="W438" s="87"/>
      <c r="X438" s="87"/>
    </row>
    <row r="439" ht="15.75" customHeight="1">
      <c r="E439" s="82"/>
      <c r="G439" s="79"/>
      <c r="H439" s="79"/>
      <c r="M439" s="86"/>
      <c r="U439" s="87"/>
      <c r="V439" s="87"/>
      <c r="W439" s="87"/>
      <c r="X439" s="87"/>
    </row>
    <row r="440" ht="15.75" customHeight="1">
      <c r="E440" s="82"/>
      <c r="G440" s="79"/>
      <c r="H440" s="79"/>
      <c r="M440" s="86"/>
      <c r="U440" s="87"/>
      <c r="V440" s="87"/>
      <c r="W440" s="87"/>
      <c r="X440" s="87"/>
    </row>
    <row r="441" ht="15.75" customHeight="1">
      <c r="E441" s="82"/>
      <c r="G441" s="79"/>
      <c r="H441" s="79"/>
      <c r="M441" s="86"/>
      <c r="U441" s="87"/>
      <c r="V441" s="87"/>
      <c r="W441" s="87"/>
      <c r="X441" s="87"/>
    </row>
    <row r="442" ht="15.75" customHeight="1">
      <c r="E442" s="82"/>
      <c r="G442" s="79"/>
      <c r="H442" s="79"/>
      <c r="M442" s="86"/>
      <c r="U442" s="87"/>
      <c r="V442" s="87"/>
      <c r="W442" s="87"/>
      <c r="X442" s="87"/>
    </row>
    <row r="443" ht="15.75" customHeight="1">
      <c r="E443" s="82"/>
      <c r="G443" s="79"/>
      <c r="H443" s="79"/>
      <c r="M443" s="86"/>
      <c r="U443" s="87"/>
      <c r="V443" s="87"/>
      <c r="W443" s="87"/>
      <c r="X443" s="87"/>
    </row>
    <row r="444" ht="15.75" customHeight="1">
      <c r="E444" s="82"/>
      <c r="G444" s="79"/>
      <c r="H444" s="79"/>
      <c r="M444" s="86"/>
      <c r="U444" s="87"/>
      <c r="V444" s="87"/>
      <c r="W444" s="87"/>
      <c r="X444" s="87"/>
    </row>
    <row r="445" ht="15.75" customHeight="1">
      <c r="E445" s="82"/>
      <c r="G445" s="79"/>
      <c r="H445" s="79"/>
      <c r="M445" s="86"/>
      <c r="U445" s="87"/>
      <c r="V445" s="87"/>
      <c r="W445" s="87"/>
      <c r="X445" s="87"/>
    </row>
    <row r="446" ht="15.75" customHeight="1">
      <c r="E446" s="82"/>
      <c r="G446" s="79"/>
      <c r="H446" s="79"/>
      <c r="M446" s="86"/>
      <c r="U446" s="87"/>
      <c r="V446" s="87"/>
      <c r="W446" s="87"/>
      <c r="X446" s="87"/>
    </row>
    <row r="447" ht="15.75" customHeight="1">
      <c r="E447" s="82"/>
      <c r="G447" s="79"/>
      <c r="H447" s="79"/>
      <c r="M447" s="86"/>
      <c r="U447" s="87"/>
      <c r="V447" s="87"/>
      <c r="W447" s="87"/>
      <c r="X447" s="87"/>
    </row>
    <row r="448" ht="15.75" customHeight="1">
      <c r="E448" s="82"/>
      <c r="G448" s="79"/>
      <c r="H448" s="79"/>
      <c r="M448" s="86"/>
      <c r="U448" s="87"/>
      <c r="V448" s="87"/>
      <c r="W448" s="87"/>
      <c r="X448" s="87"/>
    </row>
    <row r="449" ht="15.75" customHeight="1">
      <c r="E449" s="82"/>
      <c r="G449" s="79"/>
      <c r="H449" s="79"/>
      <c r="M449" s="86"/>
      <c r="U449" s="87"/>
      <c r="V449" s="87"/>
      <c r="W449" s="87"/>
      <c r="X449" s="87"/>
    </row>
    <row r="450" ht="15.75" customHeight="1">
      <c r="E450" s="82"/>
      <c r="G450" s="79"/>
      <c r="H450" s="79"/>
      <c r="M450" s="86"/>
      <c r="U450" s="87"/>
      <c r="V450" s="87"/>
      <c r="W450" s="87"/>
      <c r="X450" s="87"/>
    </row>
    <row r="451" ht="15.75" customHeight="1">
      <c r="E451" s="82"/>
      <c r="G451" s="79"/>
      <c r="H451" s="79"/>
      <c r="M451" s="86"/>
      <c r="U451" s="87"/>
      <c r="V451" s="87"/>
      <c r="W451" s="87"/>
      <c r="X451" s="87"/>
    </row>
    <row r="452" ht="15.75" customHeight="1">
      <c r="E452" s="82"/>
      <c r="G452" s="79"/>
      <c r="H452" s="79"/>
      <c r="M452" s="86"/>
      <c r="U452" s="87"/>
      <c r="V452" s="87"/>
      <c r="W452" s="87"/>
      <c r="X452" s="87"/>
    </row>
    <row r="453" ht="15.75" customHeight="1">
      <c r="E453" s="82"/>
      <c r="G453" s="79"/>
      <c r="H453" s="79"/>
      <c r="M453" s="86"/>
      <c r="U453" s="87"/>
      <c r="V453" s="87"/>
      <c r="W453" s="87"/>
      <c r="X453" s="87"/>
    </row>
    <row r="454" ht="15.75" customHeight="1">
      <c r="E454" s="82"/>
      <c r="G454" s="79"/>
      <c r="H454" s="79"/>
      <c r="M454" s="86"/>
      <c r="U454" s="87"/>
      <c r="V454" s="87"/>
      <c r="W454" s="87"/>
      <c r="X454" s="87"/>
    </row>
    <row r="455" ht="15.75" customHeight="1">
      <c r="E455" s="82"/>
      <c r="G455" s="79"/>
      <c r="H455" s="79"/>
      <c r="M455" s="86"/>
      <c r="U455" s="87"/>
      <c r="V455" s="87"/>
      <c r="W455" s="87"/>
      <c r="X455" s="87"/>
    </row>
    <row r="456" ht="15.75" customHeight="1">
      <c r="E456" s="82"/>
      <c r="G456" s="79"/>
      <c r="H456" s="79"/>
      <c r="M456" s="86"/>
      <c r="U456" s="87"/>
      <c r="V456" s="87"/>
      <c r="W456" s="87"/>
      <c r="X456" s="87"/>
    </row>
    <row r="457" ht="15.75" customHeight="1">
      <c r="E457" s="82"/>
      <c r="G457" s="79"/>
      <c r="H457" s="79"/>
      <c r="M457" s="86"/>
      <c r="U457" s="87"/>
      <c r="V457" s="87"/>
      <c r="W457" s="87"/>
      <c r="X457" s="87"/>
    </row>
    <row r="458" ht="15.75" customHeight="1">
      <c r="E458" s="82"/>
      <c r="G458" s="79"/>
      <c r="H458" s="79"/>
      <c r="M458" s="86"/>
      <c r="U458" s="87"/>
      <c r="V458" s="87"/>
      <c r="W458" s="87"/>
      <c r="X458" s="87"/>
    </row>
    <row r="459" ht="15.75" customHeight="1">
      <c r="E459" s="82"/>
      <c r="G459" s="79"/>
      <c r="H459" s="79"/>
      <c r="M459" s="86"/>
      <c r="U459" s="87"/>
      <c r="V459" s="87"/>
      <c r="W459" s="87"/>
      <c r="X459" s="87"/>
    </row>
    <row r="460" ht="15.75" customHeight="1">
      <c r="E460" s="82"/>
      <c r="G460" s="79"/>
      <c r="H460" s="79"/>
      <c r="M460" s="86"/>
      <c r="U460" s="87"/>
      <c r="V460" s="87"/>
      <c r="W460" s="87"/>
      <c r="X460" s="87"/>
    </row>
    <row r="461" ht="15.75" customHeight="1">
      <c r="E461" s="82"/>
      <c r="G461" s="79"/>
      <c r="H461" s="79"/>
      <c r="M461" s="86"/>
      <c r="U461" s="87"/>
      <c r="V461" s="87"/>
      <c r="W461" s="87"/>
      <c r="X461" s="87"/>
    </row>
    <row r="462" ht="15.75" customHeight="1">
      <c r="E462" s="82"/>
      <c r="G462" s="79"/>
      <c r="H462" s="79"/>
      <c r="M462" s="86"/>
      <c r="U462" s="87"/>
      <c r="V462" s="87"/>
      <c r="W462" s="87"/>
      <c r="X462" s="87"/>
    </row>
    <row r="463" ht="15.75" customHeight="1">
      <c r="E463" s="82"/>
      <c r="G463" s="79"/>
      <c r="H463" s="79"/>
      <c r="M463" s="86"/>
      <c r="U463" s="87"/>
      <c r="V463" s="87"/>
      <c r="W463" s="87"/>
      <c r="X463" s="87"/>
    </row>
    <row r="464" ht="15.75" customHeight="1">
      <c r="E464" s="82"/>
      <c r="G464" s="79"/>
      <c r="H464" s="79"/>
      <c r="M464" s="86"/>
      <c r="U464" s="87"/>
      <c r="V464" s="87"/>
      <c r="W464" s="87"/>
      <c r="X464" s="87"/>
    </row>
    <row r="465" ht="15.75" customHeight="1">
      <c r="E465" s="82"/>
      <c r="G465" s="79"/>
      <c r="H465" s="79"/>
      <c r="M465" s="86"/>
      <c r="U465" s="87"/>
      <c r="V465" s="87"/>
      <c r="W465" s="87"/>
      <c r="X465" s="87"/>
    </row>
    <row r="466" ht="15.75" customHeight="1">
      <c r="E466" s="82"/>
      <c r="G466" s="79"/>
      <c r="H466" s="79"/>
      <c r="M466" s="86"/>
      <c r="U466" s="87"/>
      <c r="V466" s="87"/>
      <c r="W466" s="87"/>
      <c r="X466" s="87"/>
    </row>
    <row r="467" ht="15.75" customHeight="1">
      <c r="E467" s="82"/>
      <c r="G467" s="79"/>
      <c r="H467" s="79"/>
      <c r="M467" s="86"/>
      <c r="U467" s="87"/>
      <c r="V467" s="87"/>
      <c r="W467" s="87"/>
      <c r="X467" s="87"/>
    </row>
    <row r="468" ht="15.75" customHeight="1">
      <c r="E468" s="82"/>
      <c r="G468" s="79"/>
      <c r="H468" s="79"/>
      <c r="M468" s="86"/>
      <c r="U468" s="87"/>
      <c r="V468" s="87"/>
      <c r="W468" s="87"/>
      <c r="X468" s="87"/>
    </row>
    <row r="469" ht="15.75" customHeight="1">
      <c r="E469" s="82"/>
      <c r="G469" s="79"/>
      <c r="H469" s="79"/>
      <c r="M469" s="86"/>
      <c r="U469" s="87"/>
      <c r="V469" s="87"/>
      <c r="W469" s="87"/>
      <c r="X469" s="87"/>
    </row>
    <row r="470" ht="15.75" customHeight="1">
      <c r="E470" s="82"/>
      <c r="G470" s="79"/>
      <c r="H470" s="79"/>
      <c r="M470" s="86"/>
      <c r="U470" s="87"/>
      <c r="V470" s="87"/>
      <c r="W470" s="87"/>
      <c r="X470" s="87"/>
    </row>
    <row r="471" ht="15.75" customHeight="1">
      <c r="E471" s="82"/>
      <c r="G471" s="79"/>
      <c r="H471" s="79"/>
      <c r="M471" s="86"/>
      <c r="U471" s="87"/>
      <c r="V471" s="87"/>
      <c r="W471" s="87"/>
      <c r="X471" s="87"/>
    </row>
    <row r="472" ht="15.75" customHeight="1">
      <c r="E472" s="82"/>
      <c r="G472" s="79"/>
      <c r="H472" s="79"/>
      <c r="M472" s="86"/>
      <c r="U472" s="87"/>
      <c r="V472" s="87"/>
      <c r="W472" s="87"/>
      <c r="X472" s="87"/>
    </row>
    <row r="473" ht="15.75" customHeight="1">
      <c r="E473" s="82"/>
      <c r="G473" s="79"/>
      <c r="H473" s="79"/>
      <c r="M473" s="86"/>
      <c r="U473" s="87"/>
      <c r="V473" s="87"/>
      <c r="W473" s="87"/>
      <c r="X473" s="87"/>
    </row>
    <row r="474" ht="15.75" customHeight="1">
      <c r="E474" s="82"/>
      <c r="G474" s="79"/>
      <c r="H474" s="79"/>
      <c r="M474" s="86"/>
      <c r="U474" s="87"/>
      <c r="V474" s="87"/>
      <c r="W474" s="87"/>
      <c r="X474" s="87"/>
    </row>
    <row r="475" ht="15.75" customHeight="1">
      <c r="E475" s="82"/>
      <c r="G475" s="79"/>
      <c r="H475" s="79"/>
      <c r="M475" s="86"/>
      <c r="U475" s="87"/>
      <c r="V475" s="87"/>
      <c r="W475" s="87"/>
      <c r="X475" s="87"/>
    </row>
    <row r="476" ht="15.75" customHeight="1">
      <c r="E476" s="82"/>
      <c r="G476" s="79"/>
      <c r="H476" s="79"/>
      <c r="M476" s="86"/>
      <c r="U476" s="87"/>
      <c r="V476" s="87"/>
      <c r="W476" s="87"/>
      <c r="X476" s="87"/>
    </row>
    <row r="477" ht="15.75" customHeight="1">
      <c r="E477" s="82"/>
      <c r="G477" s="79"/>
      <c r="H477" s="79"/>
      <c r="M477" s="86"/>
      <c r="U477" s="87"/>
      <c r="V477" s="87"/>
      <c r="W477" s="87"/>
      <c r="X477" s="87"/>
    </row>
    <row r="478" ht="15.75" customHeight="1">
      <c r="E478" s="82"/>
      <c r="G478" s="79"/>
      <c r="H478" s="79"/>
      <c r="M478" s="86"/>
      <c r="U478" s="87"/>
      <c r="V478" s="87"/>
      <c r="W478" s="87"/>
      <c r="X478" s="87"/>
    </row>
    <row r="479" ht="15.75" customHeight="1">
      <c r="E479" s="82"/>
      <c r="G479" s="79"/>
      <c r="H479" s="79"/>
      <c r="M479" s="86"/>
      <c r="U479" s="87"/>
      <c r="V479" s="87"/>
      <c r="W479" s="87"/>
      <c r="X479" s="87"/>
    </row>
    <row r="480" ht="15.75" customHeight="1">
      <c r="E480" s="82"/>
      <c r="G480" s="79"/>
      <c r="H480" s="79"/>
      <c r="M480" s="86"/>
      <c r="U480" s="87"/>
      <c r="V480" s="87"/>
      <c r="W480" s="87"/>
      <c r="X480" s="87"/>
    </row>
    <row r="481" ht="15.75" customHeight="1">
      <c r="E481" s="82"/>
      <c r="G481" s="79"/>
      <c r="H481" s="79"/>
      <c r="M481" s="86"/>
      <c r="U481" s="87"/>
      <c r="V481" s="87"/>
      <c r="W481" s="87"/>
      <c r="X481" s="87"/>
    </row>
    <row r="482" ht="15.75" customHeight="1">
      <c r="E482" s="82"/>
      <c r="G482" s="79"/>
      <c r="H482" s="79"/>
      <c r="M482" s="86"/>
      <c r="U482" s="87"/>
      <c r="V482" s="87"/>
      <c r="W482" s="87"/>
      <c r="X482" s="87"/>
    </row>
    <row r="483" ht="15.75" customHeight="1">
      <c r="E483" s="82"/>
      <c r="G483" s="79"/>
      <c r="H483" s="79"/>
      <c r="M483" s="86"/>
      <c r="U483" s="87"/>
      <c r="V483" s="87"/>
      <c r="W483" s="87"/>
      <c r="X483" s="87"/>
    </row>
    <row r="484" ht="15.75" customHeight="1">
      <c r="E484" s="82"/>
      <c r="G484" s="79"/>
      <c r="H484" s="79"/>
      <c r="M484" s="86"/>
      <c r="U484" s="87"/>
      <c r="V484" s="87"/>
      <c r="W484" s="87"/>
      <c r="X484" s="87"/>
    </row>
    <row r="485" ht="15.75" customHeight="1">
      <c r="E485" s="82"/>
      <c r="G485" s="79"/>
      <c r="H485" s="79"/>
      <c r="M485" s="86"/>
      <c r="U485" s="87"/>
      <c r="V485" s="87"/>
      <c r="W485" s="87"/>
      <c r="X485" s="87"/>
    </row>
    <row r="486" ht="15.75" customHeight="1">
      <c r="E486" s="82"/>
      <c r="G486" s="79"/>
      <c r="H486" s="79"/>
      <c r="M486" s="86"/>
      <c r="U486" s="87"/>
      <c r="V486" s="87"/>
      <c r="W486" s="87"/>
      <c r="X486" s="87"/>
    </row>
    <row r="487" ht="15.75" customHeight="1">
      <c r="E487" s="82"/>
      <c r="G487" s="79"/>
      <c r="H487" s="79"/>
      <c r="M487" s="86"/>
      <c r="U487" s="87"/>
      <c r="V487" s="87"/>
      <c r="W487" s="87"/>
      <c r="X487" s="87"/>
    </row>
    <row r="488" ht="15.75" customHeight="1">
      <c r="E488" s="82"/>
      <c r="G488" s="79"/>
      <c r="H488" s="79"/>
      <c r="M488" s="86"/>
      <c r="U488" s="87"/>
      <c r="V488" s="87"/>
      <c r="W488" s="87"/>
      <c r="X488" s="87"/>
    </row>
    <row r="489" ht="15.75" customHeight="1">
      <c r="E489" s="82"/>
      <c r="G489" s="79"/>
      <c r="H489" s="79"/>
      <c r="M489" s="86"/>
      <c r="U489" s="87"/>
      <c r="V489" s="87"/>
      <c r="W489" s="87"/>
      <c r="X489" s="87"/>
    </row>
    <row r="490" ht="15.75" customHeight="1">
      <c r="E490" s="82"/>
      <c r="G490" s="79"/>
      <c r="H490" s="79"/>
      <c r="M490" s="86"/>
      <c r="U490" s="87"/>
      <c r="V490" s="87"/>
      <c r="W490" s="87"/>
      <c r="X490" s="87"/>
    </row>
    <row r="491" ht="15.75" customHeight="1">
      <c r="E491" s="82"/>
      <c r="G491" s="79"/>
      <c r="H491" s="79"/>
      <c r="M491" s="86"/>
      <c r="U491" s="87"/>
      <c r="V491" s="87"/>
      <c r="W491" s="87"/>
      <c r="X491" s="87"/>
    </row>
    <row r="492" ht="15.75" customHeight="1">
      <c r="E492" s="82"/>
      <c r="G492" s="79"/>
      <c r="H492" s="79"/>
      <c r="M492" s="86"/>
      <c r="U492" s="87"/>
      <c r="V492" s="87"/>
      <c r="W492" s="87"/>
      <c r="X492" s="87"/>
    </row>
    <row r="493" ht="15.75" customHeight="1">
      <c r="E493" s="82"/>
      <c r="G493" s="79"/>
      <c r="H493" s="79"/>
      <c r="M493" s="86"/>
      <c r="U493" s="87"/>
      <c r="V493" s="87"/>
      <c r="W493" s="87"/>
      <c r="X493" s="87"/>
    </row>
    <row r="494" ht="15.75" customHeight="1">
      <c r="E494" s="82"/>
      <c r="G494" s="79"/>
      <c r="H494" s="79"/>
      <c r="M494" s="86"/>
      <c r="U494" s="87"/>
      <c r="V494" s="87"/>
      <c r="W494" s="87"/>
      <c r="X494" s="87"/>
    </row>
    <row r="495" ht="15.75" customHeight="1">
      <c r="E495" s="82"/>
      <c r="G495" s="79"/>
      <c r="H495" s="79"/>
      <c r="M495" s="86"/>
      <c r="U495" s="87"/>
      <c r="V495" s="87"/>
      <c r="W495" s="87"/>
      <c r="X495" s="87"/>
    </row>
    <row r="496" ht="15.75" customHeight="1">
      <c r="E496" s="82"/>
      <c r="G496" s="79"/>
      <c r="H496" s="79"/>
      <c r="M496" s="86"/>
      <c r="U496" s="87"/>
      <c r="V496" s="87"/>
      <c r="W496" s="87"/>
      <c r="X496" s="87"/>
    </row>
    <row r="497" ht="15.75" customHeight="1">
      <c r="E497" s="82"/>
      <c r="G497" s="79"/>
      <c r="H497" s="79"/>
      <c r="M497" s="86"/>
      <c r="U497" s="87"/>
      <c r="V497" s="87"/>
      <c r="W497" s="87"/>
      <c r="X497" s="87"/>
    </row>
    <row r="498" ht="15.75" customHeight="1">
      <c r="E498" s="82"/>
      <c r="G498" s="79"/>
      <c r="H498" s="79"/>
      <c r="M498" s="86"/>
      <c r="U498" s="87"/>
      <c r="V498" s="87"/>
      <c r="W498" s="87"/>
      <c r="X498" s="87"/>
    </row>
    <row r="499" ht="15.75" customHeight="1">
      <c r="E499" s="82"/>
      <c r="G499" s="79"/>
      <c r="H499" s="79"/>
      <c r="M499" s="86"/>
      <c r="U499" s="87"/>
      <c r="V499" s="87"/>
      <c r="W499" s="87"/>
      <c r="X499" s="87"/>
    </row>
    <row r="500" ht="15.75" customHeight="1">
      <c r="E500" s="82"/>
      <c r="G500" s="79"/>
      <c r="H500" s="79"/>
      <c r="M500" s="86"/>
      <c r="U500" s="87"/>
      <c r="V500" s="87"/>
      <c r="W500" s="87"/>
      <c r="X500" s="87"/>
    </row>
    <row r="501" ht="15.75" customHeight="1">
      <c r="E501" s="82"/>
      <c r="G501" s="79"/>
      <c r="H501" s="79"/>
      <c r="M501" s="86"/>
      <c r="U501" s="87"/>
      <c r="V501" s="87"/>
      <c r="W501" s="87"/>
      <c r="X501" s="87"/>
    </row>
    <row r="502" ht="15.75" customHeight="1">
      <c r="E502" s="82"/>
      <c r="G502" s="79"/>
      <c r="H502" s="79"/>
      <c r="M502" s="86"/>
      <c r="U502" s="87"/>
      <c r="V502" s="87"/>
      <c r="W502" s="87"/>
      <c r="X502" s="87"/>
    </row>
    <row r="503" ht="15.75" customHeight="1">
      <c r="E503" s="82"/>
      <c r="G503" s="79"/>
      <c r="H503" s="79"/>
      <c r="M503" s="86"/>
      <c r="U503" s="87"/>
      <c r="V503" s="87"/>
      <c r="W503" s="87"/>
      <c r="X503" s="87"/>
    </row>
    <row r="504" ht="15.75" customHeight="1">
      <c r="E504" s="82"/>
      <c r="G504" s="79"/>
      <c r="H504" s="79"/>
      <c r="M504" s="86"/>
      <c r="U504" s="87"/>
      <c r="V504" s="87"/>
      <c r="W504" s="87"/>
      <c r="X504" s="87"/>
    </row>
    <row r="505" ht="15.75" customHeight="1">
      <c r="E505" s="82"/>
      <c r="G505" s="79"/>
      <c r="H505" s="79"/>
      <c r="M505" s="86"/>
      <c r="U505" s="87"/>
      <c r="V505" s="87"/>
      <c r="W505" s="87"/>
      <c r="X505" s="87"/>
    </row>
    <row r="506" ht="15.75" customHeight="1">
      <c r="E506" s="82"/>
      <c r="G506" s="79"/>
      <c r="H506" s="79"/>
      <c r="M506" s="86"/>
      <c r="U506" s="87"/>
      <c r="V506" s="87"/>
      <c r="W506" s="87"/>
      <c r="X506" s="87"/>
    </row>
    <row r="507" ht="15.75" customHeight="1">
      <c r="E507" s="82"/>
      <c r="G507" s="79"/>
      <c r="H507" s="79"/>
      <c r="M507" s="86"/>
      <c r="U507" s="87"/>
      <c r="V507" s="87"/>
      <c r="W507" s="87"/>
      <c r="X507" s="87"/>
    </row>
    <row r="508" ht="15.75" customHeight="1">
      <c r="E508" s="82"/>
      <c r="G508" s="79"/>
      <c r="H508" s="79"/>
      <c r="M508" s="86"/>
      <c r="U508" s="87"/>
      <c r="V508" s="87"/>
      <c r="W508" s="87"/>
      <c r="X508" s="87"/>
    </row>
    <row r="509" ht="15.75" customHeight="1">
      <c r="E509" s="82"/>
      <c r="G509" s="79"/>
      <c r="H509" s="79"/>
      <c r="M509" s="86"/>
      <c r="U509" s="87"/>
      <c r="V509" s="87"/>
      <c r="W509" s="87"/>
      <c r="X509" s="87"/>
    </row>
    <row r="510" ht="15.75" customHeight="1">
      <c r="E510" s="82"/>
      <c r="G510" s="79"/>
      <c r="H510" s="79"/>
      <c r="M510" s="86"/>
      <c r="U510" s="87"/>
      <c r="V510" s="87"/>
      <c r="W510" s="87"/>
      <c r="X510" s="87"/>
    </row>
    <row r="511" ht="15.75" customHeight="1">
      <c r="E511" s="82"/>
      <c r="G511" s="79"/>
      <c r="H511" s="79"/>
      <c r="M511" s="86"/>
      <c r="U511" s="87"/>
      <c r="V511" s="87"/>
      <c r="W511" s="87"/>
      <c r="X511" s="87"/>
    </row>
    <row r="512" ht="15.75" customHeight="1">
      <c r="E512" s="82"/>
      <c r="G512" s="79"/>
      <c r="H512" s="79"/>
      <c r="M512" s="86"/>
      <c r="U512" s="87"/>
      <c r="V512" s="87"/>
      <c r="W512" s="87"/>
      <c r="X512" s="87"/>
    </row>
    <row r="513" ht="15.75" customHeight="1">
      <c r="E513" s="82"/>
      <c r="G513" s="79"/>
      <c r="H513" s="79"/>
      <c r="M513" s="86"/>
      <c r="U513" s="87"/>
      <c r="V513" s="87"/>
      <c r="W513" s="87"/>
      <c r="X513" s="87"/>
    </row>
    <row r="514" ht="15.75" customHeight="1">
      <c r="E514" s="82"/>
      <c r="G514" s="79"/>
      <c r="H514" s="79"/>
      <c r="M514" s="86"/>
      <c r="U514" s="87"/>
      <c r="V514" s="87"/>
      <c r="W514" s="87"/>
      <c r="X514" s="87"/>
    </row>
    <row r="515" ht="15.75" customHeight="1">
      <c r="E515" s="82"/>
      <c r="G515" s="79"/>
      <c r="H515" s="79"/>
      <c r="M515" s="86"/>
      <c r="U515" s="87"/>
      <c r="V515" s="87"/>
      <c r="W515" s="87"/>
      <c r="X515" s="87"/>
    </row>
    <row r="516" ht="15.75" customHeight="1">
      <c r="E516" s="82"/>
      <c r="G516" s="79"/>
      <c r="H516" s="79"/>
      <c r="M516" s="86"/>
      <c r="U516" s="87"/>
      <c r="V516" s="87"/>
      <c r="W516" s="87"/>
      <c r="X516" s="87"/>
    </row>
    <row r="517" ht="15.75" customHeight="1">
      <c r="E517" s="82"/>
      <c r="G517" s="79"/>
      <c r="H517" s="79"/>
      <c r="M517" s="86"/>
      <c r="U517" s="87"/>
      <c r="V517" s="87"/>
      <c r="W517" s="87"/>
      <c r="X517" s="87"/>
    </row>
    <row r="518" ht="15.75" customHeight="1">
      <c r="E518" s="82"/>
      <c r="G518" s="79"/>
      <c r="H518" s="79"/>
      <c r="M518" s="86"/>
      <c r="U518" s="87"/>
      <c r="V518" s="87"/>
      <c r="W518" s="87"/>
      <c r="X518" s="87"/>
    </row>
    <row r="519" ht="15.75" customHeight="1">
      <c r="E519" s="82"/>
      <c r="G519" s="79"/>
      <c r="H519" s="79"/>
      <c r="M519" s="86"/>
      <c r="U519" s="87"/>
      <c r="V519" s="87"/>
      <c r="W519" s="87"/>
      <c r="X519" s="87"/>
    </row>
    <row r="520" ht="15.75" customHeight="1">
      <c r="E520" s="82"/>
      <c r="G520" s="79"/>
      <c r="H520" s="79"/>
      <c r="M520" s="86"/>
      <c r="U520" s="87"/>
      <c r="V520" s="87"/>
      <c r="W520" s="87"/>
      <c r="X520" s="87"/>
    </row>
    <row r="521" ht="15.75" customHeight="1">
      <c r="E521" s="82"/>
      <c r="G521" s="79"/>
      <c r="H521" s="79"/>
      <c r="M521" s="86"/>
      <c r="U521" s="87"/>
      <c r="V521" s="87"/>
      <c r="W521" s="87"/>
      <c r="X521" s="87"/>
    </row>
    <row r="522" ht="15.75" customHeight="1">
      <c r="E522" s="82"/>
      <c r="G522" s="79"/>
      <c r="H522" s="79"/>
      <c r="M522" s="86"/>
      <c r="U522" s="87"/>
      <c r="V522" s="87"/>
      <c r="W522" s="87"/>
      <c r="X522" s="87"/>
    </row>
    <row r="523" ht="15.75" customHeight="1">
      <c r="E523" s="82"/>
      <c r="G523" s="79"/>
      <c r="H523" s="79"/>
      <c r="M523" s="86"/>
      <c r="U523" s="87"/>
      <c r="V523" s="87"/>
      <c r="W523" s="87"/>
      <c r="X523" s="87"/>
    </row>
    <row r="524" ht="15.75" customHeight="1">
      <c r="E524" s="82"/>
      <c r="G524" s="79"/>
      <c r="H524" s="79"/>
      <c r="M524" s="86"/>
      <c r="U524" s="87"/>
      <c r="V524" s="87"/>
      <c r="W524" s="87"/>
      <c r="X524" s="87"/>
    </row>
    <row r="525" ht="15.75" customHeight="1">
      <c r="E525" s="82"/>
      <c r="G525" s="79"/>
      <c r="H525" s="79"/>
      <c r="M525" s="86"/>
      <c r="U525" s="87"/>
      <c r="V525" s="87"/>
      <c r="W525" s="87"/>
      <c r="X525" s="87"/>
    </row>
    <row r="526" ht="15.75" customHeight="1">
      <c r="E526" s="82"/>
      <c r="G526" s="79"/>
      <c r="H526" s="79"/>
      <c r="M526" s="86"/>
      <c r="U526" s="87"/>
      <c r="V526" s="87"/>
      <c r="W526" s="87"/>
      <c r="X526" s="87"/>
    </row>
    <row r="527" ht="15.75" customHeight="1">
      <c r="E527" s="82"/>
      <c r="G527" s="79"/>
      <c r="H527" s="79"/>
      <c r="M527" s="86"/>
      <c r="U527" s="87"/>
      <c r="V527" s="87"/>
      <c r="W527" s="87"/>
      <c r="X527" s="87"/>
    </row>
    <row r="528" ht="15.75" customHeight="1">
      <c r="E528" s="82"/>
      <c r="G528" s="79"/>
      <c r="H528" s="79"/>
      <c r="M528" s="86"/>
      <c r="U528" s="87"/>
      <c r="V528" s="87"/>
      <c r="W528" s="87"/>
      <c r="X528" s="87"/>
    </row>
    <row r="529" ht="15.75" customHeight="1">
      <c r="E529" s="82"/>
      <c r="G529" s="79"/>
      <c r="H529" s="79"/>
      <c r="M529" s="86"/>
      <c r="U529" s="87"/>
      <c r="V529" s="87"/>
      <c r="W529" s="87"/>
      <c r="X529" s="87"/>
    </row>
    <row r="530" ht="15.75" customHeight="1">
      <c r="E530" s="82"/>
      <c r="G530" s="79"/>
      <c r="H530" s="79"/>
      <c r="M530" s="86"/>
      <c r="U530" s="87"/>
      <c r="V530" s="87"/>
      <c r="W530" s="87"/>
      <c r="X530" s="87"/>
    </row>
    <row r="531" ht="15.75" customHeight="1">
      <c r="E531" s="82"/>
      <c r="G531" s="79"/>
      <c r="H531" s="79"/>
      <c r="M531" s="86"/>
      <c r="U531" s="87"/>
      <c r="V531" s="87"/>
      <c r="W531" s="87"/>
      <c r="X531" s="87"/>
    </row>
    <row r="532" ht="15.75" customHeight="1">
      <c r="E532" s="82"/>
      <c r="G532" s="79"/>
      <c r="H532" s="79"/>
      <c r="M532" s="86"/>
      <c r="U532" s="87"/>
      <c r="V532" s="87"/>
      <c r="W532" s="87"/>
      <c r="X532" s="87"/>
    </row>
    <row r="533" ht="15.75" customHeight="1">
      <c r="E533" s="82"/>
      <c r="G533" s="79"/>
      <c r="H533" s="79"/>
      <c r="M533" s="86"/>
      <c r="U533" s="87"/>
      <c r="V533" s="87"/>
      <c r="W533" s="87"/>
      <c r="X533" s="87"/>
    </row>
    <row r="534" ht="15.75" customHeight="1">
      <c r="E534" s="82"/>
      <c r="G534" s="79"/>
      <c r="H534" s="79"/>
      <c r="M534" s="86"/>
      <c r="U534" s="87"/>
      <c r="V534" s="87"/>
      <c r="W534" s="87"/>
      <c r="X534" s="87"/>
    </row>
    <row r="535" ht="15.75" customHeight="1">
      <c r="E535" s="82"/>
      <c r="G535" s="79"/>
      <c r="H535" s="79"/>
      <c r="M535" s="86"/>
      <c r="U535" s="87"/>
      <c r="V535" s="87"/>
      <c r="W535" s="87"/>
      <c r="X535" s="87"/>
    </row>
    <row r="536" ht="15.75" customHeight="1">
      <c r="E536" s="82"/>
      <c r="G536" s="79"/>
      <c r="H536" s="79"/>
      <c r="M536" s="86"/>
      <c r="U536" s="87"/>
      <c r="V536" s="87"/>
      <c r="W536" s="87"/>
      <c r="X536" s="87"/>
    </row>
    <row r="537" ht="15.75" customHeight="1">
      <c r="E537" s="82"/>
      <c r="G537" s="79"/>
      <c r="H537" s="79"/>
      <c r="M537" s="86"/>
      <c r="U537" s="87"/>
      <c r="V537" s="87"/>
      <c r="W537" s="87"/>
      <c r="X537" s="87"/>
    </row>
    <row r="538" ht="15.75" customHeight="1">
      <c r="E538" s="82"/>
      <c r="G538" s="79"/>
      <c r="H538" s="79"/>
      <c r="M538" s="86"/>
      <c r="U538" s="87"/>
      <c r="V538" s="87"/>
      <c r="W538" s="87"/>
      <c r="X538" s="87"/>
    </row>
    <row r="539" ht="15.75" customHeight="1">
      <c r="E539" s="82"/>
      <c r="G539" s="79"/>
      <c r="H539" s="79"/>
      <c r="M539" s="86"/>
      <c r="U539" s="87"/>
      <c r="V539" s="87"/>
      <c r="W539" s="87"/>
      <c r="X539" s="87"/>
    </row>
    <row r="540" ht="15.75" customHeight="1">
      <c r="E540" s="82"/>
      <c r="G540" s="79"/>
      <c r="H540" s="79"/>
      <c r="M540" s="86"/>
      <c r="U540" s="87"/>
      <c r="V540" s="87"/>
      <c r="W540" s="87"/>
      <c r="X540" s="87"/>
    </row>
    <row r="541" ht="15.75" customHeight="1">
      <c r="E541" s="82"/>
      <c r="G541" s="79"/>
      <c r="H541" s="79"/>
      <c r="M541" s="86"/>
      <c r="U541" s="87"/>
      <c r="V541" s="87"/>
      <c r="W541" s="87"/>
      <c r="X541" s="87"/>
    </row>
    <row r="542" ht="15.75" customHeight="1">
      <c r="E542" s="82"/>
      <c r="G542" s="79"/>
      <c r="H542" s="79"/>
      <c r="M542" s="86"/>
      <c r="U542" s="87"/>
      <c r="V542" s="87"/>
      <c r="W542" s="87"/>
      <c r="X542" s="87"/>
    </row>
    <row r="543" ht="15.75" customHeight="1">
      <c r="E543" s="82"/>
      <c r="G543" s="79"/>
      <c r="H543" s="79"/>
      <c r="M543" s="86"/>
      <c r="U543" s="87"/>
      <c r="V543" s="87"/>
      <c r="W543" s="87"/>
      <c r="X543" s="87"/>
    </row>
    <row r="544" ht="15.75" customHeight="1">
      <c r="E544" s="82"/>
      <c r="G544" s="79"/>
      <c r="H544" s="79"/>
      <c r="M544" s="86"/>
      <c r="U544" s="87"/>
      <c r="V544" s="87"/>
      <c r="W544" s="87"/>
      <c r="X544" s="87"/>
    </row>
    <row r="545" ht="15.75" customHeight="1">
      <c r="E545" s="82"/>
      <c r="G545" s="79"/>
      <c r="H545" s="79"/>
      <c r="M545" s="86"/>
      <c r="U545" s="87"/>
      <c r="V545" s="87"/>
      <c r="W545" s="87"/>
      <c r="X545" s="87"/>
    </row>
    <row r="546" ht="15.75" customHeight="1">
      <c r="E546" s="82"/>
      <c r="G546" s="79"/>
      <c r="H546" s="79"/>
      <c r="M546" s="86"/>
      <c r="U546" s="87"/>
      <c r="V546" s="87"/>
      <c r="W546" s="87"/>
      <c r="X546" s="87"/>
    </row>
    <row r="547" ht="15.75" customHeight="1">
      <c r="E547" s="82"/>
      <c r="G547" s="79"/>
      <c r="H547" s="79"/>
      <c r="M547" s="86"/>
      <c r="U547" s="87"/>
      <c r="V547" s="87"/>
      <c r="W547" s="87"/>
      <c r="X547" s="87"/>
    </row>
    <row r="548" ht="15.75" customHeight="1">
      <c r="E548" s="82"/>
      <c r="G548" s="79"/>
      <c r="H548" s="79"/>
      <c r="M548" s="86"/>
      <c r="U548" s="87"/>
      <c r="V548" s="87"/>
      <c r="W548" s="87"/>
      <c r="X548" s="87"/>
    </row>
    <row r="549" ht="15.75" customHeight="1">
      <c r="E549" s="82"/>
      <c r="G549" s="79"/>
      <c r="H549" s="79"/>
      <c r="M549" s="86"/>
      <c r="U549" s="87"/>
      <c r="V549" s="87"/>
      <c r="W549" s="87"/>
      <c r="X549" s="87"/>
    </row>
    <row r="550" ht="15.75" customHeight="1">
      <c r="E550" s="82"/>
      <c r="G550" s="79"/>
      <c r="H550" s="79"/>
      <c r="M550" s="86"/>
      <c r="U550" s="87"/>
      <c r="V550" s="87"/>
      <c r="W550" s="87"/>
      <c r="X550" s="87"/>
    </row>
    <row r="551" ht="15.75" customHeight="1">
      <c r="E551" s="82"/>
      <c r="G551" s="79"/>
      <c r="H551" s="79"/>
      <c r="M551" s="86"/>
      <c r="U551" s="87"/>
      <c r="V551" s="87"/>
      <c r="W551" s="87"/>
      <c r="X551" s="87"/>
    </row>
    <row r="552" ht="15.75" customHeight="1">
      <c r="E552" s="82"/>
      <c r="G552" s="79"/>
      <c r="H552" s="79"/>
      <c r="M552" s="86"/>
      <c r="U552" s="87"/>
      <c r="V552" s="87"/>
      <c r="W552" s="87"/>
      <c r="X552" s="87"/>
    </row>
    <row r="553" ht="15.75" customHeight="1">
      <c r="E553" s="82"/>
      <c r="G553" s="79"/>
      <c r="H553" s="79"/>
      <c r="M553" s="86"/>
      <c r="U553" s="87"/>
      <c r="V553" s="87"/>
      <c r="W553" s="87"/>
      <c r="X553" s="87"/>
    </row>
    <row r="554" ht="15.75" customHeight="1">
      <c r="E554" s="82"/>
      <c r="G554" s="79"/>
      <c r="H554" s="79"/>
      <c r="M554" s="86"/>
      <c r="U554" s="87"/>
      <c r="V554" s="87"/>
      <c r="W554" s="87"/>
      <c r="X554" s="87"/>
    </row>
    <row r="555" ht="15.75" customHeight="1">
      <c r="E555" s="82"/>
      <c r="G555" s="79"/>
      <c r="H555" s="79"/>
      <c r="M555" s="86"/>
      <c r="U555" s="87"/>
      <c r="V555" s="87"/>
      <c r="W555" s="87"/>
      <c r="X555" s="87"/>
    </row>
    <row r="556" ht="15.75" customHeight="1">
      <c r="E556" s="82"/>
      <c r="G556" s="79"/>
      <c r="H556" s="79"/>
      <c r="M556" s="86"/>
      <c r="U556" s="87"/>
      <c r="V556" s="87"/>
      <c r="W556" s="87"/>
      <c r="X556" s="87"/>
    </row>
    <row r="557" ht="15.75" customHeight="1">
      <c r="E557" s="82"/>
      <c r="G557" s="79"/>
      <c r="H557" s="79"/>
      <c r="M557" s="86"/>
      <c r="U557" s="87"/>
      <c r="V557" s="87"/>
      <c r="W557" s="87"/>
      <c r="X557" s="87"/>
    </row>
    <row r="558" ht="15.75" customHeight="1">
      <c r="E558" s="82"/>
      <c r="G558" s="79"/>
      <c r="H558" s="79"/>
      <c r="M558" s="86"/>
      <c r="U558" s="87"/>
      <c r="V558" s="87"/>
      <c r="W558" s="87"/>
      <c r="X558" s="87"/>
    </row>
    <row r="559" ht="15.75" customHeight="1">
      <c r="E559" s="82"/>
      <c r="G559" s="79"/>
      <c r="H559" s="79"/>
      <c r="M559" s="86"/>
      <c r="U559" s="87"/>
      <c r="V559" s="87"/>
      <c r="W559" s="87"/>
      <c r="X559" s="87"/>
    </row>
    <row r="560" ht="15.75" customHeight="1">
      <c r="E560" s="82"/>
      <c r="G560" s="79"/>
      <c r="H560" s="79"/>
      <c r="M560" s="86"/>
      <c r="U560" s="87"/>
      <c r="V560" s="87"/>
      <c r="W560" s="87"/>
      <c r="X560" s="87"/>
    </row>
    <row r="561" ht="15.75" customHeight="1">
      <c r="E561" s="82"/>
      <c r="G561" s="79"/>
      <c r="H561" s="79"/>
      <c r="M561" s="86"/>
      <c r="U561" s="87"/>
      <c r="V561" s="87"/>
      <c r="W561" s="87"/>
      <c r="X561" s="87"/>
    </row>
    <row r="562" ht="15.75" customHeight="1">
      <c r="E562" s="82"/>
      <c r="G562" s="79"/>
      <c r="H562" s="79"/>
      <c r="M562" s="86"/>
      <c r="U562" s="87"/>
      <c r="V562" s="87"/>
      <c r="W562" s="87"/>
      <c r="X562" s="87"/>
    </row>
    <row r="563" ht="15.75" customHeight="1">
      <c r="E563" s="82"/>
      <c r="G563" s="79"/>
      <c r="H563" s="79"/>
      <c r="M563" s="86"/>
      <c r="U563" s="87"/>
      <c r="V563" s="87"/>
      <c r="W563" s="87"/>
      <c r="X563" s="87"/>
    </row>
    <row r="564" ht="15.75" customHeight="1">
      <c r="E564" s="82"/>
      <c r="G564" s="79"/>
      <c r="H564" s="79"/>
      <c r="M564" s="86"/>
      <c r="U564" s="87"/>
      <c r="V564" s="87"/>
      <c r="W564" s="87"/>
      <c r="X564" s="87"/>
    </row>
    <row r="565" ht="15.75" customHeight="1">
      <c r="E565" s="82"/>
      <c r="G565" s="79"/>
      <c r="H565" s="79"/>
      <c r="M565" s="86"/>
      <c r="U565" s="87"/>
      <c r="V565" s="87"/>
      <c r="W565" s="87"/>
      <c r="X565" s="87"/>
    </row>
    <row r="566" ht="15.75" customHeight="1">
      <c r="E566" s="82"/>
      <c r="G566" s="79"/>
      <c r="H566" s="79"/>
      <c r="M566" s="86"/>
      <c r="U566" s="87"/>
      <c r="V566" s="87"/>
      <c r="W566" s="87"/>
      <c r="X566" s="87"/>
    </row>
    <row r="567" ht="15.75" customHeight="1">
      <c r="E567" s="82"/>
      <c r="G567" s="79"/>
      <c r="H567" s="79"/>
      <c r="M567" s="86"/>
      <c r="U567" s="87"/>
      <c r="V567" s="87"/>
      <c r="W567" s="87"/>
      <c r="X567" s="87"/>
    </row>
    <row r="568" ht="15.75" customHeight="1">
      <c r="E568" s="82"/>
      <c r="G568" s="79"/>
      <c r="H568" s="79"/>
      <c r="M568" s="86"/>
      <c r="U568" s="87"/>
      <c r="V568" s="87"/>
      <c r="W568" s="87"/>
      <c r="X568" s="87"/>
    </row>
    <row r="569" ht="15.75" customHeight="1">
      <c r="E569" s="82"/>
      <c r="G569" s="79"/>
      <c r="H569" s="79"/>
      <c r="M569" s="86"/>
      <c r="U569" s="87"/>
      <c r="V569" s="87"/>
      <c r="W569" s="87"/>
      <c r="X569" s="87"/>
    </row>
    <row r="570" ht="15.75" customHeight="1">
      <c r="E570" s="82"/>
      <c r="G570" s="79"/>
      <c r="H570" s="79"/>
      <c r="M570" s="86"/>
      <c r="U570" s="87"/>
      <c r="V570" s="87"/>
      <c r="W570" s="87"/>
      <c r="X570" s="87"/>
    </row>
    <row r="571" ht="15.75" customHeight="1">
      <c r="E571" s="82"/>
      <c r="G571" s="79"/>
      <c r="H571" s="79"/>
      <c r="M571" s="86"/>
      <c r="U571" s="87"/>
      <c r="V571" s="87"/>
      <c r="W571" s="87"/>
      <c r="X571" s="87"/>
    </row>
    <row r="572" ht="15.75" customHeight="1">
      <c r="E572" s="82"/>
      <c r="G572" s="79"/>
      <c r="H572" s="79"/>
      <c r="M572" s="86"/>
      <c r="U572" s="87"/>
      <c r="V572" s="87"/>
      <c r="W572" s="87"/>
      <c r="X572" s="87"/>
    </row>
    <row r="573" ht="15.75" customHeight="1">
      <c r="E573" s="82"/>
      <c r="G573" s="79"/>
      <c r="H573" s="79"/>
      <c r="M573" s="86"/>
      <c r="U573" s="87"/>
      <c r="V573" s="87"/>
      <c r="W573" s="87"/>
      <c r="X573" s="87"/>
    </row>
    <row r="574" ht="15.75" customHeight="1">
      <c r="E574" s="82"/>
      <c r="G574" s="79"/>
      <c r="H574" s="79"/>
      <c r="M574" s="86"/>
      <c r="U574" s="87"/>
      <c r="V574" s="87"/>
      <c r="W574" s="87"/>
      <c r="X574" s="87"/>
    </row>
    <row r="575" ht="15.75" customHeight="1">
      <c r="E575" s="82"/>
      <c r="G575" s="79"/>
      <c r="H575" s="79"/>
      <c r="M575" s="86"/>
      <c r="U575" s="87"/>
      <c r="V575" s="87"/>
      <c r="W575" s="87"/>
      <c r="X575" s="87"/>
    </row>
    <row r="576" ht="15.75" customHeight="1">
      <c r="E576" s="82"/>
      <c r="G576" s="79"/>
      <c r="H576" s="79"/>
      <c r="M576" s="86"/>
      <c r="U576" s="87"/>
      <c r="V576" s="87"/>
      <c r="W576" s="87"/>
      <c r="X576" s="87"/>
    </row>
    <row r="577" ht="15.75" customHeight="1">
      <c r="E577" s="82"/>
      <c r="G577" s="79"/>
      <c r="H577" s="79"/>
      <c r="M577" s="86"/>
      <c r="U577" s="87"/>
      <c r="V577" s="87"/>
      <c r="W577" s="87"/>
      <c r="X577" s="87"/>
    </row>
    <row r="578" ht="15.75" customHeight="1">
      <c r="E578" s="82"/>
      <c r="G578" s="79"/>
      <c r="H578" s="79"/>
      <c r="M578" s="86"/>
      <c r="U578" s="87"/>
      <c r="V578" s="87"/>
      <c r="W578" s="87"/>
      <c r="X578" s="87"/>
    </row>
    <row r="579" ht="15.75" customHeight="1">
      <c r="E579" s="82"/>
      <c r="G579" s="79"/>
      <c r="H579" s="79"/>
      <c r="M579" s="86"/>
      <c r="U579" s="87"/>
      <c r="V579" s="87"/>
      <c r="W579" s="87"/>
      <c r="X579" s="87"/>
    </row>
    <row r="580" ht="15.75" customHeight="1">
      <c r="E580" s="82"/>
      <c r="G580" s="79"/>
      <c r="H580" s="79"/>
      <c r="M580" s="86"/>
      <c r="U580" s="87"/>
      <c r="V580" s="87"/>
      <c r="W580" s="87"/>
      <c r="X580" s="87"/>
    </row>
    <row r="581" ht="15.75" customHeight="1">
      <c r="E581" s="82"/>
      <c r="G581" s="79"/>
      <c r="H581" s="79"/>
      <c r="M581" s="86"/>
      <c r="U581" s="87"/>
      <c r="V581" s="87"/>
      <c r="W581" s="87"/>
      <c r="X581" s="87"/>
    </row>
    <row r="582" ht="15.75" customHeight="1">
      <c r="E582" s="82"/>
      <c r="G582" s="79"/>
      <c r="H582" s="79"/>
      <c r="M582" s="86"/>
      <c r="U582" s="87"/>
      <c r="V582" s="87"/>
      <c r="W582" s="87"/>
      <c r="X582" s="87"/>
    </row>
    <row r="583" ht="15.75" customHeight="1">
      <c r="E583" s="82"/>
      <c r="G583" s="79"/>
      <c r="H583" s="79"/>
      <c r="M583" s="86"/>
      <c r="U583" s="87"/>
      <c r="V583" s="87"/>
      <c r="W583" s="87"/>
      <c r="X583" s="87"/>
    </row>
    <row r="584" ht="15.75" customHeight="1">
      <c r="E584" s="82"/>
      <c r="G584" s="79"/>
      <c r="H584" s="79"/>
      <c r="M584" s="86"/>
      <c r="U584" s="87"/>
      <c r="V584" s="87"/>
      <c r="W584" s="87"/>
      <c r="X584" s="87"/>
    </row>
    <row r="585" ht="15.75" customHeight="1">
      <c r="E585" s="82"/>
      <c r="G585" s="79"/>
      <c r="H585" s="79"/>
      <c r="M585" s="86"/>
      <c r="U585" s="87"/>
      <c r="V585" s="87"/>
      <c r="W585" s="87"/>
      <c r="X585" s="87"/>
    </row>
    <row r="586" ht="15.75" customHeight="1">
      <c r="E586" s="82"/>
      <c r="G586" s="79"/>
      <c r="H586" s="79"/>
      <c r="M586" s="86"/>
      <c r="U586" s="87"/>
      <c r="V586" s="87"/>
      <c r="W586" s="87"/>
      <c r="X586" s="87"/>
    </row>
    <row r="587" ht="15.75" customHeight="1">
      <c r="E587" s="82"/>
      <c r="G587" s="79"/>
      <c r="H587" s="79"/>
      <c r="M587" s="86"/>
      <c r="U587" s="87"/>
      <c r="V587" s="87"/>
      <c r="W587" s="87"/>
      <c r="X587" s="87"/>
    </row>
    <row r="588" ht="15.75" customHeight="1">
      <c r="E588" s="82"/>
      <c r="G588" s="79"/>
      <c r="H588" s="79"/>
      <c r="M588" s="86"/>
      <c r="U588" s="87"/>
      <c r="V588" s="87"/>
      <c r="W588" s="87"/>
      <c r="X588" s="87"/>
    </row>
    <row r="589" ht="15.75" customHeight="1">
      <c r="E589" s="82"/>
      <c r="G589" s="79"/>
      <c r="H589" s="79"/>
      <c r="M589" s="86"/>
      <c r="U589" s="87"/>
      <c r="V589" s="87"/>
      <c r="W589" s="87"/>
      <c r="X589" s="87"/>
    </row>
    <row r="590" ht="15.75" customHeight="1">
      <c r="E590" s="82"/>
      <c r="G590" s="79"/>
      <c r="H590" s="79"/>
      <c r="M590" s="86"/>
      <c r="U590" s="87"/>
      <c r="V590" s="87"/>
      <c r="W590" s="87"/>
      <c r="X590" s="87"/>
    </row>
    <row r="591" ht="15.75" customHeight="1">
      <c r="E591" s="82"/>
      <c r="G591" s="79"/>
      <c r="H591" s="79"/>
      <c r="M591" s="86"/>
      <c r="U591" s="87"/>
      <c r="V591" s="87"/>
      <c r="W591" s="87"/>
      <c r="X591" s="87"/>
    </row>
    <row r="592" ht="15.75" customHeight="1">
      <c r="E592" s="82"/>
      <c r="G592" s="79"/>
      <c r="H592" s="79"/>
      <c r="M592" s="86"/>
      <c r="U592" s="87"/>
      <c r="V592" s="87"/>
      <c r="W592" s="87"/>
      <c r="X592" s="87"/>
    </row>
    <row r="593" ht="15.75" customHeight="1">
      <c r="E593" s="82"/>
      <c r="G593" s="79"/>
      <c r="H593" s="79"/>
      <c r="M593" s="86"/>
      <c r="U593" s="87"/>
      <c r="V593" s="87"/>
      <c r="W593" s="87"/>
      <c r="X593" s="87"/>
    </row>
    <row r="594" ht="15.75" customHeight="1">
      <c r="E594" s="82"/>
      <c r="G594" s="79"/>
      <c r="H594" s="79"/>
      <c r="M594" s="86"/>
      <c r="U594" s="87"/>
      <c r="V594" s="87"/>
      <c r="W594" s="87"/>
      <c r="X594" s="87"/>
    </row>
    <row r="595" ht="15.75" customHeight="1">
      <c r="E595" s="82"/>
      <c r="G595" s="79"/>
      <c r="H595" s="79"/>
      <c r="M595" s="86"/>
      <c r="U595" s="87"/>
      <c r="V595" s="87"/>
      <c r="W595" s="87"/>
      <c r="X595" s="87"/>
    </row>
    <row r="596" ht="15.75" customHeight="1">
      <c r="E596" s="82"/>
      <c r="G596" s="79"/>
      <c r="H596" s="79"/>
      <c r="M596" s="86"/>
      <c r="U596" s="87"/>
      <c r="V596" s="87"/>
      <c r="W596" s="87"/>
      <c r="X596" s="87"/>
    </row>
    <row r="597" ht="15.75" customHeight="1">
      <c r="E597" s="82"/>
      <c r="G597" s="79"/>
      <c r="H597" s="79"/>
      <c r="M597" s="86"/>
      <c r="U597" s="87"/>
      <c r="V597" s="87"/>
      <c r="W597" s="87"/>
      <c r="X597" s="87"/>
    </row>
    <row r="598" ht="15.75" customHeight="1">
      <c r="E598" s="82"/>
      <c r="G598" s="79"/>
      <c r="H598" s="79"/>
      <c r="M598" s="86"/>
      <c r="U598" s="87"/>
      <c r="V598" s="87"/>
      <c r="W598" s="87"/>
      <c r="X598" s="87"/>
    </row>
    <row r="599" ht="15.75" customHeight="1">
      <c r="E599" s="82"/>
      <c r="G599" s="79"/>
      <c r="H599" s="79"/>
      <c r="M599" s="86"/>
      <c r="U599" s="87"/>
      <c r="V599" s="87"/>
      <c r="W599" s="87"/>
      <c r="X599" s="87"/>
    </row>
    <row r="600" ht="15.75" customHeight="1">
      <c r="E600" s="82"/>
      <c r="G600" s="79"/>
      <c r="H600" s="79"/>
      <c r="M600" s="86"/>
      <c r="U600" s="87"/>
      <c r="V600" s="87"/>
      <c r="W600" s="87"/>
      <c r="X600" s="87"/>
    </row>
    <row r="601" ht="15.75" customHeight="1">
      <c r="E601" s="82"/>
      <c r="G601" s="79"/>
      <c r="H601" s="79"/>
      <c r="M601" s="86"/>
      <c r="U601" s="87"/>
      <c r="V601" s="87"/>
      <c r="W601" s="87"/>
      <c r="X601" s="87"/>
    </row>
    <row r="602" ht="15.75" customHeight="1">
      <c r="E602" s="82"/>
      <c r="G602" s="79"/>
      <c r="H602" s="79"/>
      <c r="M602" s="86"/>
      <c r="U602" s="87"/>
      <c r="V602" s="87"/>
      <c r="W602" s="87"/>
      <c r="X602" s="87"/>
    </row>
    <row r="603" ht="15.75" customHeight="1">
      <c r="E603" s="82"/>
      <c r="G603" s="79"/>
      <c r="H603" s="79"/>
      <c r="M603" s="86"/>
      <c r="U603" s="87"/>
      <c r="V603" s="87"/>
      <c r="W603" s="87"/>
      <c r="X603" s="87"/>
    </row>
    <row r="604" ht="15.75" customHeight="1">
      <c r="E604" s="82"/>
      <c r="G604" s="79"/>
      <c r="H604" s="79"/>
      <c r="M604" s="86"/>
      <c r="U604" s="87"/>
      <c r="V604" s="87"/>
      <c r="W604" s="87"/>
      <c r="X604" s="87"/>
    </row>
    <row r="605" ht="15.75" customHeight="1">
      <c r="E605" s="82"/>
      <c r="G605" s="79"/>
      <c r="H605" s="79"/>
      <c r="M605" s="86"/>
      <c r="U605" s="87"/>
      <c r="V605" s="87"/>
      <c r="W605" s="87"/>
      <c r="X605" s="87"/>
    </row>
    <row r="606" ht="15.75" customHeight="1">
      <c r="E606" s="82"/>
      <c r="G606" s="79"/>
      <c r="H606" s="79"/>
      <c r="M606" s="86"/>
      <c r="U606" s="87"/>
      <c r="V606" s="87"/>
      <c r="W606" s="87"/>
      <c r="X606" s="87"/>
    </row>
    <row r="607" ht="15.75" customHeight="1">
      <c r="E607" s="82"/>
      <c r="G607" s="79"/>
      <c r="H607" s="79"/>
      <c r="M607" s="86"/>
      <c r="U607" s="87"/>
      <c r="V607" s="87"/>
      <c r="W607" s="87"/>
      <c r="X607" s="87"/>
    </row>
    <row r="608" ht="15.75" customHeight="1">
      <c r="E608" s="82"/>
      <c r="G608" s="79"/>
      <c r="H608" s="79"/>
      <c r="M608" s="86"/>
      <c r="U608" s="87"/>
      <c r="V608" s="87"/>
      <c r="W608" s="87"/>
      <c r="X608" s="87"/>
    </row>
    <row r="609" ht="15.75" customHeight="1">
      <c r="E609" s="82"/>
      <c r="G609" s="79"/>
      <c r="H609" s="79"/>
      <c r="M609" s="86"/>
      <c r="U609" s="87"/>
      <c r="V609" s="87"/>
      <c r="W609" s="87"/>
      <c r="X609" s="87"/>
    </row>
    <row r="610" ht="15.75" customHeight="1">
      <c r="E610" s="82"/>
      <c r="G610" s="79"/>
      <c r="H610" s="79"/>
      <c r="M610" s="86"/>
      <c r="U610" s="87"/>
      <c r="V610" s="87"/>
      <c r="W610" s="87"/>
      <c r="X610" s="87"/>
    </row>
    <row r="611" ht="15.75" customHeight="1">
      <c r="E611" s="82"/>
      <c r="G611" s="79"/>
      <c r="H611" s="79"/>
      <c r="M611" s="86"/>
      <c r="U611" s="87"/>
      <c r="V611" s="87"/>
      <c r="W611" s="87"/>
      <c r="X611" s="87"/>
    </row>
    <row r="612" ht="15.75" customHeight="1">
      <c r="E612" s="82"/>
      <c r="G612" s="79"/>
      <c r="H612" s="79"/>
      <c r="M612" s="86"/>
      <c r="U612" s="87"/>
      <c r="V612" s="87"/>
      <c r="W612" s="87"/>
      <c r="X612" s="87"/>
    </row>
    <row r="613" ht="15.75" customHeight="1">
      <c r="E613" s="82"/>
      <c r="G613" s="79"/>
      <c r="H613" s="79"/>
      <c r="M613" s="86"/>
      <c r="U613" s="87"/>
      <c r="V613" s="87"/>
      <c r="W613" s="87"/>
      <c r="X613" s="87"/>
    </row>
    <row r="614" ht="15.75" customHeight="1">
      <c r="E614" s="82"/>
      <c r="G614" s="79"/>
      <c r="H614" s="79"/>
      <c r="M614" s="86"/>
      <c r="U614" s="87"/>
      <c r="V614" s="87"/>
      <c r="W614" s="87"/>
      <c r="X614" s="87"/>
    </row>
    <row r="615" ht="15.75" customHeight="1">
      <c r="E615" s="82"/>
      <c r="G615" s="79"/>
      <c r="H615" s="79"/>
      <c r="M615" s="86"/>
      <c r="U615" s="87"/>
      <c r="V615" s="87"/>
      <c r="W615" s="87"/>
      <c r="X615" s="87"/>
    </row>
    <row r="616" ht="15.75" customHeight="1">
      <c r="E616" s="82"/>
      <c r="G616" s="79"/>
      <c r="H616" s="79"/>
      <c r="M616" s="86"/>
      <c r="U616" s="87"/>
      <c r="V616" s="87"/>
      <c r="W616" s="87"/>
      <c r="X616" s="87"/>
    </row>
    <row r="617" ht="15.75" customHeight="1">
      <c r="E617" s="82"/>
      <c r="G617" s="79"/>
      <c r="H617" s="79"/>
      <c r="M617" s="86"/>
      <c r="U617" s="87"/>
      <c r="V617" s="87"/>
      <c r="W617" s="87"/>
      <c r="X617" s="87"/>
    </row>
    <row r="618" ht="15.75" customHeight="1">
      <c r="E618" s="82"/>
      <c r="G618" s="79"/>
      <c r="H618" s="79"/>
      <c r="M618" s="86"/>
      <c r="U618" s="87"/>
      <c r="V618" s="87"/>
      <c r="W618" s="87"/>
      <c r="X618" s="87"/>
    </row>
    <row r="619" ht="15.75" customHeight="1">
      <c r="E619" s="82"/>
      <c r="G619" s="79"/>
      <c r="H619" s="79"/>
      <c r="M619" s="86"/>
      <c r="U619" s="87"/>
      <c r="V619" s="87"/>
      <c r="W619" s="87"/>
      <c r="X619" s="87"/>
    </row>
    <row r="620" ht="15.75" customHeight="1">
      <c r="E620" s="82"/>
      <c r="G620" s="79"/>
      <c r="H620" s="79"/>
      <c r="M620" s="86"/>
      <c r="U620" s="87"/>
      <c r="V620" s="87"/>
      <c r="W620" s="87"/>
      <c r="X620" s="87"/>
    </row>
    <row r="621" ht="15.75" customHeight="1">
      <c r="E621" s="82"/>
      <c r="G621" s="79"/>
      <c r="H621" s="79"/>
      <c r="M621" s="86"/>
      <c r="U621" s="87"/>
      <c r="V621" s="87"/>
      <c r="W621" s="87"/>
      <c r="X621" s="87"/>
    </row>
    <row r="622" ht="15.75" customHeight="1">
      <c r="E622" s="82"/>
      <c r="G622" s="79"/>
      <c r="H622" s="79"/>
      <c r="M622" s="86"/>
      <c r="U622" s="87"/>
      <c r="V622" s="87"/>
      <c r="W622" s="87"/>
      <c r="X622" s="87"/>
    </row>
    <row r="623" ht="15.75" customHeight="1">
      <c r="E623" s="82"/>
      <c r="G623" s="79"/>
      <c r="H623" s="79"/>
      <c r="M623" s="86"/>
      <c r="U623" s="87"/>
      <c r="V623" s="87"/>
      <c r="W623" s="87"/>
      <c r="X623" s="87"/>
    </row>
    <row r="624" ht="15.75" customHeight="1">
      <c r="E624" s="82"/>
      <c r="G624" s="79"/>
      <c r="H624" s="79"/>
      <c r="M624" s="86"/>
      <c r="U624" s="87"/>
      <c r="V624" s="87"/>
      <c r="W624" s="87"/>
      <c r="X624" s="87"/>
    </row>
    <row r="625" ht="15.75" customHeight="1">
      <c r="E625" s="82"/>
      <c r="G625" s="79"/>
      <c r="H625" s="79"/>
      <c r="M625" s="86"/>
      <c r="U625" s="87"/>
      <c r="V625" s="87"/>
      <c r="W625" s="87"/>
      <c r="X625" s="87"/>
    </row>
    <row r="626" ht="15.75" customHeight="1">
      <c r="E626" s="82"/>
      <c r="G626" s="79"/>
      <c r="H626" s="79"/>
      <c r="M626" s="86"/>
      <c r="U626" s="87"/>
      <c r="V626" s="87"/>
      <c r="W626" s="87"/>
      <c r="X626" s="87"/>
    </row>
    <row r="627" ht="15.75" customHeight="1">
      <c r="E627" s="82"/>
      <c r="G627" s="79"/>
      <c r="H627" s="79"/>
      <c r="M627" s="86"/>
      <c r="U627" s="87"/>
      <c r="V627" s="87"/>
      <c r="W627" s="87"/>
      <c r="X627" s="87"/>
    </row>
    <row r="628" ht="15.75" customHeight="1">
      <c r="E628" s="82"/>
      <c r="G628" s="79"/>
      <c r="H628" s="79"/>
      <c r="M628" s="86"/>
      <c r="U628" s="87"/>
      <c r="V628" s="87"/>
      <c r="W628" s="87"/>
      <c r="X628" s="87"/>
    </row>
    <row r="629" ht="15.75" customHeight="1">
      <c r="E629" s="82"/>
      <c r="G629" s="79"/>
      <c r="H629" s="79"/>
      <c r="M629" s="86"/>
      <c r="U629" s="87"/>
      <c r="V629" s="87"/>
      <c r="W629" s="87"/>
      <c r="X629" s="87"/>
    </row>
    <row r="630" ht="15.75" customHeight="1">
      <c r="E630" s="82"/>
      <c r="G630" s="79"/>
      <c r="H630" s="79"/>
      <c r="M630" s="86"/>
      <c r="U630" s="87"/>
      <c r="V630" s="87"/>
      <c r="W630" s="87"/>
      <c r="X630" s="87"/>
    </row>
    <row r="631" ht="15.75" customHeight="1">
      <c r="E631" s="82"/>
      <c r="G631" s="79"/>
      <c r="H631" s="79"/>
      <c r="M631" s="86"/>
      <c r="U631" s="87"/>
      <c r="V631" s="87"/>
      <c r="W631" s="87"/>
      <c r="X631" s="87"/>
    </row>
    <row r="632" ht="15.75" customHeight="1">
      <c r="E632" s="82"/>
      <c r="G632" s="79"/>
      <c r="H632" s="79"/>
      <c r="M632" s="86"/>
      <c r="U632" s="87"/>
      <c r="V632" s="87"/>
      <c r="W632" s="87"/>
      <c r="X632" s="87"/>
    </row>
    <row r="633" ht="15.75" customHeight="1">
      <c r="E633" s="82"/>
      <c r="G633" s="79"/>
      <c r="H633" s="79"/>
      <c r="M633" s="86"/>
      <c r="U633" s="87"/>
      <c r="V633" s="87"/>
      <c r="W633" s="87"/>
      <c r="X633" s="87"/>
    </row>
    <row r="634" ht="15.75" customHeight="1">
      <c r="E634" s="82"/>
      <c r="G634" s="79"/>
      <c r="H634" s="79"/>
      <c r="M634" s="86"/>
      <c r="U634" s="87"/>
      <c r="V634" s="87"/>
      <c r="W634" s="87"/>
      <c r="X634" s="87"/>
    </row>
    <row r="635" ht="15.75" customHeight="1">
      <c r="E635" s="82"/>
      <c r="G635" s="79"/>
      <c r="H635" s="79"/>
      <c r="M635" s="86"/>
      <c r="U635" s="87"/>
      <c r="V635" s="87"/>
      <c r="W635" s="87"/>
      <c r="X635" s="87"/>
    </row>
    <row r="636" ht="15.75" customHeight="1">
      <c r="E636" s="82"/>
      <c r="G636" s="79"/>
      <c r="H636" s="79"/>
      <c r="M636" s="86"/>
      <c r="U636" s="87"/>
      <c r="V636" s="87"/>
      <c r="W636" s="87"/>
      <c r="X636" s="87"/>
    </row>
    <row r="637" ht="15.75" customHeight="1">
      <c r="E637" s="82"/>
      <c r="G637" s="79"/>
      <c r="H637" s="79"/>
      <c r="M637" s="86"/>
      <c r="U637" s="87"/>
      <c r="V637" s="87"/>
      <c r="W637" s="87"/>
      <c r="X637" s="87"/>
    </row>
    <row r="638" ht="15.75" customHeight="1">
      <c r="E638" s="82"/>
      <c r="G638" s="79"/>
      <c r="H638" s="79"/>
      <c r="M638" s="86"/>
      <c r="U638" s="87"/>
      <c r="V638" s="87"/>
      <c r="W638" s="87"/>
      <c r="X638" s="87"/>
    </row>
    <row r="639" ht="15.75" customHeight="1">
      <c r="E639" s="82"/>
      <c r="G639" s="79"/>
      <c r="H639" s="79"/>
      <c r="M639" s="86"/>
      <c r="U639" s="87"/>
      <c r="V639" s="87"/>
      <c r="W639" s="87"/>
      <c r="X639" s="87"/>
    </row>
    <row r="640" ht="15.75" customHeight="1">
      <c r="E640" s="82"/>
      <c r="G640" s="79"/>
      <c r="H640" s="79"/>
      <c r="M640" s="86"/>
      <c r="U640" s="87"/>
      <c r="V640" s="87"/>
      <c r="W640" s="87"/>
      <c r="X640" s="87"/>
    </row>
    <row r="641" ht="15.75" customHeight="1">
      <c r="E641" s="82"/>
      <c r="G641" s="79"/>
      <c r="H641" s="79"/>
      <c r="M641" s="86"/>
      <c r="U641" s="87"/>
      <c r="V641" s="87"/>
      <c r="W641" s="87"/>
      <c r="X641" s="87"/>
    </row>
    <row r="642" ht="15.75" customHeight="1">
      <c r="E642" s="82"/>
      <c r="G642" s="79"/>
      <c r="H642" s="79"/>
      <c r="M642" s="86"/>
      <c r="U642" s="87"/>
      <c r="V642" s="87"/>
      <c r="W642" s="87"/>
      <c r="X642" s="87"/>
    </row>
    <row r="643" ht="15.75" customHeight="1">
      <c r="E643" s="82"/>
      <c r="G643" s="79"/>
      <c r="H643" s="79"/>
      <c r="M643" s="86"/>
      <c r="U643" s="87"/>
      <c r="V643" s="87"/>
      <c r="W643" s="87"/>
      <c r="X643" s="87"/>
    </row>
    <row r="644" ht="15.75" customHeight="1">
      <c r="E644" s="82"/>
      <c r="G644" s="79"/>
      <c r="H644" s="79"/>
      <c r="M644" s="86"/>
      <c r="U644" s="87"/>
      <c r="V644" s="87"/>
      <c r="W644" s="87"/>
      <c r="X644" s="87"/>
    </row>
    <row r="645" ht="15.75" customHeight="1">
      <c r="E645" s="82"/>
      <c r="G645" s="79"/>
      <c r="H645" s="79"/>
      <c r="M645" s="86"/>
      <c r="U645" s="87"/>
      <c r="V645" s="87"/>
      <c r="W645" s="87"/>
      <c r="X645" s="87"/>
    </row>
    <row r="646" ht="15.75" customHeight="1">
      <c r="E646" s="82"/>
      <c r="G646" s="79"/>
      <c r="H646" s="79"/>
      <c r="M646" s="86"/>
      <c r="U646" s="87"/>
      <c r="V646" s="87"/>
      <c r="W646" s="87"/>
      <c r="X646" s="87"/>
    </row>
    <row r="647" ht="15.75" customHeight="1">
      <c r="E647" s="82"/>
      <c r="G647" s="79"/>
      <c r="H647" s="79"/>
      <c r="M647" s="86"/>
      <c r="U647" s="87"/>
      <c r="V647" s="87"/>
      <c r="W647" s="87"/>
      <c r="X647" s="87"/>
    </row>
    <row r="648" ht="15.75" customHeight="1">
      <c r="E648" s="82"/>
      <c r="G648" s="79"/>
      <c r="H648" s="79"/>
      <c r="M648" s="86"/>
      <c r="U648" s="87"/>
      <c r="V648" s="87"/>
      <c r="W648" s="87"/>
      <c r="X648" s="87"/>
    </row>
    <row r="649" ht="15.75" customHeight="1">
      <c r="E649" s="82"/>
      <c r="G649" s="79"/>
      <c r="H649" s="79"/>
      <c r="M649" s="86"/>
      <c r="U649" s="87"/>
      <c r="V649" s="87"/>
      <c r="W649" s="87"/>
      <c r="X649" s="87"/>
    </row>
    <row r="650" ht="15.75" customHeight="1">
      <c r="E650" s="82"/>
      <c r="G650" s="79"/>
      <c r="H650" s="79"/>
      <c r="M650" s="86"/>
      <c r="U650" s="87"/>
      <c r="V650" s="87"/>
      <c r="W650" s="87"/>
      <c r="X650" s="87"/>
    </row>
    <row r="651" ht="15.75" customHeight="1">
      <c r="E651" s="82"/>
      <c r="G651" s="79"/>
      <c r="H651" s="79"/>
      <c r="M651" s="86"/>
      <c r="U651" s="87"/>
      <c r="V651" s="87"/>
      <c r="W651" s="87"/>
      <c r="X651" s="87"/>
    </row>
    <row r="652" ht="15.75" customHeight="1">
      <c r="E652" s="82"/>
      <c r="G652" s="79"/>
      <c r="H652" s="79"/>
      <c r="M652" s="86"/>
      <c r="U652" s="87"/>
      <c r="V652" s="87"/>
      <c r="W652" s="87"/>
      <c r="X652" s="87"/>
    </row>
    <row r="653" ht="15.75" customHeight="1">
      <c r="E653" s="82"/>
      <c r="G653" s="79"/>
      <c r="H653" s="79"/>
      <c r="M653" s="86"/>
      <c r="U653" s="87"/>
      <c r="V653" s="87"/>
      <c r="W653" s="87"/>
      <c r="X653" s="87"/>
    </row>
    <row r="654" ht="15.75" customHeight="1">
      <c r="E654" s="82"/>
      <c r="G654" s="79"/>
      <c r="H654" s="79"/>
      <c r="M654" s="86"/>
      <c r="U654" s="87"/>
      <c r="V654" s="87"/>
      <c r="W654" s="87"/>
      <c r="X654" s="87"/>
    </row>
    <row r="655" ht="15.75" customHeight="1">
      <c r="E655" s="82"/>
      <c r="G655" s="79"/>
      <c r="H655" s="79"/>
      <c r="M655" s="86"/>
      <c r="U655" s="87"/>
      <c r="V655" s="87"/>
      <c r="W655" s="87"/>
      <c r="X655" s="87"/>
    </row>
    <row r="656" ht="15.75" customHeight="1">
      <c r="E656" s="82"/>
      <c r="G656" s="79"/>
      <c r="H656" s="79"/>
      <c r="M656" s="86"/>
      <c r="U656" s="87"/>
      <c r="V656" s="87"/>
      <c r="W656" s="87"/>
      <c r="X656" s="87"/>
    </row>
    <row r="657" ht="15.75" customHeight="1">
      <c r="E657" s="82"/>
      <c r="G657" s="79"/>
      <c r="H657" s="79"/>
      <c r="M657" s="86"/>
      <c r="U657" s="87"/>
      <c r="V657" s="87"/>
      <c r="W657" s="87"/>
      <c r="X657" s="87"/>
    </row>
    <row r="658" ht="15.75" customHeight="1">
      <c r="E658" s="82"/>
      <c r="G658" s="79"/>
      <c r="H658" s="79"/>
      <c r="M658" s="86"/>
      <c r="U658" s="87"/>
      <c r="V658" s="87"/>
      <c r="W658" s="87"/>
      <c r="X658" s="87"/>
    </row>
    <row r="659" ht="15.75" customHeight="1">
      <c r="E659" s="82"/>
      <c r="G659" s="79"/>
      <c r="H659" s="79"/>
      <c r="M659" s="86"/>
      <c r="U659" s="87"/>
      <c r="V659" s="87"/>
      <c r="W659" s="87"/>
      <c r="X659" s="87"/>
    </row>
    <row r="660" ht="15.75" customHeight="1">
      <c r="E660" s="82"/>
      <c r="G660" s="79"/>
      <c r="H660" s="79"/>
      <c r="M660" s="86"/>
      <c r="U660" s="87"/>
      <c r="V660" s="87"/>
      <c r="W660" s="87"/>
      <c r="X660" s="87"/>
    </row>
    <row r="661" ht="15.75" customHeight="1">
      <c r="E661" s="82"/>
      <c r="G661" s="79"/>
      <c r="H661" s="79"/>
      <c r="M661" s="86"/>
      <c r="U661" s="87"/>
      <c r="V661" s="87"/>
      <c r="W661" s="87"/>
      <c r="X661" s="87"/>
    </row>
    <row r="662" ht="15.75" customHeight="1">
      <c r="E662" s="82"/>
      <c r="G662" s="79"/>
      <c r="H662" s="79"/>
      <c r="M662" s="86"/>
      <c r="U662" s="87"/>
      <c r="V662" s="87"/>
      <c r="W662" s="87"/>
      <c r="X662" s="87"/>
    </row>
    <row r="663" ht="15.75" customHeight="1">
      <c r="E663" s="82"/>
      <c r="G663" s="79"/>
      <c r="H663" s="79"/>
      <c r="M663" s="86"/>
      <c r="U663" s="87"/>
      <c r="V663" s="87"/>
      <c r="W663" s="87"/>
      <c r="X663" s="87"/>
    </row>
    <row r="664" ht="15.75" customHeight="1">
      <c r="E664" s="82"/>
      <c r="G664" s="79"/>
      <c r="H664" s="79"/>
      <c r="M664" s="86"/>
      <c r="U664" s="87"/>
      <c r="V664" s="87"/>
      <c r="W664" s="87"/>
      <c r="X664" s="87"/>
    </row>
    <row r="665" ht="15.75" customHeight="1">
      <c r="E665" s="82"/>
      <c r="G665" s="79"/>
      <c r="H665" s="79"/>
      <c r="M665" s="86"/>
      <c r="U665" s="87"/>
      <c r="V665" s="87"/>
      <c r="W665" s="87"/>
      <c r="X665" s="87"/>
    </row>
    <row r="666" ht="15.75" customHeight="1">
      <c r="E666" s="82"/>
      <c r="G666" s="79"/>
      <c r="H666" s="79"/>
      <c r="M666" s="86"/>
      <c r="U666" s="87"/>
      <c r="V666" s="87"/>
      <c r="W666" s="87"/>
      <c r="X666" s="87"/>
    </row>
    <row r="667" ht="15.75" customHeight="1">
      <c r="E667" s="82"/>
      <c r="G667" s="79"/>
      <c r="H667" s="79"/>
      <c r="M667" s="86"/>
      <c r="U667" s="87"/>
      <c r="V667" s="87"/>
      <c r="W667" s="87"/>
      <c r="X667" s="87"/>
    </row>
    <row r="668" ht="15.75" customHeight="1">
      <c r="E668" s="82"/>
      <c r="G668" s="79"/>
      <c r="H668" s="79"/>
      <c r="M668" s="86"/>
      <c r="U668" s="87"/>
      <c r="V668" s="87"/>
      <c r="W668" s="87"/>
      <c r="X668" s="87"/>
    </row>
    <row r="669" ht="15.75" customHeight="1">
      <c r="E669" s="82"/>
      <c r="G669" s="79"/>
      <c r="H669" s="79"/>
      <c r="M669" s="86"/>
      <c r="U669" s="87"/>
      <c r="V669" s="87"/>
      <c r="W669" s="87"/>
      <c r="X669" s="87"/>
    </row>
    <row r="670" ht="15.75" customHeight="1">
      <c r="E670" s="82"/>
      <c r="G670" s="79"/>
      <c r="H670" s="79"/>
      <c r="M670" s="86"/>
      <c r="U670" s="87"/>
      <c r="V670" s="87"/>
      <c r="W670" s="87"/>
      <c r="X670" s="87"/>
    </row>
    <row r="671" ht="15.75" customHeight="1">
      <c r="E671" s="82"/>
      <c r="G671" s="79"/>
      <c r="H671" s="79"/>
      <c r="M671" s="86"/>
      <c r="U671" s="87"/>
      <c r="V671" s="87"/>
      <c r="W671" s="87"/>
      <c r="X671" s="87"/>
    </row>
    <row r="672" ht="15.75" customHeight="1">
      <c r="E672" s="82"/>
      <c r="G672" s="79"/>
      <c r="H672" s="79"/>
      <c r="M672" s="86"/>
      <c r="U672" s="87"/>
      <c r="V672" s="87"/>
      <c r="W672" s="87"/>
      <c r="X672" s="87"/>
    </row>
    <row r="673" ht="15.75" customHeight="1">
      <c r="E673" s="82"/>
      <c r="G673" s="79"/>
      <c r="H673" s="79"/>
      <c r="M673" s="86"/>
      <c r="U673" s="87"/>
      <c r="V673" s="87"/>
      <c r="W673" s="87"/>
      <c r="X673" s="87"/>
    </row>
    <row r="674" ht="15.75" customHeight="1">
      <c r="E674" s="82"/>
      <c r="G674" s="79"/>
      <c r="H674" s="79"/>
      <c r="M674" s="86"/>
      <c r="U674" s="87"/>
      <c r="V674" s="87"/>
      <c r="W674" s="87"/>
      <c r="X674" s="87"/>
    </row>
    <row r="675" ht="15.75" customHeight="1">
      <c r="E675" s="82"/>
      <c r="G675" s="79"/>
      <c r="H675" s="79"/>
      <c r="M675" s="86"/>
      <c r="U675" s="87"/>
      <c r="V675" s="87"/>
      <c r="W675" s="87"/>
      <c r="X675" s="87"/>
    </row>
    <row r="676" ht="15.75" customHeight="1">
      <c r="E676" s="82"/>
      <c r="G676" s="79"/>
      <c r="H676" s="79"/>
      <c r="M676" s="86"/>
      <c r="U676" s="87"/>
      <c r="V676" s="87"/>
      <c r="W676" s="87"/>
      <c r="X676" s="87"/>
    </row>
    <row r="677" ht="15.75" customHeight="1">
      <c r="E677" s="82"/>
      <c r="G677" s="79"/>
      <c r="H677" s="79"/>
      <c r="M677" s="86"/>
      <c r="U677" s="87"/>
      <c r="V677" s="87"/>
      <c r="W677" s="87"/>
      <c r="X677" s="87"/>
    </row>
    <row r="678" ht="15.75" customHeight="1">
      <c r="E678" s="82"/>
      <c r="G678" s="79"/>
      <c r="H678" s="79"/>
      <c r="M678" s="86"/>
      <c r="U678" s="87"/>
      <c r="V678" s="87"/>
      <c r="W678" s="87"/>
      <c r="X678" s="87"/>
    </row>
    <row r="679" ht="15.75" customHeight="1">
      <c r="E679" s="82"/>
      <c r="G679" s="79"/>
      <c r="H679" s="79"/>
      <c r="M679" s="86"/>
      <c r="U679" s="87"/>
      <c r="V679" s="87"/>
      <c r="W679" s="87"/>
      <c r="X679" s="87"/>
    </row>
    <row r="680" ht="15.75" customHeight="1">
      <c r="E680" s="82"/>
      <c r="G680" s="79"/>
      <c r="H680" s="79"/>
      <c r="M680" s="86"/>
      <c r="U680" s="87"/>
      <c r="V680" s="87"/>
      <c r="W680" s="87"/>
      <c r="X680" s="87"/>
    </row>
    <row r="681" ht="15.75" customHeight="1">
      <c r="E681" s="82"/>
      <c r="G681" s="79"/>
      <c r="H681" s="79"/>
      <c r="M681" s="86"/>
      <c r="U681" s="87"/>
      <c r="V681" s="87"/>
      <c r="W681" s="87"/>
      <c r="X681" s="87"/>
    </row>
    <row r="682" ht="15.75" customHeight="1">
      <c r="E682" s="82"/>
      <c r="G682" s="79"/>
      <c r="H682" s="79"/>
      <c r="M682" s="86"/>
      <c r="U682" s="87"/>
      <c r="V682" s="87"/>
      <c r="W682" s="87"/>
      <c r="X682" s="87"/>
    </row>
    <row r="683" ht="15.75" customHeight="1">
      <c r="E683" s="82"/>
      <c r="G683" s="79"/>
      <c r="H683" s="79"/>
      <c r="M683" s="86"/>
      <c r="U683" s="87"/>
      <c r="V683" s="87"/>
      <c r="W683" s="87"/>
      <c r="X683" s="87"/>
    </row>
    <row r="684" ht="15.75" customHeight="1">
      <c r="E684" s="82"/>
      <c r="G684" s="79"/>
      <c r="H684" s="79"/>
      <c r="M684" s="86"/>
      <c r="U684" s="87"/>
      <c r="V684" s="87"/>
      <c r="W684" s="87"/>
      <c r="X684" s="87"/>
    </row>
    <row r="685" ht="15.75" customHeight="1">
      <c r="E685" s="82"/>
      <c r="G685" s="79"/>
      <c r="H685" s="79"/>
      <c r="M685" s="86"/>
      <c r="U685" s="87"/>
      <c r="V685" s="87"/>
      <c r="W685" s="87"/>
      <c r="X685" s="87"/>
    </row>
    <row r="686" ht="15.75" customHeight="1">
      <c r="E686" s="82"/>
      <c r="G686" s="79"/>
      <c r="H686" s="79"/>
      <c r="M686" s="86"/>
      <c r="U686" s="87"/>
      <c r="V686" s="87"/>
      <c r="W686" s="87"/>
      <c r="X686" s="87"/>
    </row>
    <row r="687" ht="15.75" customHeight="1">
      <c r="E687" s="82"/>
      <c r="G687" s="79"/>
      <c r="H687" s="79"/>
      <c r="M687" s="86"/>
      <c r="U687" s="87"/>
      <c r="V687" s="87"/>
      <c r="W687" s="87"/>
      <c r="X687" s="87"/>
    </row>
    <row r="688" ht="15.75" customHeight="1">
      <c r="E688" s="82"/>
      <c r="G688" s="79"/>
      <c r="H688" s="79"/>
      <c r="M688" s="86"/>
      <c r="U688" s="87"/>
      <c r="V688" s="87"/>
      <c r="W688" s="87"/>
      <c r="X688" s="87"/>
    </row>
    <row r="689" ht="15.75" customHeight="1">
      <c r="E689" s="82"/>
      <c r="G689" s="79"/>
      <c r="H689" s="79"/>
      <c r="M689" s="86"/>
      <c r="U689" s="87"/>
      <c r="V689" s="87"/>
      <c r="W689" s="87"/>
      <c r="X689" s="87"/>
    </row>
    <row r="690" ht="15.75" customHeight="1">
      <c r="E690" s="82"/>
      <c r="G690" s="79"/>
      <c r="H690" s="79"/>
      <c r="M690" s="86"/>
      <c r="U690" s="87"/>
      <c r="V690" s="87"/>
      <c r="W690" s="87"/>
      <c r="X690" s="87"/>
    </row>
    <row r="691" ht="15.75" customHeight="1">
      <c r="E691" s="82"/>
      <c r="G691" s="79"/>
      <c r="H691" s="79"/>
      <c r="M691" s="86"/>
      <c r="U691" s="87"/>
      <c r="V691" s="87"/>
      <c r="W691" s="87"/>
      <c r="X691" s="87"/>
    </row>
    <row r="692" ht="15.75" customHeight="1">
      <c r="E692" s="82"/>
      <c r="G692" s="79"/>
      <c r="H692" s="79"/>
      <c r="M692" s="86"/>
      <c r="U692" s="87"/>
      <c r="V692" s="87"/>
      <c r="W692" s="87"/>
      <c r="X692" s="87"/>
    </row>
    <row r="693" ht="15.75" customHeight="1">
      <c r="E693" s="82"/>
      <c r="G693" s="79"/>
      <c r="H693" s="79"/>
      <c r="M693" s="86"/>
      <c r="U693" s="87"/>
      <c r="V693" s="87"/>
      <c r="W693" s="87"/>
      <c r="X693" s="87"/>
    </row>
    <row r="694" ht="15.75" customHeight="1">
      <c r="E694" s="82"/>
      <c r="G694" s="79"/>
      <c r="H694" s="79"/>
      <c r="M694" s="86"/>
      <c r="U694" s="87"/>
      <c r="V694" s="87"/>
      <c r="W694" s="87"/>
      <c r="X694" s="87"/>
    </row>
    <row r="695" ht="15.75" customHeight="1">
      <c r="E695" s="82"/>
      <c r="G695" s="79"/>
      <c r="H695" s="79"/>
      <c r="M695" s="86"/>
      <c r="U695" s="87"/>
      <c r="V695" s="87"/>
      <c r="W695" s="87"/>
      <c r="X695" s="87"/>
    </row>
    <row r="696" ht="15.75" customHeight="1">
      <c r="E696" s="82"/>
      <c r="G696" s="79"/>
      <c r="H696" s="79"/>
      <c r="M696" s="86"/>
      <c r="U696" s="87"/>
      <c r="V696" s="87"/>
      <c r="W696" s="87"/>
      <c r="X696" s="87"/>
    </row>
    <row r="697" ht="15.75" customHeight="1">
      <c r="E697" s="82"/>
      <c r="G697" s="79"/>
      <c r="H697" s="79"/>
      <c r="M697" s="86"/>
      <c r="U697" s="87"/>
      <c r="V697" s="87"/>
      <c r="W697" s="87"/>
      <c r="X697" s="87"/>
    </row>
    <row r="698" ht="15.75" customHeight="1">
      <c r="E698" s="82"/>
      <c r="G698" s="79"/>
      <c r="H698" s="79"/>
      <c r="M698" s="86"/>
      <c r="U698" s="87"/>
      <c r="V698" s="87"/>
      <c r="W698" s="87"/>
      <c r="X698" s="87"/>
    </row>
    <row r="699" ht="15.75" customHeight="1">
      <c r="E699" s="82"/>
      <c r="G699" s="79"/>
      <c r="H699" s="79"/>
      <c r="M699" s="86"/>
      <c r="U699" s="87"/>
      <c r="V699" s="87"/>
      <c r="W699" s="87"/>
      <c r="X699" s="87"/>
    </row>
    <row r="700" ht="15.75" customHeight="1">
      <c r="E700" s="82"/>
      <c r="G700" s="79"/>
      <c r="H700" s="79"/>
      <c r="M700" s="86"/>
      <c r="U700" s="87"/>
      <c r="V700" s="87"/>
      <c r="W700" s="87"/>
      <c r="X700" s="87"/>
    </row>
    <row r="701" ht="15.75" customHeight="1">
      <c r="E701" s="82"/>
      <c r="G701" s="79"/>
      <c r="H701" s="79"/>
      <c r="M701" s="86"/>
      <c r="U701" s="87"/>
      <c r="V701" s="87"/>
      <c r="W701" s="87"/>
      <c r="X701" s="87"/>
    </row>
    <row r="702" ht="15.75" customHeight="1">
      <c r="E702" s="82"/>
      <c r="G702" s="79"/>
      <c r="H702" s="79"/>
      <c r="M702" s="86"/>
      <c r="U702" s="87"/>
      <c r="V702" s="87"/>
      <c r="W702" s="87"/>
      <c r="X702" s="87"/>
    </row>
    <row r="703" ht="15.75" customHeight="1">
      <c r="E703" s="82"/>
      <c r="G703" s="79"/>
      <c r="H703" s="79"/>
      <c r="M703" s="86"/>
      <c r="U703" s="87"/>
      <c r="V703" s="87"/>
      <c r="W703" s="87"/>
      <c r="X703" s="87"/>
    </row>
    <row r="704" ht="15.75" customHeight="1">
      <c r="E704" s="82"/>
      <c r="G704" s="79"/>
      <c r="H704" s="79"/>
      <c r="M704" s="86"/>
      <c r="U704" s="87"/>
      <c r="V704" s="87"/>
      <c r="W704" s="87"/>
      <c r="X704" s="87"/>
    </row>
    <row r="705" ht="15.75" customHeight="1">
      <c r="E705" s="82"/>
      <c r="G705" s="79"/>
      <c r="H705" s="79"/>
      <c r="M705" s="86"/>
      <c r="U705" s="87"/>
      <c r="V705" s="87"/>
      <c r="W705" s="87"/>
      <c r="X705" s="87"/>
    </row>
    <row r="706" ht="15.75" customHeight="1">
      <c r="E706" s="82"/>
      <c r="G706" s="79"/>
      <c r="H706" s="79"/>
      <c r="M706" s="86"/>
      <c r="U706" s="87"/>
      <c r="V706" s="87"/>
      <c r="W706" s="87"/>
      <c r="X706" s="87"/>
    </row>
    <row r="707" ht="15.75" customHeight="1">
      <c r="E707" s="82"/>
      <c r="G707" s="79"/>
      <c r="H707" s="79"/>
      <c r="M707" s="86"/>
      <c r="U707" s="87"/>
      <c r="V707" s="87"/>
      <c r="W707" s="87"/>
      <c r="X707" s="87"/>
    </row>
    <row r="708" ht="15.75" customHeight="1">
      <c r="E708" s="82"/>
      <c r="G708" s="79"/>
      <c r="H708" s="79"/>
      <c r="M708" s="86"/>
      <c r="U708" s="87"/>
      <c r="V708" s="87"/>
      <c r="W708" s="87"/>
      <c r="X708" s="87"/>
    </row>
    <row r="709" ht="15.75" customHeight="1">
      <c r="E709" s="82"/>
      <c r="G709" s="79"/>
      <c r="H709" s="79"/>
      <c r="M709" s="86"/>
      <c r="U709" s="87"/>
      <c r="V709" s="87"/>
      <c r="W709" s="87"/>
      <c r="X709" s="87"/>
    </row>
    <row r="710" ht="15.75" customHeight="1">
      <c r="E710" s="82"/>
      <c r="G710" s="79"/>
      <c r="H710" s="79"/>
      <c r="M710" s="86"/>
      <c r="U710" s="87"/>
      <c r="V710" s="87"/>
      <c r="W710" s="87"/>
      <c r="X710" s="87"/>
    </row>
    <row r="711" ht="15.75" customHeight="1">
      <c r="E711" s="82"/>
      <c r="G711" s="79"/>
      <c r="H711" s="79"/>
      <c r="M711" s="86"/>
      <c r="U711" s="87"/>
      <c r="V711" s="87"/>
      <c r="W711" s="87"/>
      <c r="X711" s="87"/>
    </row>
    <row r="712" ht="15.75" customHeight="1">
      <c r="E712" s="82"/>
      <c r="G712" s="79"/>
      <c r="H712" s="79"/>
      <c r="M712" s="86"/>
      <c r="U712" s="87"/>
      <c r="V712" s="87"/>
      <c r="W712" s="87"/>
      <c r="X712" s="87"/>
    </row>
    <row r="713" ht="15.75" customHeight="1">
      <c r="E713" s="82"/>
      <c r="G713" s="79"/>
      <c r="H713" s="79"/>
      <c r="M713" s="86"/>
      <c r="U713" s="87"/>
      <c r="V713" s="87"/>
      <c r="W713" s="87"/>
      <c r="X713" s="87"/>
    </row>
    <row r="714" ht="15.75" customHeight="1">
      <c r="E714" s="82"/>
      <c r="G714" s="79"/>
      <c r="H714" s="79"/>
      <c r="M714" s="86"/>
      <c r="U714" s="87"/>
      <c r="V714" s="87"/>
      <c r="W714" s="87"/>
      <c r="X714" s="87"/>
    </row>
    <row r="715" ht="15.75" customHeight="1">
      <c r="E715" s="82"/>
      <c r="G715" s="79"/>
      <c r="H715" s="79"/>
      <c r="M715" s="86"/>
      <c r="U715" s="87"/>
      <c r="V715" s="87"/>
      <c r="W715" s="87"/>
      <c r="X715" s="87"/>
    </row>
    <row r="716" ht="15.75" customHeight="1">
      <c r="E716" s="82"/>
      <c r="G716" s="79"/>
      <c r="H716" s="79"/>
      <c r="M716" s="86"/>
      <c r="U716" s="87"/>
      <c r="V716" s="87"/>
      <c r="W716" s="87"/>
      <c r="X716" s="87"/>
    </row>
    <row r="717" ht="15.75" customHeight="1">
      <c r="E717" s="82"/>
      <c r="G717" s="79"/>
      <c r="H717" s="79"/>
      <c r="M717" s="86"/>
      <c r="U717" s="87"/>
      <c r="V717" s="87"/>
      <c r="W717" s="87"/>
      <c r="X717" s="87"/>
    </row>
    <row r="718" ht="15.75" customHeight="1">
      <c r="E718" s="82"/>
      <c r="G718" s="79"/>
      <c r="H718" s="79"/>
      <c r="M718" s="86"/>
      <c r="U718" s="87"/>
      <c r="V718" s="87"/>
      <c r="W718" s="87"/>
      <c r="X718" s="87"/>
    </row>
    <row r="719" ht="15.75" customHeight="1">
      <c r="E719" s="82"/>
      <c r="G719" s="79"/>
      <c r="H719" s="79"/>
      <c r="M719" s="86"/>
      <c r="U719" s="87"/>
      <c r="V719" s="87"/>
      <c r="W719" s="87"/>
      <c r="X719" s="87"/>
    </row>
    <row r="720" ht="15.75" customHeight="1">
      <c r="E720" s="82"/>
      <c r="G720" s="79"/>
      <c r="H720" s="79"/>
      <c r="M720" s="86"/>
      <c r="U720" s="87"/>
      <c r="V720" s="87"/>
      <c r="W720" s="87"/>
      <c r="X720" s="87"/>
    </row>
    <row r="721" ht="15.75" customHeight="1">
      <c r="E721" s="82"/>
      <c r="G721" s="79"/>
      <c r="H721" s="79"/>
      <c r="M721" s="86"/>
      <c r="U721" s="87"/>
      <c r="V721" s="87"/>
      <c r="W721" s="87"/>
      <c r="X721" s="87"/>
    </row>
    <row r="722" ht="15.75" customHeight="1">
      <c r="E722" s="82"/>
      <c r="G722" s="79"/>
      <c r="H722" s="79"/>
      <c r="M722" s="86"/>
      <c r="U722" s="87"/>
      <c r="V722" s="87"/>
      <c r="W722" s="87"/>
      <c r="X722" s="87"/>
    </row>
    <row r="723" ht="15.75" customHeight="1">
      <c r="E723" s="82"/>
      <c r="G723" s="79"/>
      <c r="H723" s="79"/>
      <c r="M723" s="86"/>
      <c r="U723" s="87"/>
      <c r="V723" s="87"/>
      <c r="W723" s="87"/>
      <c r="X723" s="87"/>
    </row>
    <row r="724" ht="15.75" customHeight="1">
      <c r="E724" s="82"/>
      <c r="G724" s="79"/>
      <c r="H724" s="79"/>
      <c r="M724" s="86"/>
      <c r="U724" s="87"/>
      <c r="V724" s="87"/>
      <c r="W724" s="87"/>
      <c r="X724" s="87"/>
    </row>
    <row r="725" ht="15.75" customHeight="1">
      <c r="E725" s="82"/>
      <c r="G725" s="79"/>
      <c r="H725" s="79"/>
      <c r="M725" s="86"/>
      <c r="U725" s="87"/>
      <c r="V725" s="87"/>
      <c r="W725" s="87"/>
      <c r="X725" s="87"/>
    </row>
    <row r="726" ht="15.75" customHeight="1">
      <c r="E726" s="82"/>
      <c r="G726" s="79"/>
      <c r="H726" s="79"/>
      <c r="M726" s="86"/>
      <c r="U726" s="87"/>
      <c r="V726" s="87"/>
      <c r="W726" s="87"/>
      <c r="X726" s="87"/>
    </row>
    <row r="727" ht="15.75" customHeight="1">
      <c r="E727" s="82"/>
      <c r="G727" s="79"/>
      <c r="H727" s="79"/>
      <c r="M727" s="86"/>
      <c r="U727" s="87"/>
      <c r="V727" s="87"/>
      <c r="W727" s="87"/>
      <c r="X727" s="87"/>
    </row>
    <row r="728" ht="15.75" customHeight="1">
      <c r="E728" s="82"/>
      <c r="G728" s="79"/>
      <c r="H728" s="79"/>
      <c r="M728" s="86"/>
      <c r="U728" s="87"/>
      <c r="V728" s="87"/>
      <c r="W728" s="87"/>
      <c r="X728" s="87"/>
    </row>
    <row r="729" ht="15.75" customHeight="1">
      <c r="E729" s="82"/>
      <c r="G729" s="79"/>
      <c r="H729" s="79"/>
      <c r="M729" s="86"/>
      <c r="U729" s="87"/>
      <c r="V729" s="87"/>
      <c r="W729" s="87"/>
      <c r="X729" s="87"/>
    </row>
    <row r="730" ht="15.75" customHeight="1">
      <c r="E730" s="82"/>
      <c r="G730" s="79"/>
      <c r="H730" s="79"/>
      <c r="M730" s="86"/>
      <c r="U730" s="87"/>
      <c r="V730" s="87"/>
      <c r="W730" s="87"/>
      <c r="X730" s="87"/>
    </row>
    <row r="731" ht="15.75" customHeight="1">
      <c r="E731" s="82"/>
      <c r="G731" s="79"/>
      <c r="H731" s="79"/>
      <c r="M731" s="86"/>
      <c r="U731" s="87"/>
      <c r="V731" s="87"/>
      <c r="W731" s="87"/>
      <c r="X731" s="87"/>
    </row>
    <row r="732" ht="15.75" customHeight="1">
      <c r="E732" s="82"/>
      <c r="G732" s="79"/>
      <c r="H732" s="79"/>
      <c r="M732" s="86"/>
      <c r="U732" s="87"/>
      <c r="V732" s="87"/>
      <c r="W732" s="87"/>
      <c r="X732" s="87"/>
    </row>
    <row r="733" ht="15.75" customHeight="1">
      <c r="E733" s="82"/>
      <c r="G733" s="79"/>
      <c r="H733" s="79"/>
      <c r="M733" s="86"/>
      <c r="U733" s="87"/>
      <c r="V733" s="87"/>
      <c r="W733" s="87"/>
      <c r="X733" s="87"/>
    </row>
    <row r="734" ht="15.75" customHeight="1">
      <c r="E734" s="82"/>
      <c r="G734" s="79"/>
      <c r="H734" s="79"/>
      <c r="M734" s="86"/>
      <c r="U734" s="87"/>
      <c r="V734" s="87"/>
      <c r="W734" s="87"/>
      <c r="X734" s="87"/>
    </row>
    <row r="735" ht="15.75" customHeight="1">
      <c r="E735" s="82"/>
      <c r="G735" s="79"/>
      <c r="H735" s="79"/>
      <c r="M735" s="86"/>
      <c r="U735" s="87"/>
      <c r="V735" s="87"/>
      <c r="W735" s="87"/>
      <c r="X735" s="87"/>
    </row>
    <row r="736" ht="15.75" customHeight="1">
      <c r="E736" s="82"/>
      <c r="G736" s="79"/>
      <c r="H736" s="79"/>
      <c r="M736" s="86"/>
      <c r="U736" s="87"/>
      <c r="V736" s="87"/>
      <c r="W736" s="87"/>
      <c r="X736" s="87"/>
    </row>
    <row r="737" ht="15.75" customHeight="1">
      <c r="E737" s="82"/>
      <c r="G737" s="79"/>
      <c r="H737" s="79"/>
      <c r="M737" s="86"/>
      <c r="U737" s="87"/>
      <c r="V737" s="87"/>
      <c r="W737" s="87"/>
      <c r="X737" s="87"/>
    </row>
    <row r="738" ht="15.75" customHeight="1">
      <c r="E738" s="82"/>
      <c r="G738" s="79"/>
      <c r="H738" s="79"/>
      <c r="M738" s="86"/>
      <c r="U738" s="87"/>
      <c r="V738" s="87"/>
      <c r="W738" s="87"/>
      <c r="X738" s="87"/>
    </row>
    <row r="739" ht="15.75" customHeight="1">
      <c r="E739" s="82"/>
      <c r="G739" s="79"/>
      <c r="H739" s="79"/>
      <c r="M739" s="86"/>
      <c r="U739" s="87"/>
      <c r="V739" s="87"/>
      <c r="W739" s="87"/>
      <c r="X739" s="87"/>
    </row>
    <row r="740" ht="15.75" customHeight="1">
      <c r="E740" s="82"/>
      <c r="G740" s="79"/>
      <c r="H740" s="79"/>
      <c r="M740" s="86"/>
      <c r="U740" s="87"/>
      <c r="V740" s="87"/>
      <c r="W740" s="87"/>
      <c r="X740" s="87"/>
    </row>
    <row r="741" ht="15.75" customHeight="1">
      <c r="E741" s="82"/>
      <c r="G741" s="79"/>
      <c r="H741" s="79"/>
      <c r="M741" s="86"/>
      <c r="U741" s="87"/>
      <c r="V741" s="87"/>
      <c r="W741" s="87"/>
      <c r="X741" s="87"/>
    </row>
    <row r="742" ht="15.75" customHeight="1">
      <c r="E742" s="82"/>
      <c r="G742" s="79"/>
      <c r="H742" s="79"/>
      <c r="M742" s="86"/>
      <c r="U742" s="87"/>
      <c r="V742" s="87"/>
      <c r="W742" s="87"/>
      <c r="X742" s="87"/>
    </row>
    <row r="743" ht="15.75" customHeight="1">
      <c r="E743" s="82"/>
      <c r="G743" s="79"/>
      <c r="H743" s="79"/>
      <c r="M743" s="86"/>
      <c r="U743" s="87"/>
      <c r="V743" s="87"/>
      <c r="W743" s="87"/>
      <c r="X743" s="87"/>
    </row>
    <row r="744" ht="15.75" customHeight="1">
      <c r="E744" s="82"/>
      <c r="G744" s="79"/>
      <c r="H744" s="79"/>
      <c r="M744" s="86"/>
      <c r="U744" s="87"/>
      <c r="V744" s="87"/>
      <c r="W744" s="87"/>
      <c r="X744" s="87"/>
    </row>
    <row r="745" ht="15.75" customHeight="1">
      <c r="E745" s="82"/>
      <c r="G745" s="79"/>
      <c r="H745" s="79"/>
      <c r="M745" s="86"/>
      <c r="U745" s="87"/>
      <c r="V745" s="87"/>
      <c r="W745" s="87"/>
      <c r="X745" s="87"/>
    </row>
    <row r="746" ht="15.75" customHeight="1">
      <c r="E746" s="82"/>
      <c r="G746" s="79"/>
      <c r="H746" s="79"/>
      <c r="M746" s="86"/>
      <c r="U746" s="87"/>
      <c r="V746" s="87"/>
      <c r="W746" s="87"/>
      <c r="X746" s="87"/>
    </row>
    <row r="747" ht="15.75" customHeight="1">
      <c r="E747" s="82"/>
      <c r="G747" s="79"/>
      <c r="H747" s="79"/>
      <c r="M747" s="86"/>
      <c r="U747" s="87"/>
      <c r="V747" s="87"/>
      <c r="W747" s="87"/>
      <c r="X747" s="87"/>
    </row>
    <row r="748" ht="15.75" customHeight="1">
      <c r="E748" s="82"/>
      <c r="G748" s="79"/>
      <c r="H748" s="79"/>
      <c r="M748" s="86"/>
      <c r="U748" s="87"/>
      <c r="V748" s="87"/>
      <c r="W748" s="87"/>
      <c r="X748" s="87"/>
    </row>
    <row r="749" ht="15.75" customHeight="1">
      <c r="E749" s="82"/>
      <c r="G749" s="79"/>
      <c r="H749" s="79"/>
      <c r="M749" s="86"/>
      <c r="U749" s="87"/>
      <c r="V749" s="87"/>
      <c r="W749" s="87"/>
      <c r="X749" s="87"/>
    </row>
    <row r="750" ht="15.75" customHeight="1">
      <c r="E750" s="82"/>
      <c r="G750" s="79"/>
      <c r="H750" s="79"/>
      <c r="M750" s="86"/>
      <c r="U750" s="87"/>
      <c r="V750" s="87"/>
      <c r="W750" s="87"/>
      <c r="X750" s="87"/>
    </row>
    <row r="751" ht="15.75" customHeight="1">
      <c r="E751" s="82"/>
      <c r="G751" s="79"/>
      <c r="H751" s="79"/>
      <c r="M751" s="86"/>
      <c r="U751" s="87"/>
      <c r="V751" s="87"/>
      <c r="W751" s="87"/>
      <c r="X751" s="87"/>
    </row>
    <row r="752" ht="15.75" customHeight="1">
      <c r="E752" s="82"/>
      <c r="G752" s="79"/>
      <c r="H752" s="79"/>
      <c r="M752" s="86"/>
      <c r="U752" s="87"/>
      <c r="V752" s="87"/>
      <c r="W752" s="87"/>
      <c r="X752" s="87"/>
    </row>
    <row r="753" ht="15.75" customHeight="1">
      <c r="E753" s="82"/>
      <c r="G753" s="79"/>
      <c r="H753" s="79"/>
      <c r="M753" s="86"/>
      <c r="U753" s="87"/>
      <c r="V753" s="87"/>
      <c r="W753" s="87"/>
      <c r="X753" s="87"/>
    </row>
    <row r="754" ht="15.75" customHeight="1">
      <c r="E754" s="82"/>
      <c r="G754" s="79"/>
      <c r="H754" s="79"/>
      <c r="M754" s="86"/>
      <c r="U754" s="87"/>
      <c r="V754" s="87"/>
      <c r="W754" s="87"/>
      <c r="X754" s="87"/>
    </row>
    <row r="755" ht="15.75" customHeight="1">
      <c r="E755" s="82"/>
      <c r="G755" s="79"/>
      <c r="H755" s="79"/>
      <c r="M755" s="86"/>
      <c r="U755" s="87"/>
      <c r="V755" s="87"/>
      <c r="W755" s="87"/>
      <c r="X755" s="87"/>
    </row>
    <row r="756" ht="15.75" customHeight="1">
      <c r="E756" s="82"/>
      <c r="G756" s="79"/>
      <c r="H756" s="79"/>
      <c r="M756" s="86"/>
      <c r="U756" s="87"/>
      <c r="V756" s="87"/>
      <c r="W756" s="87"/>
      <c r="X756" s="87"/>
    </row>
    <row r="757" ht="15.75" customHeight="1">
      <c r="E757" s="82"/>
      <c r="G757" s="79"/>
      <c r="H757" s="79"/>
      <c r="M757" s="86"/>
      <c r="U757" s="87"/>
      <c r="V757" s="87"/>
      <c r="W757" s="87"/>
      <c r="X757" s="87"/>
    </row>
    <row r="758" ht="15.75" customHeight="1">
      <c r="E758" s="82"/>
      <c r="G758" s="79"/>
      <c r="H758" s="79"/>
      <c r="M758" s="86"/>
      <c r="U758" s="87"/>
      <c r="V758" s="87"/>
      <c r="W758" s="87"/>
      <c r="X758" s="87"/>
    </row>
    <row r="759" ht="15.75" customHeight="1">
      <c r="E759" s="82"/>
      <c r="G759" s="79"/>
      <c r="H759" s="79"/>
      <c r="M759" s="86"/>
      <c r="U759" s="87"/>
      <c r="V759" s="87"/>
      <c r="W759" s="87"/>
      <c r="X759" s="87"/>
    </row>
    <row r="760" ht="15.75" customHeight="1">
      <c r="E760" s="82"/>
      <c r="G760" s="79"/>
      <c r="H760" s="79"/>
      <c r="M760" s="86"/>
      <c r="U760" s="87"/>
      <c r="V760" s="87"/>
      <c r="W760" s="87"/>
      <c r="X760" s="87"/>
    </row>
    <row r="761" ht="15.75" customHeight="1">
      <c r="E761" s="82"/>
      <c r="G761" s="79"/>
      <c r="H761" s="79"/>
      <c r="M761" s="86"/>
      <c r="U761" s="87"/>
      <c r="V761" s="87"/>
      <c r="W761" s="87"/>
      <c r="X761" s="87"/>
    </row>
    <row r="762" ht="15.75" customHeight="1">
      <c r="E762" s="82"/>
      <c r="G762" s="79"/>
      <c r="H762" s="79"/>
      <c r="M762" s="86"/>
      <c r="U762" s="87"/>
      <c r="V762" s="87"/>
      <c r="W762" s="87"/>
      <c r="X762" s="87"/>
    </row>
    <row r="763" ht="15.75" customHeight="1">
      <c r="E763" s="82"/>
      <c r="G763" s="79"/>
      <c r="H763" s="79"/>
      <c r="M763" s="86"/>
      <c r="U763" s="87"/>
      <c r="V763" s="87"/>
      <c r="W763" s="87"/>
      <c r="X763" s="87"/>
    </row>
    <row r="764" ht="15.75" customHeight="1">
      <c r="E764" s="82"/>
      <c r="G764" s="79"/>
      <c r="H764" s="79"/>
      <c r="M764" s="86"/>
      <c r="U764" s="87"/>
      <c r="V764" s="87"/>
      <c r="W764" s="87"/>
      <c r="X764" s="87"/>
    </row>
    <row r="765" ht="15.75" customHeight="1">
      <c r="E765" s="82"/>
      <c r="G765" s="79"/>
      <c r="H765" s="79"/>
      <c r="M765" s="86"/>
      <c r="U765" s="87"/>
      <c r="V765" s="87"/>
      <c r="W765" s="87"/>
      <c r="X765" s="87"/>
    </row>
    <row r="766" ht="15.75" customHeight="1">
      <c r="E766" s="82"/>
      <c r="G766" s="79"/>
      <c r="H766" s="79"/>
      <c r="M766" s="86"/>
      <c r="U766" s="87"/>
      <c r="V766" s="87"/>
      <c r="W766" s="87"/>
      <c r="X766" s="87"/>
    </row>
    <row r="767" ht="15.75" customHeight="1">
      <c r="E767" s="82"/>
      <c r="G767" s="79"/>
      <c r="H767" s="79"/>
      <c r="M767" s="86"/>
      <c r="U767" s="87"/>
      <c r="V767" s="87"/>
      <c r="W767" s="87"/>
      <c r="X767" s="87"/>
    </row>
    <row r="768" ht="15.75" customHeight="1">
      <c r="E768" s="82"/>
      <c r="G768" s="79"/>
      <c r="H768" s="79"/>
      <c r="M768" s="86"/>
      <c r="U768" s="87"/>
      <c r="V768" s="87"/>
      <c r="W768" s="87"/>
      <c r="X768" s="87"/>
    </row>
    <row r="769" ht="15.75" customHeight="1">
      <c r="E769" s="82"/>
      <c r="G769" s="79"/>
      <c r="H769" s="79"/>
      <c r="M769" s="86"/>
      <c r="U769" s="87"/>
      <c r="V769" s="87"/>
      <c r="W769" s="87"/>
      <c r="X769" s="87"/>
    </row>
    <row r="770" ht="15.75" customHeight="1">
      <c r="E770" s="82"/>
      <c r="G770" s="79"/>
      <c r="H770" s="79"/>
      <c r="M770" s="86"/>
      <c r="U770" s="87"/>
      <c r="V770" s="87"/>
      <c r="W770" s="87"/>
      <c r="X770" s="87"/>
    </row>
    <row r="771" ht="15.75" customHeight="1">
      <c r="E771" s="82"/>
      <c r="G771" s="79"/>
      <c r="H771" s="79"/>
      <c r="M771" s="86"/>
      <c r="U771" s="87"/>
      <c r="V771" s="87"/>
      <c r="W771" s="87"/>
      <c r="X771" s="87"/>
    </row>
    <row r="772" ht="15.75" customHeight="1">
      <c r="E772" s="82"/>
      <c r="G772" s="79"/>
      <c r="H772" s="79"/>
      <c r="M772" s="86"/>
      <c r="U772" s="87"/>
      <c r="V772" s="87"/>
      <c r="W772" s="87"/>
      <c r="X772" s="87"/>
    </row>
    <row r="773" ht="15.75" customHeight="1">
      <c r="E773" s="82"/>
      <c r="G773" s="79"/>
      <c r="H773" s="79"/>
      <c r="M773" s="86"/>
      <c r="U773" s="87"/>
      <c r="V773" s="87"/>
      <c r="W773" s="87"/>
      <c r="X773" s="87"/>
    </row>
    <row r="774" ht="15.75" customHeight="1">
      <c r="E774" s="82"/>
      <c r="G774" s="79"/>
      <c r="H774" s="79"/>
      <c r="M774" s="86"/>
      <c r="U774" s="87"/>
      <c r="V774" s="87"/>
      <c r="W774" s="87"/>
      <c r="X774" s="87"/>
    </row>
    <row r="775" ht="15.75" customHeight="1">
      <c r="E775" s="82"/>
      <c r="G775" s="79"/>
      <c r="H775" s="79"/>
      <c r="M775" s="86"/>
      <c r="U775" s="87"/>
      <c r="V775" s="87"/>
      <c r="W775" s="87"/>
      <c r="X775" s="87"/>
    </row>
    <row r="776" ht="15.75" customHeight="1">
      <c r="E776" s="82"/>
      <c r="G776" s="79"/>
      <c r="H776" s="79"/>
      <c r="M776" s="86"/>
      <c r="U776" s="87"/>
      <c r="V776" s="87"/>
      <c r="W776" s="87"/>
      <c r="X776" s="87"/>
    </row>
    <row r="777" ht="15.75" customHeight="1">
      <c r="E777" s="82"/>
      <c r="G777" s="79"/>
      <c r="H777" s="79"/>
      <c r="M777" s="86"/>
      <c r="U777" s="87"/>
      <c r="V777" s="87"/>
      <c r="W777" s="87"/>
      <c r="X777" s="87"/>
    </row>
    <row r="778" ht="15.75" customHeight="1">
      <c r="E778" s="82"/>
      <c r="G778" s="79"/>
      <c r="H778" s="79"/>
      <c r="M778" s="86"/>
      <c r="U778" s="87"/>
      <c r="V778" s="87"/>
      <c r="W778" s="87"/>
      <c r="X778" s="87"/>
    </row>
    <row r="779" ht="15.75" customHeight="1">
      <c r="E779" s="82"/>
      <c r="G779" s="79"/>
      <c r="H779" s="79"/>
      <c r="M779" s="86"/>
      <c r="U779" s="87"/>
      <c r="V779" s="87"/>
      <c r="W779" s="87"/>
      <c r="X779" s="87"/>
    </row>
    <row r="780" ht="15.75" customHeight="1">
      <c r="E780" s="82"/>
      <c r="G780" s="79"/>
      <c r="H780" s="79"/>
      <c r="M780" s="86"/>
      <c r="U780" s="87"/>
      <c r="V780" s="87"/>
      <c r="W780" s="87"/>
      <c r="X780" s="87"/>
    </row>
    <row r="781" ht="15.75" customHeight="1">
      <c r="E781" s="82"/>
      <c r="G781" s="79"/>
      <c r="H781" s="79"/>
      <c r="M781" s="86"/>
      <c r="U781" s="87"/>
      <c r="V781" s="87"/>
      <c r="W781" s="87"/>
      <c r="X781" s="87"/>
    </row>
    <row r="782" ht="15.75" customHeight="1">
      <c r="E782" s="82"/>
      <c r="G782" s="79"/>
      <c r="H782" s="79"/>
      <c r="M782" s="86"/>
      <c r="U782" s="87"/>
      <c r="V782" s="87"/>
      <c r="W782" s="87"/>
      <c r="X782" s="87"/>
    </row>
    <row r="783" ht="15.75" customHeight="1">
      <c r="E783" s="82"/>
      <c r="G783" s="79"/>
      <c r="H783" s="79"/>
      <c r="M783" s="86"/>
      <c r="U783" s="87"/>
      <c r="V783" s="87"/>
      <c r="W783" s="87"/>
      <c r="X783" s="87"/>
    </row>
    <row r="784" ht="15.75" customHeight="1">
      <c r="E784" s="82"/>
      <c r="G784" s="79"/>
      <c r="H784" s="79"/>
      <c r="M784" s="86"/>
      <c r="U784" s="87"/>
      <c r="V784" s="87"/>
      <c r="W784" s="87"/>
      <c r="X784" s="87"/>
    </row>
    <row r="785" ht="15.75" customHeight="1">
      <c r="E785" s="82"/>
      <c r="G785" s="79"/>
      <c r="H785" s="79"/>
      <c r="M785" s="86"/>
      <c r="U785" s="87"/>
      <c r="V785" s="87"/>
      <c r="W785" s="87"/>
      <c r="X785" s="87"/>
    </row>
    <row r="786" ht="15.75" customHeight="1">
      <c r="E786" s="82"/>
      <c r="G786" s="79"/>
      <c r="H786" s="79"/>
      <c r="M786" s="86"/>
      <c r="U786" s="87"/>
      <c r="V786" s="87"/>
      <c r="W786" s="87"/>
      <c r="X786" s="87"/>
    </row>
    <row r="787" ht="15.75" customHeight="1">
      <c r="E787" s="82"/>
      <c r="G787" s="79"/>
      <c r="H787" s="79"/>
      <c r="M787" s="86"/>
      <c r="U787" s="87"/>
      <c r="V787" s="87"/>
      <c r="W787" s="87"/>
      <c r="X787" s="87"/>
    </row>
    <row r="788" ht="15.75" customHeight="1">
      <c r="E788" s="82"/>
      <c r="G788" s="79"/>
      <c r="H788" s="79"/>
      <c r="M788" s="86"/>
      <c r="U788" s="87"/>
      <c r="V788" s="87"/>
      <c r="W788" s="87"/>
      <c r="X788" s="87"/>
    </row>
    <row r="789" ht="15.75" customHeight="1">
      <c r="E789" s="82"/>
      <c r="G789" s="79"/>
      <c r="H789" s="79"/>
      <c r="M789" s="86"/>
      <c r="U789" s="87"/>
      <c r="V789" s="87"/>
      <c r="W789" s="87"/>
      <c r="X789" s="87"/>
    </row>
    <row r="790" ht="15.75" customHeight="1">
      <c r="E790" s="82"/>
      <c r="G790" s="79"/>
      <c r="H790" s="79"/>
      <c r="M790" s="86"/>
      <c r="U790" s="87"/>
      <c r="V790" s="87"/>
      <c r="W790" s="87"/>
      <c r="X790" s="87"/>
    </row>
    <row r="791" ht="15.75" customHeight="1">
      <c r="E791" s="82"/>
      <c r="G791" s="79"/>
      <c r="H791" s="79"/>
      <c r="M791" s="86"/>
      <c r="U791" s="87"/>
      <c r="V791" s="87"/>
      <c r="W791" s="87"/>
      <c r="X791" s="87"/>
    </row>
    <row r="792" ht="15.75" customHeight="1">
      <c r="E792" s="82"/>
      <c r="G792" s="79"/>
      <c r="H792" s="79"/>
      <c r="M792" s="86"/>
      <c r="U792" s="87"/>
      <c r="V792" s="87"/>
      <c r="W792" s="87"/>
      <c r="X792" s="87"/>
    </row>
    <row r="793" ht="15.75" customHeight="1">
      <c r="E793" s="82"/>
      <c r="G793" s="79"/>
      <c r="H793" s="79"/>
      <c r="M793" s="86"/>
      <c r="U793" s="87"/>
      <c r="V793" s="87"/>
      <c r="W793" s="87"/>
      <c r="X793" s="87"/>
    </row>
    <row r="794" ht="15.75" customHeight="1">
      <c r="E794" s="82"/>
      <c r="G794" s="79"/>
      <c r="H794" s="79"/>
      <c r="M794" s="86"/>
      <c r="U794" s="87"/>
      <c r="V794" s="87"/>
      <c r="W794" s="87"/>
      <c r="X794" s="87"/>
    </row>
    <row r="795" ht="15.75" customHeight="1">
      <c r="E795" s="82"/>
      <c r="G795" s="79"/>
      <c r="H795" s="79"/>
      <c r="M795" s="86"/>
      <c r="U795" s="87"/>
      <c r="V795" s="87"/>
      <c r="W795" s="87"/>
      <c r="X795" s="87"/>
    </row>
    <row r="796" ht="15.75" customHeight="1">
      <c r="E796" s="82"/>
      <c r="G796" s="79"/>
      <c r="H796" s="79"/>
      <c r="M796" s="86"/>
      <c r="U796" s="87"/>
      <c r="V796" s="87"/>
      <c r="W796" s="87"/>
      <c r="X796" s="87"/>
    </row>
    <row r="797" ht="15.75" customHeight="1">
      <c r="E797" s="82"/>
      <c r="G797" s="79"/>
      <c r="H797" s="79"/>
      <c r="M797" s="86"/>
      <c r="U797" s="87"/>
      <c r="V797" s="87"/>
      <c r="W797" s="87"/>
      <c r="X797" s="87"/>
    </row>
    <row r="798" ht="15.75" customHeight="1">
      <c r="E798" s="82"/>
      <c r="G798" s="79"/>
      <c r="H798" s="79"/>
      <c r="M798" s="86"/>
      <c r="U798" s="87"/>
      <c r="V798" s="87"/>
      <c r="W798" s="87"/>
      <c r="X798" s="87"/>
    </row>
    <row r="799" ht="15.75" customHeight="1">
      <c r="E799" s="82"/>
      <c r="G799" s="79"/>
      <c r="H799" s="79"/>
      <c r="M799" s="86"/>
      <c r="U799" s="87"/>
      <c r="V799" s="87"/>
      <c r="W799" s="87"/>
      <c r="X799" s="87"/>
    </row>
    <row r="800" ht="15.75" customHeight="1">
      <c r="E800" s="82"/>
      <c r="G800" s="79"/>
      <c r="H800" s="79"/>
      <c r="M800" s="86"/>
      <c r="U800" s="87"/>
      <c r="V800" s="87"/>
      <c r="W800" s="87"/>
      <c r="X800" s="87"/>
    </row>
    <row r="801" ht="15.75" customHeight="1">
      <c r="E801" s="82"/>
      <c r="G801" s="79"/>
      <c r="H801" s="79"/>
      <c r="M801" s="86"/>
      <c r="U801" s="87"/>
      <c r="V801" s="87"/>
      <c r="W801" s="87"/>
      <c r="X801" s="87"/>
    </row>
    <row r="802" ht="15.75" customHeight="1">
      <c r="E802" s="82"/>
      <c r="G802" s="79"/>
      <c r="H802" s="79"/>
      <c r="M802" s="86"/>
      <c r="U802" s="87"/>
      <c r="V802" s="87"/>
      <c r="W802" s="87"/>
      <c r="X802" s="87"/>
    </row>
    <row r="803" ht="15.75" customHeight="1">
      <c r="E803" s="82"/>
      <c r="G803" s="79"/>
      <c r="H803" s="79"/>
      <c r="M803" s="86"/>
      <c r="U803" s="87"/>
      <c r="V803" s="87"/>
      <c r="W803" s="87"/>
      <c r="X803" s="87"/>
    </row>
    <row r="804" ht="15.75" customHeight="1">
      <c r="E804" s="82"/>
      <c r="G804" s="79"/>
      <c r="H804" s="79"/>
      <c r="M804" s="86"/>
      <c r="U804" s="87"/>
      <c r="V804" s="87"/>
      <c r="W804" s="87"/>
      <c r="X804" s="87"/>
    </row>
    <row r="805" ht="15.75" customHeight="1">
      <c r="E805" s="82"/>
      <c r="G805" s="79"/>
      <c r="H805" s="79"/>
      <c r="M805" s="86"/>
      <c r="U805" s="87"/>
      <c r="V805" s="87"/>
      <c r="W805" s="87"/>
      <c r="X805" s="87"/>
    </row>
    <row r="806" ht="15.75" customHeight="1">
      <c r="E806" s="82"/>
      <c r="G806" s="79"/>
      <c r="H806" s="79"/>
      <c r="M806" s="86"/>
      <c r="U806" s="87"/>
      <c r="V806" s="87"/>
      <c r="W806" s="87"/>
      <c r="X806" s="87"/>
    </row>
    <row r="807" ht="15.75" customHeight="1">
      <c r="E807" s="82"/>
      <c r="G807" s="79"/>
      <c r="H807" s="79"/>
      <c r="M807" s="86"/>
      <c r="U807" s="87"/>
      <c r="V807" s="87"/>
      <c r="W807" s="87"/>
      <c r="X807" s="87"/>
    </row>
    <row r="808" ht="15.75" customHeight="1">
      <c r="E808" s="82"/>
      <c r="G808" s="79"/>
      <c r="H808" s="79"/>
      <c r="M808" s="86"/>
      <c r="U808" s="87"/>
      <c r="V808" s="87"/>
      <c r="W808" s="87"/>
      <c r="X808" s="87"/>
    </row>
    <row r="809" ht="15.75" customHeight="1">
      <c r="E809" s="82"/>
      <c r="G809" s="79"/>
      <c r="H809" s="79"/>
      <c r="M809" s="86"/>
      <c r="U809" s="87"/>
      <c r="V809" s="87"/>
      <c r="W809" s="87"/>
      <c r="X809" s="87"/>
    </row>
    <row r="810" ht="15.75" customHeight="1">
      <c r="E810" s="82"/>
      <c r="G810" s="79"/>
      <c r="H810" s="79"/>
      <c r="M810" s="86"/>
      <c r="U810" s="87"/>
      <c r="V810" s="87"/>
      <c r="W810" s="87"/>
      <c r="X810" s="87"/>
    </row>
    <row r="811" ht="15.75" customHeight="1">
      <c r="E811" s="82"/>
      <c r="G811" s="79"/>
      <c r="H811" s="79"/>
      <c r="M811" s="86"/>
      <c r="U811" s="87"/>
      <c r="V811" s="87"/>
      <c r="W811" s="87"/>
      <c r="X811" s="87"/>
    </row>
    <row r="812" ht="15.75" customHeight="1">
      <c r="E812" s="82"/>
      <c r="G812" s="79"/>
      <c r="H812" s="79"/>
      <c r="M812" s="86"/>
      <c r="U812" s="87"/>
      <c r="V812" s="87"/>
      <c r="W812" s="87"/>
      <c r="X812" s="87"/>
    </row>
    <row r="813" ht="15.75" customHeight="1">
      <c r="E813" s="82"/>
      <c r="G813" s="79"/>
      <c r="H813" s="79"/>
      <c r="M813" s="86"/>
      <c r="U813" s="87"/>
      <c r="V813" s="87"/>
      <c r="W813" s="87"/>
      <c r="X813" s="87"/>
    </row>
    <row r="814" ht="15.75" customHeight="1">
      <c r="E814" s="82"/>
      <c r="G814" s="79"/>
      <c r="H814" s="79"/>
      <c r="M814" s="86"/>
      <c r="U814" s="87"/>
      <c r="V814" s="87"/>
      <c r="W814" s="87"/>
      <c r="X814" s="87"/>
    </row>
    <row r="815" ht="15.75" customHeight="1">
      <c r="E815" s="82"/>
      <c r="G815" s="79"/>
      <c r="H815" s="79"/>
      <c r="M815" s="86"/>
      <c r="U815" s="87"/>
      <c r="V815" s="87"/>
      <c r="W815" s="87"/>
      <c r="X815" s="87"/>
    </row>
    <row r="816" ht="15.75" customHeight="1">
      <c r="E816" s="82"/>
      <c r="G816" s="79"/>
      <c r="H816" s="79"/>
      <c r="M816" s="86"/>
      <c r="U816" s="87"/>
      <c r="V816" s="87"/>
      <c r="W816" s="87"/>
      <c r="X816" s="87"/>
    </row>
    <row r="817" ht="15.75" customHeight="1">
      <c r="E817" s="82"/>
      <c r="G817" s="79"/>
      <c r="H817" s="79"/>
      <c r="M817" s="86"/>
      <c r="U817" s="87"/>
      <c r="V817" s="87"/>
      <c r="W817" s="87"/>
      <c r="X817" s="87"/>
    </row>
    <row r="818" ht="15.75" customHeight="1">
      <c r="E818" s="82"/>
      <c r="G818" s="79"/>
      <c r="H818" s="79"/>
      <c r="M818" s="86"/>
      <c r="U818" s="87"/>
      <c r="V818" s="87"/>
      <c r="W818" s="87"/>
      <c r="X818" s="87"/>
    </row>
    <row r="819" ht="15.75" customHeight="1">
      <c r="E819" s="82"/>
      <c r="G819" s="79"/>
      <c r="H819" s="79"/>
      <c r="M819" s="86"/>
      <c r="U819" s="87"/>
      <c r="V819" s="87"/>
      <c r="W819" s="87"/>
      <c r="X819" s="87"/>
    </row>
    <row r="820" ht="15.75" customHeight="1">
      <c r="E820" s="82"/>
      <c r="G820" s="79"/>
      <c r="H820" s="79"/>
      <c r="M820" s="86"/>
      <c r="U820" s="87"/>
      <c r="V820" s="87"/>
      <c r="W820" s="87"/>
      <c r="X820" s="87"/>
    </row>
    <row r="821" ht="15.75" customHeight="1">
      <c r="E821" s="82"/>
      <c r="G821" s="79"/>
      <c r="H821" s="79"/>
      <c r="M821" s="86"/>
      <c r="U821" s="87"/>
      <c r="V821" s="87"/>
      <c r="W821" s="87"/>
      <c r="X821" s="87"/>
    </row>
    <row r="822" ht="15.75" customHeight="1">
      <c r="E822" s="82"/>
      <c r="G822" s="79"/>
      <c r="H822" s="79"/>
      <c r="M822" s="86"/>
      <c r="U822" s="87"/>
      <c r="V822" s="87"/>
      <c r="W822" s="87"/>
      <c r="X822" s="87"/>
    </row>
    <row r="823" ht="15.75" customHeight="1">
      <c r="E823" s="82"/>
      <c r="G823" s="79"/>
      <c r="H823" s="79"/>
      <c r="M823" s="86"/>
      <c r="U823" s="87"/>
      <c r="V823" s="87"/>
      <c r="W823" s="87"/>
      <c r="X823" s="87"/>
    </row>
    <row r="824" ht="15.75" customHeight="1">
      <c r="E824" s="82"/>
      <c r="G824" s="79"/>
      <c r="H824" s="79"/>
      <c r="M824" s="86"/>
      <c r="U824" s="87"/>
      <c r="V824" s="87"/>
      <c r="W824" s="87"/>
      <c r="X824" s="87"/>
    </row>
    <row r="825" ht="15.75" customHeight="1">
      <c r="E825" s="82"/>
      <c r="G825" s="79"/>
      <c r="H825" s="79"/>
      <c r="M825" s="86"/>
      <c r="U825" s="87"/>
      <c r="V825" s="87"/>
      <c r="W825" s="87"/>
      <c r="X825" s="87"/>
    </row>
    <row r="826" ht="15.75" customHeight="1">
      <c r="E826" s="82"/>
      <c r="G826" s="79"/>
      <c r="H826" s="79"/>
      <c r="M826" s="86"/>
      <c r="U826" s="87"/>
      <c r="V826" s="87"/>
      <c r="W826" s="87"/>
      <c r="X826" s="87"/>
    </row>
    <row r="827" ht="15.75" customHeight="1">
      <c r="E827" s="82"/>
      <c r="G827" s="79"/>
      <c r="H827" s="79"/>
      <c r="M827" s="86"/>
      <c r="U827" s="87"/>
      <c r="V827" s="87"/>
      <c r="W827" s="87"/>
      <c r="X827" s="87"/>
    </row>
    <row r="828" ht="15.75" customHeight="1">
      <c r="E828" s="82"/>
      <c r="G828" s="79"/>
      <c r="H828" s="79"/>
      <c r="M828" s="86"/>
      <c r="U828" s="87"/>
      <c r="V828" s="87"/>
      <c r="W828" s="87"/>
      <c r="X828" s="87"/>
    </row>
    <row r="829" ht="15.75" customHeight="1">
      <c r="E829" s="82"/>
      <c r="G829" s="79"/>
      <c r="H829" s="79"/>
      <c r="M829" s="86"/>
      <c r="U829" s="87"/>
      <c r="V829" s="87"/>
      <c r="W829" s="87"/>
      <c r="X829" s="87"/>
    </row>
    <row r="830" ht="15.75" customHeight="1">
      <c r="E830" s="82"/>
      <c r="G830" s="79"/>
      <c r="H830" s="79"/>
      <c r="M830" s="86"/>
      <c r="U830" s="87"/>
      <c r="V830" s="87"/>
      <c r="W830" s="87"/>
      <c r="X830" s="87"/>
    </row>
    <row r="831" ht="15.75" customHeight="1">
      <c r="E831" s="82"/>
      <c r="G831" s="79"/>
      <c r="H831" s="79"/>
      <c r="M831" s="86"/>
      <c r="U831" s="87"/>
      <c r="V831" s="87"/>
      <c r="W831" s="87"/>
      <c r="X831" s="87"/>
    </row>
    <row r="832" ht="15.75" customHeight="1">
      <c r="E832" s="82"/>
      <c r="G832" s="79"/>
      <c r="H832" s="79"/>
      <c r="M832" s="86"/>
      <c r="U832" s="87"/>
      <c r="V832" s="87"/>
      <c r="W832" s="87"/>
      <c r="X832" s="87"/>
    </row>
    <row r="833" ht="15.75" customHeight="1">
      <c r="E833" s="82"/>
      <c r="G833" s="79"/>
      <c r="H833" s="79"/>
      <c r="M833" s="86"/>
      <c r="U833" s="87"/>
      <c r="V833" s="87"/>
      <c r="W833" s="87"/>
      <c r="X833" s="87"/>
    </row>
    <row r="834" ht="15.75" customHeight="1">
      <c r="E834" s="82"/>
      <c r="G834" s="79"/>
      <c r="H834" s="79"/>
      <c r="M834" s="86"/>
      <c r="U834" s="87"/>
      <c r="V834" s="87"/>
      <c r="W834" s="87"/>
      <c r="X834" s="87"/>
    </row>
    <row r="835" ht="15.75" customHeight="1">
      <c r="E835" s="82"/>
      <c r="G835" s="79"/>
      <c r="H835" s="79"/>
      <c r="M835" s="86"/>
      <c r="U835" s="87"/>
      <c r="V835" s="87"/>
      <c r="W835" s="87"/>
      <c r="X835" s="87"/>
    </row>
    <row r="836" ht="15.75" customHeight="1">
      <c r="E836" s="82"/>
      <c r="G836" s="79"/>
      <c r="H836" s="79"/>
      <c r="M836" s="86"/>
      <c r="U836" s="87"/>
      <c r="V836" s="87"/>
      <c r="W836" s="87"/>
      <c r="X836" s="87"/>
    </row>
    <row r="837" ht="15.75" customHeight="1">
      <c r="E837" s="82"/>
      <c r="G837" s="79"/>
      <c r="H837" s="79"/>
      <c r="M837" s="86"/>
      <c r="U837" s="87"/>
      <c r="V837" s="87"/>
      <c r="W837" s="87"/>
      <c r="X837" s="87"/>
    </row>
    <row r="838" ht="15.75" customHeight="1">
      <c r="E838" s="82"/>
      <c r="G838" s="79"/>
      <c r="H838" s="79"/>
      <c r="M838" s="86"/>
      <c r="U838" s="87"/>
      <c r="V838" s="87"/>
      <c r="W838" s="87"/>
      <c r="X838" s="87"/>
    </row>
    <row r="839" ht="15.75" customHeight="1">
      <c r="E839" s="82"/>
      <c r="G839" s="79"/>
      <c r="H839" s="79"/>
      <c r="M839" s="86"/>
      <c r="U839" s="87"/>
      <c r="V839" s="87"/>
      <c r="W839" s="87"/>
      <c r="X839" s="87"/>
    </row>
    <row r="840" ht="15.75" customHeight="1">
      <c r="E840" s="82"/>
      <c r="G840" s="79"/>
      <c r="H840" s="79"/>
      <c r="M840" s="86"/>
      <c r="U840" s="87"/>
      <c r="V840" s="87"/>
      <c r="W840" s="87"/>
      <c r="X840" s="87"/>
    </row>
    <row r="841" ht="15.75" customHeight="1">
      <c r="E841" s="82"/>
      <c r="G841" s="79"/>
      <c r="H841" s="79"/>
      <c r="M841" s="86"/>
      <c r="U841" s="87"/>
      <c r="V841" s="87"/>
      <c r="W841" s="87"/>
      <c r="X841" s="87"/>
    </row>
    <row r="842" ht="15.75" customHeight="1">
      <c r="E842" s="82"/>
      <c r="G842" s="79"/>
      <c r="H842" s="79"/>
      <c r="M842" s="86"/>
      <c r="U842" s="87"/>
      <c r="V842" s="87"/>
      <c r="W842" s="87"/>
      <c r="X842" s="87"/>
    </row>
    <row r="843" ht="15.75" customHeight="1">
      <c r="E843" s="82"/>
      <c r="G843" s="79"/>
      <c r="H843" s="79"/>
      <c r="M843" s="86"/>
      <c r="U843" s="87"/>
      <c r="V843" s="87"/>
      <c r="W843" s="87"/>
      <c r="X843" s="87"/>
    </row>
    <row r="844" ht="15.75" customHeight="1">
      <c r="E844" s="82"/>
      <c r="G844" s="79"/>
      <c r="H844" s="79"/>
      <c r="M844" s="86"/>
      <c r="U844" s="87"/>
      <c r="V844" s="87"/>
      <c r="W844" s="87"/>
      <c r="X844" s="87"/>
    </row>
    <row r="845" ht="15.75" customHeight="1">
      <c r="E845" s="82"/>
      <c r="G845" s="79"/>
      <c r="H845" s="79"/>
      <c r="M845" s="86"/>
      <c r="U845" s="87"/>
      <c r="V845" s="87"/>
      <c r="W845" s="87"/>
      <c r="X845" s="87"/>
    </row>
    <row r="846" ht="15.75" customHeight="1">
      <c r="E846" s="82"/>
      <c r="G846" s="79"/>
      <c r="H846" s="79"/>
      <c r="M846" s="86"/>
      <c r="U846" s="87"/>
      <c r="V846" s="87"/>
      <c r="W846" s="87"/>
      <c r="X846" s="87"/>
    </row>
    <row r="847" ht="15.75" customHeight="1">
      <c r="E847" s="82"/>
      <c r="G847" s="79"/>
      <c r="H847" s="79"/>
      <c r="M847" s="86"/>
      <c r="U847" s="87"/>
      <c r="V847" s="87"/>
      <c r="W847" s="87"/>
      <c r="X847" s="87"/>
    </row>
    <row r="848" ht="15.75" customHeight="1">
      <c r="E848" s="82"/>
      <c r="G848" s="79"/>
      <c r="H848" s="79"/>
      <c r="M848" s="86"/>
      <c r="U848" s="87"/>
      <c r="V848" s="87"/>
      <c r="W848" s="87"/>
      <c r="X848" s="87"/>
    </row>
    <row r="849" ht="15.75" customHeight="1">
      <c r="E849" s="82"/>
      <c r="G849" s="79"/>
      <c r="H849" s="79"/>
      <c r="M849" s="86"/>
      <c r="U849" s="87"/>
      <c r="V849" s="87"/>
      <c r="W849" s="87"/>
      <c r="X849" s="87"/>
    </row>
    <row r="850" ht="15.75" customHeight="1">
      <c r="E850" s="82"/>
      <c r="G850" s="79"/>
      <c r="H850" s="79"/>
      <c r="M850" s="86"/>
      <c r="U850" s="87"/>
      <c r="V850" s="87"/>
      <c r="W850" s="87"/>
      <c r="X850" s="87"/>
    </row>
    <row r="851" ht="15.75" customHeight="1">
      <c r="E851" s="82"/>
      <c r="G851" s="79"/>
      <c r="H851" s="79"/>
      <c r="M851" s="86"/>
      <c r="U851" s="87"/>
      <c r="V851" s="87"/>
      <c r="W851" s="87"/>
      <c r="X851" s="87"/>
    </row>
    <row r="852" ht="15.75" customHeight="1">
      <c r="E852" s="82"/>
      <c r="G852" s="79"/>
      <c r="H852" s="79"/>
      <c r="M852" s="86"/>
      <c r="U852" s="87"/>
      <c r="V852" s="87"/>
      <c r="W852" s="87"/>
      <c r="X852" s="87"/>
    </row>
    <row r="853" ht="15.75" customHeight="1">
      <c r="E853" s="82"/>
      <c r="G853" s="79"/>
      <c r="H853" s="79"/>
      <c r="M853" s="86"/>
      <c r="U853" s="87"/>
      <c r="V853" s="87"/>
      <c r="W853" s="87"/>
      <c r="X853" s="87"/>
    </row>
    <row r="854" ht="15.75" customHeight="1">
      <c r="E854" s="82"/>
      <c r="G854" s="79"/>
      <c r="H854" s="79"/>
      <c r="M854" s="86"/>
      <c r="U854" s="87"/>
      <c r="V854" s="87"/>
      <c r="W854" s="87"/>
      <c r="X854" s="87"/>
    </row>
    <row r="855" ht="15.75" customHeight="1">
      <c r="E855" s="82"/>
      <c r="G855" s="79"/>
      <c r="H855" s="79"/>
      <c r="M855" s="86"/>
      <c r="U855" s="87"/>
      <c r="V855" s="87"/>
      <c r="W855" s="87"/>
      <c r="X855" s="87"/>
    </row>
    <row r="856" ht="15.75" customHeight="1">
      <c r="E856" s="82"/>
      <c r="G856" s="79"/>
      <c r="H856" s="79"/>
      <c r="M856" s="86"/>
      <c r="U856" s="87"/>
      <c r="V856" s="87"/>
      <c r="W856" s="87"/>
      <c r="X856" s="87"/>
    </row>
    <row r="857" ht="15.75" customHeight="1">
      <c r="E857" s="82"/>
      <c r="G857" s="79"/>
      <c r="H857" s="79"/>
      <c r="M857" s="86"/>
      <c r="U857" s="87"/>
      <c r="V857" s="87"/>
      <c r="W857" s="87"/>
      <c r="X857" s="87"/>
    </row>
    <row r="858" ht="15.75" customHeight="1">
      <c r="E858" s="82"/>
      <c r="G858" s="79"/>
      <c r="H858" s="79"/>
      <c r="M858" s="86"/>
      <c r="U858" s="87"/>
      <c r="V858" s="87"/>
      <c r="W858" s="87"/>
      <c r="X858" s="87"/>
    </row>
    <row r="859" ht="15.75" customHeight="1">
      <c r="E859" s="82"/>
      <c r="G859" s="79"/>
      <c r="H859" s="79"/>
      <c r="M859" s="86"/>
      <c r="U859" s="87"/>
      <c r="V859" s="87"/>
      <c r="W859" s="87"/>
      <c r="X859" s="87"/>
    </row>
    <row r="860" ht="15.75" customHeight="1">
      <c r="E860" s="82"/>
      <c r="G860" s="79"/>
      <c r="H860" s="79"/>
      <c r="M860" s="86"/>
      <c r="U860" s="87"/>
      <c r="V860" s="87"/>
      <c r="W860" s="87"/>
      <c r="X860" s="87"/>
    </row>
    <row r="861" ht="15.75" customHeight="1">
      <c r="E861" s="82"/>
      <c r="G861" s="79"/>
      <c r="H861" s="79"/>
      <c r="M861" s="86"/>
      <c r="U861" s="87"/>
      <c r="V861" s="87"/>
      <c r="W861" s="87"/>
      <c r="X861" s="87"/>
    </row>
    <row r="862" ht="15.75" customHeight="1">
      <c r="E862" s="82"/>
      <c r="G862" s="79"/>
      <c r="H862" s="79"/>
      <c r="M862" s="86"/>
      <c r="U862" s="87"/>
      <c r="V862" s="87"/>
      <c r="W862" s="87"/>
      <c r="X862" s="87"/>
    </row>
    <row r="863" ht="15.75" customHeight="1">
      <c r="E863" s="82"/>
      <c r="G863" s="79"/>
      <c r="H863" s="79"/>
      <c r="M863" s="86"/>
      <c r="U863" s="87"/>
      <c r="V863" s="87"/>
      <c r="W863" s="87"/>
      <c r="X863" s="87"/>
    </row>
    <row r="864" ht="15.75" customHeight="1">
      <c r="E864" s="82"/>
      <c r="G864" s="79"/>
      <c r="H864" s="79"/>
      <c r="M864" s="86"/>
      <c r="U864" s="87"/>
      <c r="V864" s="87"/>
      <c r="W864" s="87"/>
      <c r="X864" s="87"/>
    </row>
    <row r="865" ht="15.75" customHeight="1">
      <c r="E865" s="82"/>
      <c r="G865" s="79"/>
      <c r="H865" s="79"/>
      <c r="M865" s="86"/>
      <c r="U865" s="87"/>
      <c r="V865" s="87"/>
      <c r="W865" s="87"/>
      <c r="X865" s="87"/>
    </row>
    <row r="866" ht="15.75" customHeight="1">
      <c r="E866" s="82"/>
      <c r="G866" s="79"/>
      <c r="H866" s="79"/>
      <c r="M866" s="86"/>
      <c r="U866" s="87"/>
      <c r="V866" s="87"/>
      <c r="W866" s="87"/>
      <c r="X866" s="87"/>
    </row>
    <row r="867" ht="15.75" customHeight="1">
      <c r="E867" s="82"/>
      <c r="G867" s="79"/>
      <c r="H867" s="79"/>
      <c r="M867" s="86"/>
      <c r="U867" s="87"/>
      <c r="V867" s="87"/>
      <c r="W867" s="87"/>
      <c r="X867" s="87"/>
    </row>
    <row r="868" ht="15.75" customHeight="1">
      <c r="E868" s="82"/>
      <c r="G868" s="79"/>
      <c r="H868" s="79"/>
      <c r="M868" s="86"/>
      <c r="U868" s="87"/>
      <c r="V868" s="87"/>
      <c r="W868" s="87"/>
      <c r="X868" s="87"/>
    </row>
    <row r="869" ht="15.75" customHeight="1">
      <c r="E869" s="82"/>
      <c r="G869" s="79"/>
      <c r="H869" s="79"/>
      <c r="M869" s="86"/>
      <c r="U869" s="87"/>
      <c r="V869" s="87"/>
      <c r="W869" s="87"/>
      <c r="X869" s="87"/>
    </row>
    <row r="870" ht="15.75" customHeight="1">
      <c r="E870" s="82"/>
      <c r="G870" s="79"/>
      <c r="H870" s="79"/>
      <c r="M870" s="86"/>
      <c r="U870" s="87"/>
      <c r="V870" s="87"/>
      <c r="W870" s="87"/>
      <c r="X870" s="87"/>
    </row>
    <row r="871" ht="15.75" customHeight="1">
      <c r="E871" s="82"/>
      <c r="G871" s="79"/>
      <c r="H871" s="79"/>
      <c r="M871" s="86"/>
      <c r="U871" s="87"/>
      <c r="V871" s="87"/>
      <c r="W871" s="87"/>
      <c r="X871" s="87"/>
    </row>
    <row r="872" ht="15.75" customHeight="1">
      <c r="E872" s="82"/>
      <c r="G872" s="79"/>
      <c r="H872" s="79"/>
      <c r="M872" s="86"/>
      <c r="U872" s="87"/>
      <c r="V872" s="87"/>
      <c r="W872" s="87"/>
      <c r="X872" s="87"/>
    </row>
    <row r="873" ht="15.75" customHeight="1">
      <c r="E873" s="82"/>
      <c r="G873" s="79"/>
      <c r="H873" s="79"/>
      <c r="M873" s="86"/>
      <c r="U873" s="87"/>
      <c r="V873" s="87"/>
      <c r="W873" s="87"/>
      <c r="X873" s="87"/>
    </row>
    <row r="874" ht="15.75" customHeight="1">
      <c r="E874" s="82"/>
      <c r="G874" s="79"/>
      <c r="H874" s="79"/>
      <c r="M874" s="86"/>
      <c r="U874" s="87"/>
      <c r="V874" s="87"/>
      <c r="W874" s="87"/>
      <c r="X874" s="87"/>
    </row>
    <row r="875" ht="15.75" customHeight="1">
      <c r="E875" s="82"/>
      <c r="G875" s="79"/>
      <c r="H875" s="79"/>
      <c r="M875" s="86"/>
      <c r="U875" s="87"/>
      <c r="V875" s="87"/>
      <c r="W875" s="87"/>
      <c r="X875" s="87"/>
    </row>
    <row r="876" ht="15.75" customHeight="1">
      <c r="E876" s="82"/>
      <c r="G876" s="79"/>
      <c r="H876" s="79"/>
      <c r="M876" s="86"/>
      <c r="U876" s="87"/>
      <c r="V876" s="87"/>
      <c r="W876" s="87"/>
      <c r="X876" s="87"/>
    </row>
    <row r="877" ht="15.75" customHeight="1">
      <c r="E877" s="82"/>
      <c r="G877" s="79"/>
      <c r="H877" s="79"/>
      <c r="M877" s="86"/>
      <c r="U877" s="87"/>
      <c r="V877" s="87"/>
      <c r="W877" s="87"/>
      <c r="X877" s="87"/>
    </row>
    <row r="878" ht="15.75" customHeight="1">
      <c r="E878" s="82"/>
      <c r="G878" s="79"/>
      <c r="H878" s="79"/>
      <c r="M878" s="86"/>
      <c r="U878" s="87"/>
      <c r="V878" s="87"/>
      <c r="W878" s="87"/>
      <c r="X878" s="87"/>
    </row>
    <row r="879" ht="15.75" customHeight="1">
      <c r="E879" s="82"/>
      <c r="G879" s="79"/>
      <c r="H879" s="79"/>
      <c r="M879" s="86"/>
      <c r="U879" s="87"/>
      <c r="V879" s="87"/>
      <c r="W879" s="87"/>
      <c r="X879" s="87"/>
    </row>
    <row r="880" ht="15.75" customHeight="1">
      <c r="E880" s="82"/>
      <c r="G880" s="79"/>
      <c r="H880" s="79"/>
      <c r="M880" s="86"/>
      <c r="U880" s="87"/>
      <c r="V880" s="87"/>
      <c r="W880" s="87"/>
      <c r="X880" s="87"/>
    </row>
    <row r="881" ht="15.75" customHeight="1">
      <c r="E881" s="82"/>
      <c r="G881" s="79"/>
      <c r="H881" s="79"/>
      <c r="M881" s="86"/>
      <c r="U881" s="87"/>
      <c r="V881" s="87"/>
      <c r="W881" s="87"/>
      <c r="X881" s="87"/>
    </row>
    <row r="882" ht="15.75" customHeight="1">
      <c r="E882" s="82"/>
      <c r="G882" s="79"/>
      <c r="H882" s="79"/>
      <c r="M882" s="86"/>
      <c r="U882" s="87"/>
      <c r="V882" s="87"/>
      <c r="W882" s="87"/>
      <c r="X882" s="87"/>
    </row>
    <row r="883" ht="15.75" customHeight="1">
      <c r="E883" s="82"/>
      <c r="G883" s="79"/>
      <c r="H883" s="79"/>
      <c r="M883" s="86"/>
      <c r="U883" s="87"/>
      <c r="V883" s="87"/>
      <c r="W883" s="87"/>
      <c r="X883" s="87"/>
    </row>
    <row r="884" ht="15.75" customHeight="1">
      <c r="E884" s="82"/>
      <c r="G884" s="79"/>
      <c r="H884" s="79"/>
      <c r="M884" s="86"/>
      <c r="U884" s="87"/>
      <c r="V884" s="87"/>
      <c r="W884" s="87"/>
      <c r="X884" s="87"/>
    </row>
    <row r="885" ht="15.75" customHeight="1">
      <c r="E885" s="82"/>
      <c r="G885" s="79"/>
      <c r="H885" s="79"/>
      <c r="M885" s="86"/>
      <c r="U885" s="87"/>
      <c r="V885" s="87"/>
      <c r="W885" s="87"/>
      <c r="X885" s="87"/>
    </row>
    <row r="886" ht="15.75" customHeight="1">
      <c r="E886" s="82"/>
      <c r="G886" s="79"/>
      <c r="H886" s="79"/>
      <c r="M886" s="86"/>
      <c r="U886" s="87"/>
      <c r="V886" s="87"/>
      <c r="W886" s="87"/>
      <c r="X886" s="87"/>
    </row>
    <row r="887" ht="15.75" customHeight="1">
      <c r="E887" s="82"/>
      <c r="G887" s="79"/>
      <c r="H887" s="79"/>
      <c r="M887" s="86"/>
      <c r="U887" s="87"/>
      <c r="V887" s="87"/>
      <c r="W887" s="87"/>
      <c r="X887" s="87"/>
    </row>
    <row r="888" ht="15.75" customHeight="1">
      <c r="E888" s="82"/>
      <c r="G888" s="79"/>
      <c r="H888" s="79"/>
      <c r="M888" s="86"/>
      <c r="U888" s="87"/>
      <c r="V888" s="87"/>
      <c r="W888" s="87"/>
      <c r="X888" s="87"/>
    </row>
    <row r="889" ht="15.75" customHeight="1">
      <c r="E889" s="82"/>
      <c r="G889" s="79"/>
      <c r="H889" s="79"/>
      <c r="M889" s="86"/>
      <c r="U889" s="87"/>
      <c r="V889" s="87"/>
      <c r="W889" s="87"/>
      <c r="X889" s="87"/>
    </row>
    <row r="890" ht="15.75" customHeight="1">
      <c r="E890" s="82"/>
      <c r="G890" s="79"/>
      <c r="H890" s="79"/>
      <c r="M890" s="86"/>
      <c r="U890" s="87"/>
      <c r="V890" s="87"/>
      <c r="W890" s="87"/>
      <c r="X890" s="87"/>
    </row>
    <row r="891" ht="15.75" customHeight="1">
      <c r="E891" s="82"/>
      <c r="G891" s="79"/>
      <c r="H891" s="79"/>
      <c r="M891" s="86"/>
      <c r="U891" s="87"/>
      <c r="V891" s="87"/>
      <c r="W891" s="87"/>
      <c r="X891" s="87"/>
    </row>
    <row r="892" ht="15.75" customHeight="1">
      <c r="E892" s="82"/>
      <c r="G892" s="79"/>
      <c r="H892" s="79"/>
      <c r="M892" s="86"/>
      <c r="U892" s="87"/>
      <c r="V892" s="87"/>
      <c r="W892" s="87"/>
      <c r="X892" s="87"/>
    </row>
    <row r="893" ht="15.75" customHeight="1">
      <c r="E893" s="82"/>
      <c r="G893" s="79"/>
      <c r="H893" s="79"/>
      <c r="M893" s="86"/>
      <c r="U893" s="87"/>
      <c r="V893" s="87"/>
      <c r="W893" s="87"/>
      <c r="X893" s="87"/>
    </row>
    <row r="894" ht="15.75" customHeight="1">
      <c r="E894" s="82"/>
      <c r="G894" s="79"/>
      <c r="H894" s="79"/>
      <c r="M894" s="86"/>
      <c r="U894" s="87"/>
      <c r="V894" s="87"/>
      <c r="W894" s="87"/>
      <c r="X894" s="87"/>
    </row>
    <row r="895" ht="15.75" customHeight="1">
      <c r="E895" s="82"/>
      <c r="G895" s="79"/>
      <c r="H895" s="79"/>
      <c r="M895" s="86"/>
      <c r="U895" s="87"/>
      <c r="V895" s="87"/>
      <c r="W895" s="87"/>
      <c r="X895" s="87"/>
    </row>
    <row r="896" ht="15.75" customHeight="1">
      <c r="E896" s="82"/>
      <c r="G896" s="79"/>
      <c r="H896" s="79"/>
      <c r="M896" s="86"/>
      <c r="U896" s="87"/>
      <c r="V896" s="87"/>
      <c r="W896" s="87"/>
      <c r="X896" s="87"/>
    </row>
    <row r="897" ht="15.75" customHeight="1">
      <c r="E897" s="82"/>
      <c r="G897" s="79"/>
      <c r="H897" s="79"/>
      <c r="M897" s="86"/>
      <c r="U897" s="87"/>
      <c r="V897" s="87"/>
      <c r="W897" s="87"/>
      <c r="X897" s="87"/>
    </row>
    <row r="898" ht="15.75" customHeight="1">
      <c r="E898" s="82"/>
      <c r="G898" s="79"/>
      <c r="H898" s="79"/>
      <c r="M898" s="86"/>
      <c r="U898" s="87"/>
      <c r="V898" s="87"/>
      <c r="W898" s="87"/>
      <c r="X898" s="87"/>
    </row>
    <row r="899" ht="15.75" customHeight="1">
      <c r="E899" s="82"/>
      <c r="G899" s="79"/>
      <c r="H899" s="79"/>
      <c r="M899" s="86"/>
      <c r="U899" s="87"/>
      <c r="V899" s="87"/>
      <c r="W899" s="87"/>
      <c r="X899" s="87"/>
    </row>
    <row r="900" ht="15.75" customHeight="1">
      <c r="E900" s="82"/>
      <c r="G900" s="79"/>
      <c r="H900" s="79"/>
      <c r="M900" s="86"/>
      <c r="U900" s="87"/>
      <c r="V900" s="87"/>
      <c r="W900" s="87"/>
      <c r="X900" s="87"/>
    </row>
    <row r="901" ht="15.75" customHeight="1">
      <c r="E901" s="82"/>
      <c r="G901" s="79"/>
      <c r="H901" s="79"/>
      <c r="M901" s="86"/>
      <c r="U901" s="87"/>
      <c r="V901" s="87"/>
      <c r="W901" s="87"/>
      <c r="X901" s="87"/>
    </row>
    <row r="902" ht="15.75" customHeight="1">
      <c r="E902" s="82"/>
      <c r="G902" s="79"/>
      <c r="H902" s="79"/>
      <c r="M902" s="86"/>
      <c r="U902" s="87"/>
      <c r="V902" s="87"/>
      <c r="W902" s="87"/>
      <c r="X902" s="87"/>
    </row>
    <row r="903" ht="15.75" customHeight="1">
      <c r="E903" s="82"/>
      <c r="G903" s="79"/>
      <c r="H903" s="79"/>
      <c r="M903" s="86"/>
      <c r="U903" s="87"/>
      <c r="V903" s="87"/>
      <c r="W903" s="87"/>
      <c r="X903" s="87"/>
    </row>
    <row r="904" ht="15.75" customHeight="1">
      <c r="E904" s="82"/>
      <c r="G904" s="79"/>
      <c r="H904" s="79"/>
      <c r="M904" s="86"/>
      <c r="U904" s="87"/>
      <c r="V904" s="87"/>
      <c r="W904" s="87"/>
      <c r="X904" s="87"/>
    </row>
    <row r="905" ht="15.75" customHeight="1">
      <c r="E905" s="82"/>
      <c r="G905" s="79"/>
      <c r="H905" s="79"/>
      <c r="M905" s="86"/>
      <c r="U905" s="87"/>
      <c r="V905" s="87"/>
      <c r="W905" s="87"/>
      <c r="X905" s="87"/>
    </row>
    <row r="906" ht="15.75" customHeight="1">
      <c r="E906" s="82"/>
      <c r="G906" s="79"/>
      <c r="H906" s="79"/>
      <c r="M906" s="86"/>
      <c r="U906" s="87"/>
      <c r="V906" s="87"/>
      <c r="W906" s="87"/>
      <c r="X906" s="87"/>
    </row>
    <row r="907" ht="15.75" customHeight="1">
      <c r="E907" s="82"/>
      <c r="G907" s="79"/>
      <c r="H907" s="79"/>
      <c r="M907" s="86"/>
      <c r="U907" s="87"/>
      <c r="V907" s="87"/>
      <c r="W907" s="87"/>
      <c r="X907" s="87"/>
    </row>
    <row r="908" ht="15.75" customHeight="1">
      <c r="E908" s="82"/>
      <c r="G908" s="79"/>
      <c r="H908" s="79"/>
      <c r="M908" s="86"/>
      <c r="U908" s="87"/>
      <c r="V908" s="87"/>
      <c r="W908" s="87"/>
      <c r="X908" s="87"/>
    </row>
    <row r="909" ht="15.75" customHeight="1">
      <c r="E909" s="82"/>
      <c r="G909" s="79"/>
      <c r="H909" s="79"/>
      <c r="M909" s="86"/>
      <c r="U909" s="87"/>
      <c r="V909" s="87"/>
      <c r="W909" s="87"/>
      <c r="X909" s="87"/>
    </row>
    <row r="910" ht="15.75" customHeight="1">
      <c r="E910" s="82"/>
      <c r="G910" s="79"/>
      <c r="H910" s="79"/>
      <c r="M910" s="86"/>
      <c r="U910" s="87"/>
      <c r="V910" s="87"/>
      <c r="W910" s="87"/>
      <c r="X910" s="87"/>
    </row>
    <row r="911" ht="15.75" customHeight="1">
      <c r="E911" s="82"/>
      <c r="G911" s="79"/>
      <c r="H911" s="79"/>
      <c r="M911" s="86"/>
      <c r="U911" s="87"/>
      <c r="V911" s="87"/>
      <c r="W911" s="87"/>
      <c r="X911" s="87"/>
    </row>
    <row r="912" ht="15.75" customHeight="1">
      <c r="E912" s="82"/>
      <c r="G912" s="79"/>
      <c r="H912" s="79"/>
      <c r="M912" s="86"/>
      <c r="U912" s="87"/>
      <c r="V912" s="87"/>
      <c r="W912" s="87"/>
      <c r="X912" s="87"/>
    </row>
    <row r="913" ht="15.75" customHeight="1">
      <c r="E913" s="82"/>
      <c r="G913" s="79"/>
      <c r="H913" s="79"/>
      <c r="M913" s="86"/>
      <c r="U913" s="87"/>
      <c r="V913" s="87"/>
      <c r="W913" s="87"/>
      <c r="X913" s="87"/>
    </row>
    <row r="914" ht="15.75" customHeight="1">
      <c r="E914" s="82"/>
      <c r="G914" s="79"/>
      <c r="H914" s="79"/>
      <c r="M914" s="86"/>
      <c r="U914" s="87"/>
      <c r="V914" s="87"/>
      <c r="W914" s="87"/>
      <c r="X914" s="87"/>
    </row>
    <row r="915" ht="15.75" customHeight="1">
      <c r="E915" s="82"/>
      <c r="G915" s="79"/>
      <c r="H915" s="79"/>
      <c r="M915" s="86"/>
      <c r="U915" s="87"/>
      <c r="V915" s="87"/>
      <c r="W915" s="87"/>
      <c r="X915" s="87"/>
    </row>
    <row r="916" ht="15.75" customHeight="1">
      <c r="E916" s="82"/>
      <c r="G916" s="79"/>
      <c r="H916" s="79"/>
      <c r="M916" s="86"/>
      <c r="U916" s="87"/>
      <c r="V916" s="87"/>
      <c r="W916" s="87"/>
      <c r="X916" s="87"/>
    </row>
    <row r="917" ht="15.75" customHeight="1">
      <c r="E917" s="82"/>
      <c r="G917" s="79"/>
      <c r="H917" s="79"/>
      <c r="M917" s="86"/>
      <c r="U917" s="87"/>
      <c r="V917" s="87"/>
      <c r="W917" s="87"/>
      <c r="X917" s="87"/>
    </row>
    <row r="918" ht="15.75" customHeight="1">
      <c r="E918" s="82"/>
      <c r="G918" s="79"/>
      <c r="H918" s="79"/>
      <c r="M918" s="86"/>
      <c r="U918" s="87"/>
      <c r="V918" s="87"/>
      <c r="W918" s="87"/>
      <c r="X918" s="87"/>
    </row>
    <row r="919" ht="15.75" customHeight="1">
      <c r="E919" s="82"/>
      <c r="G919" s="79"/>
      <c r="H919" s="79"/>
      <c r="M919" s="86"/>
      <c r="U919" s="87"/>
      <c r="V919" s="87"/>
      <c r="W919" s="87"/>
      <c r="X919" s="87"/>
    </row>
    <row r="920" ht="15.75" customHeight="1">
      <c r="E920" s="82"/>
      <c r="G920" s="79"/>
      <c r="H920" s="79"/>
      <c r="M920" s="86"/>
      <c r="U920" s="87"/>
      <c r="V920" s="87"/>
      <c r="W920" s="87"/>
      <c r="X920" s="87"/>
    </row>
    <row r="921" ht="15.75" customHeight="1">
      <c r="E921" s="82"/>
      <c r="G921" s="79"/>
      <c r="H921" s="79"/>
      <c r="M921" s="86"/>
      <c r="U921" s="87"/>
      <c r="V921" s="87"/>
      <c r="W921" s="87"/>
      <c r="X921" s="87"/>
    </row>
    <row r="922" ht="15.75" customHeight="1">
      <c r="E922" s="82"/>
      <c r="G922" s="79"/>
      <c r="H922" s="79"/>
      <c r="M922" s="86"/>
      <c r="U922" s="87"/>
      <c r="V922" s="87"/>
      <c r="W922" s="87"/>
      <c r="X922" s="87"/>
    </row>
    <row r="923" ht="15.75" customHeight="1">
      <c r="E923" s="82"/>
      <c r="G923" s="79"/>
      <c r="H923" s="79"/>
      <c r="M923" s="86"/>
      <c r="U923" s="87"/>
      <c r="V923" s="87"/>
      <c r="W923" s="87"/>
      <c r="X923" s="87"/>
    </row>
    <row r="924" ht="15.75" customHeight="1">
      <c r="E924" s="82"/>
      <c r="G924" s="79"/>
      <c r="H924" s="79"/>
      <c r="M924" s="86"/>
      <c r="U924" s="87"/>
      <c r="V924" s="87"/>
      <c r="W924" s="87"/>
      <c r="X924" s="87"/>
    </row>
    <row r="925" ht="15.75" customHeight="1">
      <c r="E925" s="82"/>
      <c r="G925" s="79"/>
      <c r="H925" s="79"/>
      <c r="M925" s="86"/>
      <c r="U925" s="87"/>
      <c r="V925" s="87"/>
      <c r="W925" s="87"/>
      <c r="X925" s="87"/>
    </row>
    <row r="926" ht="15.75" customHeight="1">
      <c r="E926" s="82"/>
      <c r="G926" s="79"/>
      <c r="H926" s="79"/>
      <c r="M926" s="86"/>
      <c r="U926" s="87"/>
      <c r="V926" s="87"/>
      <c r="W926" s="87"/>
      <c r="X926" s="87"/>
    </row>
    <row r="927" ht="15.75" customHeight="1">
      <c r="E927" s="82"/>
      <c r="G927" s="79"/>
      <c r="H927" s="79"/>
      <c r="M927" s="86"/>
      <c r="U927" s="87"/>
      <c r="V927" s="87"/>
      <c r="W927" s="87"/>
      <c r="X927" s="87"/>
    </row>
    <row r="928" ht="15.75" customHeight="1">
      <c r="E928" s="82"/>
      <c r="G928" s="79"/>
      <c r="H928" s="79"/>
      <c r="M928" s="86"/>
      <c r="U928" s="87"/>
      <c r="V928" s="87"/>
      <c r="W928" s="87"/>
      <c r="X928" s="87"/>
    </row>
    <row r="929" ht="15.75" customHeight="1">
      <c r="E929" s="82"/>
      <c r="G929" s="79"/>
      <c r="H929" s="79"/>
      <c r="M929" s="86"/>
      <c r="U929" s="87"/>
      <c r="V929" s="87"/>
      <c r="W929" s="87"/>
      <c r="X929" s="87"/>
    </row>
    <row r="930" ht="15.75" customHeight="1">
      <c r="E930" s="82"/>
      <c r="G930" s="79"/>
      <c r="H930" s="79"/>
      <c r="M930" s="86"/>
      <c r="U930" s="87"/>
      <c r="V930" s="87"/>
      <c r="W930" s="87"/>
      <c r="X930" s="87"/>
    </row>
    <row r="931" ht="15.75" customHeight="1">
      <c r="E931" s="82"/>
      <c r="G931" s="79"/>
      <c r="H931" s="79"/>
      <c r="M931" s="86"/>
      <c r="U931" s="87"/>
      <c r="V931" s="87"/>
      <c r="W931" s="87"/>
      <c r="X931" s="87"/>
    </row>
    <row r="932" ht="15.75" customHeight="1">
      <c r="E932" s="82"/>
      <c r="G932" s="79"/>
      <c r="H932" s="79"/>
      <c r="M932" s="86"/>
      <c r="U932" s="87"/>
      <c r="V932" s="87"/>
      <c r="W932" s="87"/>
      <c r="X932" s="87"/>
    </row>
    <row r="933" ht="15.75" customHeight="1">
      <c r="E933" s="82"/>
      <c r="G933" s="79"/>
      <c r="H933" s="79"/>
      <c r="M933" s="86"/>
      <c r="U933" s="87"/>
      <c r="V933" s="87"/>
      <c r="W933" s="87"/>
      <c r="X933" s="87"/>
    </row>
    <row r="934" ht="15.75" customHeight="1">
      <c r="E934" s="82"/>
      <c r="G934" s="79"/>
      <c r="H934" s="79"/>
      <c r="M934" s="86"/>
      <c r="U934" s="87"/>
      <c r="V934" s="87"/>
      <c r="W934" s="87"/>
      <c r="X934" s="87"/>
    </row>
    <row r="935" ht="15.75" customHeight="1">
      <c r="E935" s="82"/>
      <c r="G935" s="79"/>
      <c r="H935" s="79"/>
      <c r="M935" s="86"/>
      <c r="U935" s="87"/>
      <c r="V935" s="87"/>
      <c r="W935" s="87"/>
      <c r="X935" s="87"/>
    </row>
    <row r="936" ht="15.75" customHeight="1">
      <c r="E936" s="82"/>
      <c r="G936" s="79"/>
      <c r="H936" s="79"/>
      <c r="M936" s="86"/>
      <c r="U936" s="87"/>
      <c r="V936" s="87"/>
      <c r="W936" s="87"/>
      <c r="X936" s="87"/>
    </row>
    <row r="937" ht="15.75" customHeight="1">
      <c r="E937" s="82"/>
      <c r="G937" s="79"/>
      <c r="H937" s="79"/>
      <c r="M937" s="86"/>
      <c r="U937" s="87"/>
      <c r="V937" s="87"/>
      <c r="W937" s="87"/>
      <c r="X937" s="87"/>
    </row>
    <row r="938" ht="15.75" customHeight="1">
      <c r="E938" s="82"/>
      <c r="G938" s="79"/>
      <c r="H938" s="79"/>
      <c r="M938" s="86"/>
      <c r="U938" s="87"/>
      <c r="V938" s="87"/>
      <c r="W938" s="87"/>
      <c r="X938" s="87"/>
    </row>
    <row r="939" ht="15.75" customHeight="1">
      <c r="E939" s="82"/>
      <c r="G939" s="79"/>
      <c r="H939" s="79"/>
      <c r="M939" s="86"/>
      <c r="U939" s="87"/>
      <c r="V939" s="87"/>
      <c r="W939" s="87"/>
      <c r="X939" s="87"/>
    </row>
    <row r="940" ht="15.75" customHeight="1">
      <c r="E940" s="82"/>
      <c r="G940" s="79"/>
      <c r="H940" s="79"/>
      <c r="M940" s="86"/>
      <c r="U940" s="87"/>
      <c r="V940" s="87"/>
      <c r="W940" s="87"/>
      <c r="X940" s="87"/>
    </row>
    <row r="941" ht="15.75" customHeight="1">
      <c r="E941" s="82"/>
      <c r="G941" s="79"/>
      <c r="H941" s="79"/>
      <c r="M941" s="86"/>
      <c r="U941" s="87"/>
      <c r="V941" s="87"/>
      <c r="W941" s="87"/>
      <c r="X941" s="87"/>
    </row>
    <row r="942" ht="15.75" customHeight="1">
      <c r="E942" s="82"/>
      <c r="G942" s="79"/>
      <c r="H942" s="79"/>
      <c r="M942" s="86"/>
      <c r="U942" s="87"/>
      <c r="V942" s="87"/>
      <c r="W942" s="87"/>
      <c r="X942" s="87"/>
    </row>
    <row r="943" ht="15.75" customHeight="1">
      <c r="E943" s="82"/>
      <c r="G943" s="79"/>
      <c r="H943" s="79"/>
      <c r="M943" s="86"/>
      <c r="U943" s="87"/>
      <c r="V943" s="87"/>
      <c r="W943" s="87"/>
      <c r="X943" s="87"/>
    </row>
    <row r="944" ht="15.75" customHeight="1">
      <c r="E944" s="82"/>
      <c r="G944" s="79"/>
      <c r="H944" s="79"/>
      <c r="M944" s="86"/>
      <c r="U944" s="87"/>
      <c r="V944" s="87"/>
      <c r="W944" s="87"/>
      <c r="X944" s="87"/>
    </row>
    <row r="945" ht="15.75" customHeight="1">
      <c r="E945" s="82"/>
      <c r="G945" s="79"/>
      <c r="H945" s="79"/>
      <c r="M945" s="86"/>
      <c r="U945" s="87"/>
      <c r="V945" s="87"/>
      <c r="W945" s="87"/>
      <c r="X945" s="87"/>
    </row>
    <row r="946" ht="15.75" customHeight="1">
      <c r="E946" s="82"/>
      <c r="G946" s="79"/>
      <c r="H946" s="79"/>
      <c r="M946" s="86"/>
      <c r="U946" s="87"/>
      <c r="V946" s="87"/>
      <c r="W946" s="87"/>
      <c r="X946" s="87"/>
    </row>
    <row r="947" ht="15.75" customHeight="1">
      <c r="E947" s="82"/>
      <c r="G947" s="79"/>
      <c r="H947" s="79"/>
      <c r="M947" s="86"/>
      <c r="U947" s="87"/>
      <c r="V947" s="87"/>
      <c r="W947" s="87"/>
      <c r="X947" s="87"/>
    </row>
    <row r="948" ht="15.75" customHeight="1">
      <c r="E948" s="82"/>
      <c r="G948" s="79"/>
      <c r="H948" s="79"/>
      <c r="M948" s="86"/>
      <c r="U948" s="87"/>
      <c r="V948" s="87"/>
      <c r="W948" s="87"/>
      <c r="X948" s="87"/>
    </row>
    <row r="949" ht="15.75" customHeight="1">
      <c r="E949" s="82"/>
      <c r="G949" s="79"/>
      <c r="H949" s="79"/>
      <c r="M949" s="86"/>
      <c r="U949" s="87"/>
      <c r="V949" s="87"/>
      <c r="W949" s="87"/>
      <c r="X949" s="87"/>
    </row>
    <row r="950" ht="15.75" customHeight="1">
      <c r="E950" s="82"/>
      <c r="G950" s="79"/>
      <c r="H950" s="79"/>
      <c r="M950" s="86"/>
      <c r="U950" s="87"/>
      <c r="V950" s="87"/>
      <c r="W950" s="87"/>
      <c r="X950" s="87"/>
    </row>
    <row r="951" ht="15.75" customHeight="1">
      <c r="E951" s="82"/>
      <c r="G951" s="79"/>
      <c r="H951" s="79"/>
      <c r="M951" s="86"/>
      <c r="U951" s="87"/>
      <c r="V951" s="87"/>
      <c r="W951" s="87"/>
      <c r="X951" s="87"/>
    </row>
    <row r="952" ht="15.75" customHeight="1">
      <c r="E952" s="82"/>
      <c r="G952" s="79"/>
      <c r="H952" s="79"/>
      <c r="M952" s="86"/>
      <c r="U952" s="87"/>
      <c r="V952" s="87"/>
      <c r="W952" s="87"/>
      <c r="X952" s="87"/>
    </row>
    <row r="953" ht="15.75" customHeight="1">
      <c r="E953" s="82"/>
      <c r="G953" s="79"/>
      <c r="H953" s="79"/>
      <c r="M953" s="86"/>
      <c r="U953" s="87"/>
      <c r="V953" s="87"/>
      <c r="W953" s="87"/>
      <c r="X953" s="87"/>
    </row>
    <row r="954" ht="15.75" customHeight="1">
      <c r="E954" s="82"/>
      <c r="G954" s="79"/>
      <c r="H954" s="79"/>
      <c r="M954" s="86"/>
      <c r="U954" s="87"/>
      <c r="V954" s="87"/>
      <c r="W954" s="87"/>
      <c r="X954" s="87"/>
    </row>
    <row r="955" ht="15.75" customHeight="1">
      <c r="E955" s="82"/>
      <c r="G955" s="79"/>
      <c r="H955" s="79"/>
      <c r="M955" s="86"/>
      <c r="U955" s="87"/>
      <c r="V955" s="87"/>
      <c r="W955" s="87"/>
      <c r="X955" s="87"/>
    </row>
    <row r="956" ht="15.75" customHeight="1">
      <c r="E956" s="82"/>
      <c r="G956" s="79"/>
      <c r="H956" s="79"/>
      <c r="M956" s="86"/>
      <c r="U956" s="87"/>
      <c r="V956" s="87"/>
      <c r="W956" s="87"/>
      <c r="X956" s="87"/>
    </row>
    <row r="957" ht="15.75" customHeight="1">
      <c r="E957" s="82"/>
      <c r="G957" s="79"/>
      <c r="H957" s="79"/>
      <c r="M957" s="86"/>
      <c r="U957" s="87"/>
      <c r="V957" s="87"/>
      <c r="W957" s="87"/>
      <c r="X957" s="87"/>
    </row>
    <row r="958" ht="15.75" customHeight="1">
      <c r="E958" s="82"/>
      <c r="G958" s="79"/>
      <c r="H958" s="79"/>
      <c r="M958" s="86"/>
      <c r="U958" s="87"/>
      <c r="V958" s="87"/>
      <c r="W958" s="87"/>
      <c r="X958" s="87"/>
    </row>
    <row r="959" ht="15.75" customHeight="1">
      <c r="E959" s="82"/>
      <c r="G959" s="79"/>
      <c r="H959" s="79"/>
      <c r="M959" s="86"/>
      <c r="U959" s="87"/>
      <c r="V959" s="87"/>
      <c r="W959" s="87"/>
      <c r="X959" s="87"/>
    </row>
    <row r="960" ht="15.75" customHeight="1">
      <c r="E960" s="82"/>
      <c r="G960" s="79"/>
      <c r="H960" s="79"/>
      <c r="M960" s="86"/>
      <c r="U960" s="87"/>
      <c r="V960" s="87"/>
      <c r="W960" s="87"/>
      <c r="X960" s="87"/>
    </row>
    <row r="961" ht="15.75" customHeight="1">
      <c r="E961" s="82"/>
      <c r="G961" s="79"/>
      <c r="H961" s="79"/>
      <c r="M961" s="86"/>
      <c r="U961" s="87"/>
      <c r="V961" s="87"/>
      <c r="W961" s="87"/>
      <c r="X961" s="87"/>
    </row>
    <row r="962" ht="15.75" customHeight="1">
      <c r="E962" s="82"/>
      <c r="G962" s="79"/>
      <c r="H962" s="79"/>
      <c r="M962" s="86"/>
      <c r="U962" s="87"/>
      <c r="V962" s="87"/>
      <c r="W962" s="87"/>
      <c r="X962" s="87"/>
    </row>
    <row r="963" ht="15.75" customHeight="1">
      <c r="E963" s="82"/>
      <c r="G963" s="79"/>
      <c r="H963" s="79"/>
      <c r="M963" s="86"/>
      <c r="U963" s="87"/>
      <c r="V963" s="87"/>
      <c r="W963" s="87"/>
      <c r="X963" s="87"/>
    </row>
    <row r="964" ht="15.75" customHeight="1">
      <c r="E964" s="82"/>
      <c r="G964" s="79"/>
      <c r="H964" s="79"/>
      <c r="M964" s="86"/>
      <c r="U964" s="87"/>
      <c r="V964" s="87"/>
      <c r="W964" s="87"/>
      <c r="X964" s="87"/>
    </row>
    <row r="965" ht="15.75" customHeight="1">
      <c r="E965" s="82"/>
      <c r="G965" s="79"/>
      <c r="H965" s="79"/>
      <c r="M965" s="86"/>
      <c r="U965" s="87"/>
      <c r="V965" s="87"/>
      <c r="W965" s="87"/>
      <c r="X965" s="87"/>
    </row>
    <row r="966" ht="15.75" customHeight="1">
      <c r="E966" s="82"/>
      <c r="G966" s="79"/>
      <c r="H966" s="79"/>
      <c r="M966" s="86"/>
      <c r="U966" s="87"/>
      <c r="V966" s="87"/>
      <c r="W966" s="87"/>
      <c r="X966" s="87"/>
    </row>
    <row r="967" ht="15.75" customHeight="1">
      <c r="E967" s="82"/>
      <c r="G967" s="79"/>
      <c r="H967" s="79"/>
      <c r="M967" s="86"/>
      <c r="U967" s="87"/>
      <c r="V967" s="87"/>
      <c r="W967" s="87"/>
      <c r="X967" s="87"/>
    </row>
    <row r="968" ht="15.75" customHeight="1">
      <c r="E968" s="82"/>
      <c r="G968" s="79"/>
      <c r="H968" s="79"/>
      <c r="M968" s="86"/>
      <c r="U968" s="87"/>
      <c r="V968" s="87"/>
      <c r="W968" s="87"/>
      <c r="X968" s="87"/>
    </row>
    <row r="969" ht="15.75" customHeight="1">
      <c r="E969" s="82"/>
      <c r="G969" s="79"/>
      <c r="H969" s="79"/>
      <c r="M969" s="86"/>
      <c r="U969" s="87"/>
      <c r="V969" s="87"/>
      <c r="W969" s="87"/>
      <c r="X969" s="87"/>
    </row>
    <row r="970" ht="15.75" customHeight="1">
      <c r="E970" s="82"/>
      <c r="G970" s="79"/>
      <c r="H970" s="79"/>
      <c r="M970" s="86"/>
      <c r="U970" s="87"/>
      <c r="V970" s="87"/>
      <c r="W970" s="87"/>
      <c r="X970" s="87"/>
    </row>
    <row r="971" ht="15.75" customHeight="1">
      <c r="E971" s="82"/>
      <c r="G971" s="79"/>
      <c r="H971" s="79"/>
      <c r="M971" s="86"/>
      <c r="U971" s="87"/>
      <c r="V971" s="87"/>
      <c r="W971" s="87"/>
      <c r="X971" s="87"/>
    </row>
    <row r="972" ht="15.75" customHeight="1">
      <c r="E972" s="82"/>
      <c r="G972" s="79"/>
      <c r="H972" s="79"/>
      <c r="M972" s="86"/>
      <c r="U972" s="87"/>
      <c r="V972" s="87"/>
      <c r="W972" s="87"/>
      <c r="X972" s="87"/>
    </row>
    <row r="973" ht="15.75" customHeight="1">
      <c r="E973" s="82"/>
      <c r="G973" s="79"/>
      <c r="H973" s="79"/>
      <c r="M973" s="86"/>
      <c r="U973" s="87"/>
      <c r="V973" s="87"/>
      <c r="W973" s="87"/>
      <c r="X973" s="87"/>
    </row>
    <row r="974" ht="15.75" customHeight="1">
      <c r="E974" s="82"/>
      <c r="G974" s="79"/>
      <c r="H974" s="79"/>
      <c r="M974" s="86"/>
      <c r="U974" s="87"/>
      <c r="V974" s="87"/>
      <c r="W974" s="87"/>
      <c r="X974" s="87"/>
    </row>
    <row r="975" ht="15.75" customHeight="1">
      <c r="E975" s="82"/>
      <c r="G975" s="79"/>
      <c r="H975" s="79"/>
      <c r="M975" s="86"/>
      <c r="U975" s="87"/>
      <c r="V975" s="87"/>
      <c r="W975" s="87"/>
      <c r="X975" s="87"/>
    </row>
    <row r="976" ht="15.75" customHeight="1">
      <c r="E976" s="82"/>
      <c r="G976" s="79"/>
      <c r="H976" s="79"/>
      <c r="M976" s="86"/>
      <c r="U976" s="87"/>
      <c r="V976" s="87"/>
      <c r="W976" s="87"/>
      <c r="X976" s="87"/>
    </row>
    <row r="977" ht="15.75" customHeight="1">
      <c r="E977" s="82"/>
      <c r="G977" s="79"/>
      <c r="H977" s="79"/>
      <c r="M977" s="86"/>
      <c r="U977" s="87"/>
      <c r="V977" s="87"/>
      <c r="W977" s="87"/>
      <c r="X977" s="87"/>
    </row>
    <row r="978" ht="15.75" customHeight="1">
      <c r="E978" s="82"/>
      <c r="G978" s="79"/>
      <c r="H978" s="79"/>
      <c r="M978" s="86"/>
      <c r="U978" s="87"/>
      <c r="V978" s="87"/>
      <c r="W978" s="87"/>
      <c r="X978" s="87"/>
    </row>
    <row r="979" ht="15.75" customHeight="1">
      <c r="E979" s="82"/>
      <c r="G979" s="79"/>
      <c r="H979" s="79"/>
      <c r="M979" s="86"/>
      <c r="U979" s="87"/>
      <c r="V979" s="87"/>
      <c r="W979" s="87"/>
      <c r="X979" s="87"/>
    </row>
    <row r="980" ht="15.75" customHeight="1">
      <c r="E980" s="82"/>
      <c r="G980" s="79"/>
      <c r="H980" s="79"/>
      <c r="M980" s="86"/>
      <c r="U980" s="87"/>
      <c r="V980" s="87"/>
      <c r="W980" s="87"/>
      <c r="X980" s="87"/>
    </row>
    <row r="981" ht="15.75" customHeight="1">
      <c r="E981" s="82"/>
      <c r="G981" s="79"/>
      <c r="H981" s="79"/>
      <c r="M981" s="86"/>
      <c r="U981" s="87"/>
      <c r="V981" s="87"/>
      <c r="W981" s="87"/>
      <c r="X981" s="87"/>
    </row>
    <row r="982" ht="15.75" customHeight="1">
      <c r="E982" s="82"/>
      <c r="G982" s="79"/>
      <c r="H982" s="79"/>
      <c r="M982" s="86"/>
      <c r="U982" s="87"/>
      <c r="V982" s="87"/>
      <c r="W982" s="87"/>
      <c r="X982" s="87"/>
    </row>
    <row r="983" ht="15.75" customHeight="1">
      <c r="E983" s="82"/>
      <c r="G983" s="79"/>
      <c r="H983" s="79"/>
      <c r="M983" s="86"/>
      <c r="U983" s="87"/>
      <c r="V983" s="87"/>
      <c r="W983" s="87"/>
      <c r="X983" s="87"/>
    </row>
    <row r="984" ht="15.75" customHeight="1">
      <c r="E984" s="82"/>
      <c r="G984" s="79"/>
      <c r="H984" s="79"/>
      <c r="M984" s="86"/>
      <c r="U984" s="87"/>
      <c r="V984" s="87"/>
      <c r="W984" s="87"/>
      <c r="X984" s="87"/>
    </row>
    <row r="985" ht="15.75" customHeight="1">
      <c r="E985" s="82"/>
      <c r="G985" s="79"/>
      <c r="H985" s="79"/>
      <c r="M985" s="86"/>
      <c r="U985" s="87"/>
      <c r="V985" s="87"/>
      <c r="W985" s="87"/>
      <c r="X985" s="87"/>
    </row>
    <row r="986" ht="15.75" customHeight="1">
      <c r="E986" s="82"/>
      <c r="G986" s="79"/>
      <c r="H986" s="79"/>
      <c r="M986" s="86"/>
      <c r="U986" s="87"/>
      <c r="V986" s="87"/>
      <c r="W986" s="87"/>
      <c r="X986" s="87"/>
    </row>
    <row r="987" ht="15.75" customHeight="1">
      <c r="E987" s="82"/>
      <c r="G987" s="79"/>
      <c r="H987" s="79"/>
      <c r="M987" s="86"/>
      <c r="U987" s="87"/>
      <c r="V987" s="87"/>
      <c r="W987" s="87"/>
      <c r="X987" s="87"/>
    </row>
    <row r="988" ht="15.75" customHeight="1">
      <c r="E988" s="82"/>
      <c r="G988" s="79"/>
      <c r="H988" s="79"/>
      <c r="M988" s="86"/>
      <c r="U988" s="87"/>
      <c r="V988" s="87"/>
      <c r="W988" s="87"/>
      <c r="X988" s="87"/>
    </row>
    <row r="989" ht="15.75" customHeight="1">
      <c r="E989" s="82"/>
      <c r="G989" s="79"/>
      <c r="H989" s="79"/>
      <c r="M989" s="86"/>
      <c r="U989" s="87"/>
      <c r="V989" s="87"/>
      <c r="W989" s="87"/>
      <c r="X989" s="87"/>
    </row>
    <row r="990" ht="15.75" customHeight="1">
      <c r="E990" s="82"/>
      <c r="G990" s="79"/>
      <c r="H990" s="79"/>
      <c r="M990" s="86"/>
      <c r="U990" s="87"/>
      <c r="V990" s="87"/>
      <c r="W990" s="87"/>
      <c r="X990" s="87"/>
    </row>
    <row r="991" ht="15.75" customHeight="1">
      <c r="E991" s="82"/>
      <c r="G991" s="79"/>
      <c r="H991" s="79"/>
      <c r="M991" s="86"/>
      <c r="U991" s="87"/>
      <c r="V991" s="87"/>
      <c r="W991" s="87"/>
      <c r="X991" s="87"/>
    </row>
    <row r="992" ht="15.75" customHeight="1">
      <c r="E992" s="82"/>
      <c r="G992" s="79"/>
      <c r="H992" s="79"/>
      <c r="M992" s="86"/>
      <c r="U992" s="87"/>
      <c r="V992" s="87"/>
      <c r="W992" s="87"/>
      <c r="X992" s="87"/>
    </row>
    <row r="993" ht="15.75" customHeight="1">
      <c r="E993" s="82"/>
      <c r="G993" s="79"/>
      <c r="H993" s="79"/>
      <c r="M993" s="86"/>
      <c r="U993" s="87"/>
      <c r="V993" s="87"/>
      <c r="W993" s="87"/>
      <c r="X993" s="87"/>
    </row>
    <row r="994" ht="15.75" customHeight="1">
      <c r="E994" s="82"/>
      <c r="G994" s="79"/>
      <c r="H994" s="79"/>
      <c r="M994" s="86"/>
      <c r="U994" s="87"/>
      <c r="V994" s="87"/>
      <c r="W994" s="87"/>
      <c r="X994" s="87"/>
    </row>
    <row r="995" ht="15.75" customHeight="1">
      <c r="E995" s="82"/>
      <c r="G995" s="79"/>
      <c r="H995" s="79"/>
      <c r="M995" s="86"/>
      <c r="U995" s="87"/>
      <c r="V995" s="87"/>
      <c r="W995" s="87"/>
      <c r="X995" s="87"/>
    </row>
    <row r="996" ht="15.75" customHeight="1">
      <c r="E996" s="82"/>
      <c r="G996" s="79"/>
      <c r="H996" s="79"/>
      <c r="M996" s="86"/>
      <c r="U996" s="87"/>
      <c r="V996" s="87"/>
      <c r="W996" s="87"/>
      <c r="X996" s="87"/>
    </row>
    <row r="997" ht="15.75" customHeight="1">
      <c r="E997" s="82"/>
      <c r="G997" s="79"/>
      <c r="H997" s="79"/>
      <c r="M997" s="86"/>
      <c r="U997" s="87"/>
      <c r="V997" s="87"/>
      <c r="W997" s="87"/>
      <c r="X997" s="87"/>
    </row>
    <row r="998" ht="15.75" customHeight="1">
      <c r="E998" s="82"/>
      <c r="G998" s="79"/>
      <c r="H998" s="79"/>
      <c r="M998" s="86"/>
      <c r="U998" s="87"/>
      <c r="V998" s="87"/>
      <c r="W998" s="87"/>
      <c r="X998" s="87"/>
    </row>
    <row r="999" ht="15.75" customHeight="1">
      <c r="E999" s="82"/>
      <c r="G999" s="79"/>
      <c r="H999" s="79"/>
      <c r="M999" s="86"/>
      <c r="U999" s="87"/>
      <c r="V999" s="87"/>
      <c r="W999" s="87"/>
      <c r="X999" s="87"/>
    </row>
    <row r="1000" ht="15.75" customHeight="1">
      <c r="E1000" s="82"/>
      <c r="G1000" s="79"/>
      <c r="H1000" s="79"/>
      <c r="M1000" s="86"/>
      <c r="U1000" s="87"/>
      <c r="V1000" s="87"/>
      <c r="W1000" s="87"/>
      <c r="X1000" s="87"/>
    </row>
  </sheetData>
  <mergeCells count="5">
    <mergeCell ref="B2:D2"/>
    <mergeCell ref="F2:F4"/>
    <mergeCell ref="J3:J8"/>
    <mergeCell ref="AB9:AD9"/>
    <mergeCell ref="AB53:AD53"/>
  </mergeCells>
  <dataValidations>
    <dataValidation type="list" allowBlank="1" showErrorMessage="1" sqref="F23:F56 AF62:AF78">
      <formula1>"CHARGING,NOT CHARGING"</formula1>
    </dataValidation>
  </dataValidation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2022-02-02T20:11:58Z</dcterms:created>
  <dc:creator>Aaron Skeels</dc:creator>
</cp:coreProperties>
</file>